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omments11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8.xml" ContentType="application/vnd.openxmlformats-officedocument.drawing+xml"/>
  <Override PartName="/xl/comments12.xml" ContentType="application/vnd.openxmlformats-officedocument.spreadsheetml.comments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omments13.xml" ContentType="application/vnd.openxmlformats-officedocument.spreadsheetml.comments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krebs\Documents\Kluane Monitoring\"/>
    </mc:Choice>
  </mc:AlternateContent>
  <xr:revisionPtr revIDLastSave="0" documentId="13_ncr:1_{BB8D4D13-E919-4786-9AD9-A51E885BFF30}" xr6:coauthVersionLast="38" xr6:coauthVersionMax="38" xr10:uidLastSave="{00000000-0000-0000-0000-000000000000}"/>
  <bookViews>
    <workbookView xWindow="120" yWindow="120" windowWidth="11280" windowHeight="6225" tabRatio="693" firstSheet="15" activeTab="15" xr2:uid="{00000000-000D-0000-FFFF-FFFF00000000}"/>
  </bookViews>
  <sheets>
    <sheet name="Browse" sheetId="1" r:id="rId1"/>
    <sheet name="Shrub Growth" sheetId="2" r:id="rId2"/>
    <sheet name="Tree Growth" sheetId="3" r:id="rId3"/>
    <sheet name="Cones-index" sheetId="4" r:id="rId4"/>
    <sheet name="Total Cones" sheetId="25" r:id="rId5"/>
    <sheet name="Seeds" sheetId="5" r:id="rId6"/>
    <sheet name="Bark Beetle" sheetId="6" r:id="rId7"/>
    <sheet name="Seedlings" sheetId="7" r:id="rId8"/>
    <sheet name="Mushroom" sheetId="8" r:id="rId9"/>
    <sheet name="Berry" sheetId="9" r:id="rId10"/>
    <sheet name="Soapberry" sheetId="10" r:id="rId11"/>
    <sheet name="Hares" sheetId="11" r:id="rId12"/>
    <sheet name="Hare Pellets" sheetId="19" r:id="rId13"/>
    <sheet name="Red Squirrel" sheetId="12" r:id="rId14"/>
    <sheet name="Ground Squirrel" sheetId="13" r:id="rId15"/>
    <sheet name="Clethrionomys" sheetId="14" r:id="rId16"/>
    <sheet name="Microtus" sheetId="23" r:id="rId17"/>
    <sheet name="Peromyscus" sheetId="24" r:id="rId18"/>
    <sheet name="Predator" sheetId="15" r:id="rId19"/>
    <sheet name="Coyote Tracks" sheetId="16" r:id="rId20"/>
    <sheet name="Lynx Tracks" sheetId="20" r:id="rId21"/>
    <sheet name="Marten Tracks" sheetId="21" r:id="rId22"/>
    <sheet name="Weasel Tracks" sheetId="22" r:id="rId23"/>
    <sheet name="G-H Owl" sheetId="17" r:id="rId24"/>
    <sheet name="Bear Problems" sheetId="18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9" l="1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11" i="9"/>
  <c r="N66" i="14" l="1"/>
  <c r="X41" i="23" l="1"/>
  <c r="G70" i="24"/>
  <c r="F70" i="24"/>
  <c r="R71" i="23" l="1"/>
  <c r="G98" i="14" l="1"/>
  <c r="F98" i="14"/>
  <c r="F89" i="11" l="1"/>
  <c r="E89" i="11"/>
  <c r="D89" i="11"/>
  <c r="M89" i="11" l="1"/>
  <c r="AG49" i="11"/>
  <c r="AF49" i="11"/>
  <c r="N89" i="11"/>
  <c r="G72" i="12"/>
  <c r="H72" i="12"/>
  <c r="I72" i="12" s="1"/>
  <c r="K36" i="22" l="1"/>
  <c r="J36" i="22"/>
  <c r="K35" i="21"/>
  <c r="J35" i="21"/>
  <c r="L35" i="20"/>
  <c r="L36" i="20"/>
  <c r="K36" i="20"/>
  <c r="J36" i="20"/>
  <c r="M36" i="20"/>
  <c r="L35" i="16"/>
  <c r="L36" i="16"/>
  <c r="K36" i="16"/>
  <c r="J36" i="16"/>
  <c r="D72" i="13"/>
  <c r="C72" i="13"/>
  <c r="D66" i="13"/>
  <c r="C66" i="13"/>
  <c r="P108" i="9" l="1"/>
  <c r="Q108" i="9"/>
  <c r="M108" i="9"/>
  <c r="N108" i="9"/>
  <c r="J108" i="9"/>
  <c r="K108" i="9"/>
  <c r="D108" i="9"/>
  <c r="E108" i="9"/>
  <c r="G108" i="9"/>
  <c r="H108" i="9"/>
  <c r="O34" i="9"/>
  <c r="R32" i="9"/>
  <c r="T32" i="9"/>
  <c r="V32" i="9"/>
  <c r="L34" i="9"/>
  <c r="I34" i="9"/>
  <c r="F34" i="9"/>
  <c r="C34" i="9"/>
  <c r="M41" i="25" l="1"/>
  <c r="L41" i="25"/>
  <c r="P31" i="10" l="1"/>
  <c r="O31" i="10"/>
  <c r="C33" i="10"/>
  <c r="C34" i="10"/>
  <c r="R31" i="10"/>
  <c r="S20" i="19" l="1"/>
  <c r="D86" i="11" l="1"/>
  <c r="D88" i="11" l="1"/>
  <c r="P51" i="14" l="1"/>
  <c r="AB40" i="23" l="1"/>
  <c r="AA40" i="23"/>
  <c r="H71" i="12" l="1"/>
  <c r="I71" i="12" s="1"/>
  <c r="G71" i="12"/>
  <c r="R70" i="23" l="1"/>
  <c r="F70" i="23"/>
  <c r="G70" i="23"/>
  <c r="F69" i="24" l="1"/>
  <c r="G69" i="24"/>
  <c r="O65" i="14" l="1"/>
  <c r="P65" i="14" s="1"/>
  <c r="G97" i="14"/>
  <c r="F97" i="14"/>
  <c r="P100" i="8" l="1"/>
  <c r="P93" i="8"/>
  <c r="P92" i="8"/>
  <c r="G99" i="8"/>
  <c r="G97" i="8"/>
  <c r="G98" i="8" s="1"/>
  <c r="AA39" i="23" l="1"/>
  <c r="W40" i="23"/>
  <c r="X40" i="23"/>
  <c r="X39" i="23"/>
  <c r="O64" i="14"/>
  <c r="P64" i="14" s="1"/>
  <c r="N65" i="14"/>
  <c r="V12" i="9" l="1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11" i="9"/>
  <c r="E89" i="10" l="1"/>
  <c r="F89" i="10"/>
  <c r="M61" i="13"/>
  <c r="M62" i="13"/>
  <c r="K35" i="22"/>
  <c r="J35" i="22"/>
  <c r="P107" i="9" l="1"/>
  <c r="Q107" i="9"/>
  <c r="M107" i="9"/>
  <c r="N107" i="9"/>
  <c r="J107" i="9"/>
  <c r="K107" i="9"/>
  <c r="G107" i="9"/>
  <c r="H107" i="9"/>
  <c r="D107" i="9" l="1"/>
  <c r="E107" i="9"/>
  <c r="Z48" i="11" l="1"/>
  <c r="R69" i="23" l="1"/>
  <c r="F69" i="23"/>
  <c r="G69" i="23"/>
  <c r="F96" i="14" l="1"/>
  <c r="G96" i="14"/>
  <c r="M37" i="24" l="1"/>
  <c r="L37" i="24"/>
  <c r="C74" i="24"/>
  <c r="C73" i="24"/>
  <c r="F68" i="24"/>
  <c r="G68" i="24"/>
  <c r="N37" i="24" l="1"/>
  <c r="O37" i="24"/>
  <c r="P30" i="10"/>
  <c r="O30" i="10"/>
  <c r="R30" i="10"/>
  <c r="B75" i="12" l="1"/>
  <c r="C75" i="12"/>
  <c r="D75" i="12"/>
  <c r="H68" i="12"/>
  <c r="I68" i="12" s="1"/>
  <c r="H66" i="12"/>
  <c r="I66" i="12" s="1"/>
  <c r="H67" i="12"/>
  <c r="I67" i="12" s="1"/>
  <c r="H64" i="12"/>
  <c r="I64" i="12" s="1"/>
  <c r="H62" i="12"/>
  <c r="I62" i="12" s="1"/>
  <c r="G68" i="12"/>
  <c r="N61" i="12"/>
  <c r="N62" i="12"/>
  <c r="N63" i="12"/>
  <c r="N64" i="12"/>
  <c r="N65" i="12"/>
  <c r="N66" i="12"/>
  <c r="N67" i="12"/>
  <c r="N68" i="12"/>
  <c r="N69" i="12"/>
  <c r="N70" i="12"/>
  <c r="F87" i="11" l="1"/>
  <c r="E87" i="11"/>
  <c r="D87" i="11"/>
  <c r="AF48" i="11" l="1"/>
  <c r="AC49" i="11"/>
  <c r="AD49" i="11"/>
  <c r="N87" i="11"/>
  <c r="AG48" i="11"/>
  <c r="M87" i="11"/>
  <c r="D81" i="11" l="1"/>
  <c r="H70" i="12" l="1"/>
  <c r="I70" i="12" s="1"/>
  <c r="G70" i="12"/>
  <c r="E108" i="4" l="1"/>
  <c r="F108" i="4"/>
  <c r="J33" i="25"/>
  <c r="J32" i="25"/>
  <c r="M40" i="25"/>
  <c r="L40" i="25"/>
  <c r="R31" i="9" l="1"/>
  <c r="T31" i="9"/>
  <c r="L61" i="13" l="1"/>
  <c r="G69" i="12"/>
  <c r="H69" i="12"/>
  <c r="I69" i="12" s="1"/>
  <c r="K34" i="21" l="1"/>
  <c r="J34" i="21"/>
  <c r="L34" i="20"/>
  <c r="K35" i="20"/>
  <c r="J35" i="20"/>
  <c r="M35" i="20"/>
  <c r="L34" i="16"/>
  <c r="K35" i="16"/>
  <c r="J35" i="16"/>
  <c r="S67" i="2"/>
  <c r="R67" i="2"/>
  <c r="D68" i="2" l="1"/>
  <c r="S35" i="2"/>
  <c r="D36" i="2"/>
  <c r="R35" i="2"/>
  <c r="F86" i="11" l="1"/>
  <c r="E86" i="11"/>
  <c r="F67" i="24"/>
  <c r="G67" i="24"/>
  <c r="R68" i="23" l="1"/>
  <c r="F68" i="23"/>
  <c r="G68" i="23"/>
  <c r="F95" i="14" l="1"/>
  <c r="Q66" i="14" s="1"/>
  <c r="G95" i="14"/>
  <c r="R66" i="14" l="1"/>
  <c r="T65" i="14"/>
  <c r="M86" i="11"/>
  <c r="AC48" i="11"/>
  <c r="AD48" i="11"/>
  <c r="N86" i="11"/>
  <c r="H145" i="8"/>
  <c r="G145" i="8"/>
  <c r="F145" i="8"/>
  <c r="P96" i="8"/>
  <c r="P98" i="8"/>
  <c r="B45" i="9" l="1"/>
  <c r="B44" i="9"/>
  <c r="B43" i="9"/>
  <c r="B41" i="9"/>
  <c r="B42" i="9"/>
  <c r="AI23" i="11" l="1"/>
  <c r="AI22" i="11"/>
  <c r="N64" i="14" l="1"/>
  <c r="F85" i="11" l="1"/>
  <c r="E85" i="11"/>
  <c r="D85" i="11" l="1"/>
  <c r="U47" i="11" l="1"/>
  <c r="AF47" i="11"/>
  <c r="AG47" i="11"/>
  <c r="L60" i="13"/>
  <c r="M60" i="13"/>
  <c r="AA47" i="11" l="1"/>
  <c r="X47" i="11"/>
  <c r="M85" i="11"/>
  <c r="N85" i="11"/>
  <c r="C77" i="24" l="1"/>
  <c r="C76" i="24"/>
  <c r="F66" i="24"/>
  <c r="R37" i="24" s="1"/>
  <c r="G66" i="24"/>
  <c r="S37" i="24" s="1"/>
  <c r="R67" i="23" l="1"/>
  <c r="F67" i="23"/>
  <c r="G67" i="23"/>
  <c r="F94" i="14" l="1"/>
  <c r="G94" i="14"/>
  <c r="T64" i="14" l="1"/>
  <c r="R65" i="14"/>
  <c r="S65" i="14"/>
  <c r="Q65" i="14"/>
  <c r="F106" i="4"/>
  <c r="F107" i="4"/>
  <c r="E106" i="4"/>
  <c r="E107" i="4"/>
  <c r="G67" i="12" l="1"/>
  <c r="K34" i="22" l="1"/>
  <c r="J34" i="22"/>
  <c r="K33" i="21"/>
  <c r="J33" i="21"/>
  <c r="K34" i="20"/>
  <c r="J34" i="20"/>
  <c r="M34" i="20"/>
  <c r="K34" i="16"/>
  <c r="J34" i="16"/>
  <c r="F88" i="10"/>
  <c r="E88" i="10"/>
  <c r="P29" i="10"/>
  <c r="O29" i="10"/>
  <c r="R29" i="10"/>
  <c r="H144" i="8"/>
  <c r="G144" i="8"/>
  <c r="F144" i="8"/>
  <c r="P106" i="9"/>
  <c r="Q106" i="9"/>
  <c r="M106" i="9"/>
  <c r="N106" i="9"/>
  <c r="J106" i="9"/>
  <c r="K106" i="9"/>
  <c r="H106" i="9"/>
  <c r="G106" i="9"/>
  <c r="E106" i="9"/>
  <c r="D106" i="9"/>
  <c r="R30" i="9"/>
  <c r="T30" i="9"/>
  <c r="M39" i="25"/>
  <c r="L39" i="25"/>
  <c r="W9" i="2" l="1"/>
  <c r="W8" i="2"/>
  <c r="V9" i="2"/>
  <c r="V8" i="2"/>
  <c r="S34" i="2"/>
  <c r="R34" i="2"/>
  <c r="S66" i="2"/>
  <c r="R66" i="2"/>
  <c r="T17" i="14" l="1"/>
  <c r="Z35" i="24"/>
  <c r="Y31" i="24"/>
  <c r="Z38" i="23" l="1"/>
  <c r="Z37" i="23"/>
  <c r="Z36" i="23"/>
  <c r="Z35" i="23"/>
  <c r="AB35" i="23" s="1"/>
  <c r="Z34" i="23"/>
  <c r="Z33" i="23"/>
  <c r="Z32" i="23"/>
  <c r="Z31" i="23"/>
  <c r="Z30" i="23"/>
  <c r="Z29" i="23"/>
  <c r="Z28" i="23"/>
  <c r="Z27" i="23"/>
  <c r="Z26" i="23"/>
  <c r="Z25" i="23"/>
  <c r="Z24" i="23"/>
  <c r="Z23" i="23"/>
  <c r="AB23" i="23" s="1"/>
  <c r="Z22" i="23"/>
  <c r="Z21" i="23"/>
  <c r="Z20" i="23"/>
  <c r="Z19" i="23"/>
  <c r="Z18" i="23"/>
  <c r="Z17" i="23"/>
  <c r="Z16" i="23"/>
  <c r="Z15" i="23"/>
  <c r="Z14" i="23"/>
  <c r="Z13" i="23"/>
  <c r="Z12" i="23"/>
  <c r="Z11" i="23"/>
  <c r="Y39" i="23"/>
  <c r="Y38" i="23"/>
  <c r="Y37" i="23"/>
  <c r="Y36" i="23"/>
  <c r="Y35" i="23"/>
  <c r="Y34" i="23"/>
  <c r="AA33" i="23" s="1"/>
  <c r="Y33" i="23"/>
  <c r="AA32" i="23" s="1"/>
  <c r="Y32" i="23"/>
  <c r="Y31" i="23"/>
  <c r="Y30" i="23"/>
  <c r="Y29" i="23"/>
  <c r="Y28" i="23"/>
  <c r="AA27" i="23" s="1"/>
  <c r="Y27" i="23"/>
  <c r="AA26" i="23" s="1"/>
  <c r="Y26" i="23"/>
  <c r="AA25" i="23" s="1"/>
  <c r="Y25" i="23"/>
  <c r="AA24" i="23" s="1"/>
  <c r="Y24" i="23"/>
  <c r="AA23" i="23" s="1"/>
  <c r="Y23" i="23"/>
  <c r="Y22" i="23"/>
  <c r="Y21" i="23"/>
  <c r="Y19" i="23"/>
  <c r="AA18" i="23" s="1"/>
  <c r="Y20" i="23"/>
  <c r="Y18" i="23"/>
  <c r="Y17" i="23"/>
  <c r="Y16" i="23"/>
  <c r="Y15" i="23"/>
  <c r="Y14" i="23"/>
  <c r="Y13" i="23"/>
  <c r="Y12" i="23"/>
  <c r="Y11" i="23"/>
  <c r="Z10" i="23"/>
  <c r="Y10" i="23"/>
  <c r="X38" i="23"/>
  <c r="X37" i="23"/>
  <c r="X36" i="23"/>
  <c r="X35" i="23"/>
  <c r="X34" i="23"/>
  <c r="X33" i="23"/>
  <c r="X32" i="23"/>
  <c r="X31" i="23"/>
  <c r="X30" i="23"/>
  <c r="X29" i="23"/>
  <c r="X28" i="23"/>
  <c r="X27" i="23"/>
  <c r="X26" i="23"/>
  <c r="X25" i="23"/>
  <c r="X24" i="23"/>
  <c r="X23" i="23"/>
  <c r="X22" i="23"/>
  <c r="X21" i="23"/>
  <c r="X20" i="23"/>
  <c r="X19" i="23"/>
  <c r="X18" i="23"/>
  <c r="X17" i="23"/>
  <c r="X16" i="23"/>
  <c r="X15" i="23"/>
  <c r="X14" i="23"/>
  <c r="X13" i="23"/>
  <c r="X12" i="23"/>
  <c r="X11" i="23"/>
  <c r="W39" i="23"/>
  <c r="W38" i="23"/>
  <c r="W37" i="23"/>
  <c r="W36" i="23"/>
  <c r="W35" i="23"/>
  <c r="W34" i="23"/>
  <c r="W33" i="23"/>
  <c r="W32" i="23"/>
  <c r="W31" i="23"/>
  <c r="W30" i="23"/>
  <c r="W29" i="23"/>
  <c r="W28" i="23"/>
  <c r="W27" i="23"/>
  <c r="W26" i="23"/>
  <c r="W25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11" i="23"/>
  <c r="X10" i="23"/>
  <c r="W10" i="23"/>
  <c r="AB20" i="23" l="1"/>
  <c r="AB19" i="23"/>
  <c r="AB16" i="23"/>
  <c r="AB32" i="23"/>
  <c r="AB21" i="23"/>
  <c r="AB25" i="23"/>
  <c r="AB29" i="23"/>
  <c r="AB33" i="23"/>
  <c r="AB37" i="23"/>
  <c r="AB28" i="23"/>
  <c r="AB36" i="23"/>
  <c r="AB22" i="23"/>
  <c r="AB26" i="23"/>
  <c r="AB34" i="23"/>
  <c r="AA19" i="23"/>
  <c r="X44" i="23"/>
  <c r="AA35" i="23"/>
  <c r="AA20" i="23"/>
  <c r="AA28" i="23"/>
  <c r="AA36" i="23"/>
  <c r="AA21" i="23"/>
  <c r="W44" i="23"/>
  <c r="Z8" i="21"/>
  <c r="Z7" i="21"/>
  <c r="AA8" i="21"/>
  <c r="AA7" i="21"/>
  <c r="U77" i="23"/>
  <c r="C105" i="14"/>
  <c r="C100" i="14"/>
  <c r="Z10" i="21" l="1"/>
  <c r="M36" i="24"/>
  <c r="L36" i="24"/>
  <c r="N36" i="24" l="1"/>
  <c r="O36" i="24"/>
  <c r="F84" i="11"/>
  <c r="E84" i="11"/>
  <c r="D84" i="11"/>
  <c r="M59" i="13"/>
  <c r="L59" i="13"/>
  <c r="F93" i="14"/>
  <c r="G93" i="14"/>
  <c r="R64" i="14" s="1"/>
  <c r="AD47" i="11" l="1"/>
  <c r="Q64" i="14"/>
  <c r="S64" i="14"/>
  <c r="S47" i="11"/>
  <c r="V47" i="11" s="1"/>
  <c r="AC47" i="11"/>
  <c r="N84" i="11"/>
  <c r="M84" i="11"/>
  <c r="G66" i="23"/>
  <c r="F66" i="23"/>
  <c r="R66" i="23"/>
  <c r="S66" i="23" s="1"/>
  <c r="Z47" i="11" l="1"/>
  <c r="T66" i="23"/>
  <c r="F65" i="24"/>
  <c r="G65" i="24"/>
  <c r="Q37" i="24" l="1"/>
  <c r="S36" i="24"/>
  <c r="P37" i="24"/>
  <c r="R36" i="24"/>
  <c r="M58" i="13"/>
  <c r="L58" i="13"/>
  <c r="G64" i="24"/>
  <c r="Q36" i="24" s="1"/>
  <c r="F64" i="24"/>
  <c r="P36" i="24" s="1"/>
  <c r="R65" i="23" l="1"/>
  <c r="G65" i="23"/>
  <c r="F65" i="23"/>
  <c r="C103" i="14" l="1"/>
  <c r="C101" i="14"/>
  <c r="C108" i="14" s="1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M63" i="14"/>
  <c r="O63" i="14" s="1"/>
  <c r="P63" i="14" s="1"/>
  <c r="G41" i="14"/>
  <c r="G3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F38" i="14"/>
  <c r="G38" i="14"/>
  <c r="F39" i="14"/>
  <c r="G39" i="14"/>
  <c r="F40" i="14"/>
  <c r="G40" i="14"/>
  <c r="F41" i="14"/>
  <c r="F42" i="14"/>
  <c r="G42" i="14"/>
  <c r="F43" i="14"/>
  <c r="G43" i="14"/>
  <c r="F44" i="14"/>
  <c r="G44" i="14"/>
  <c r="N25" i="14" l="1"/>
  <c r="N33" i="14"/>
  <c r="N23" i="14"/>
  <c r="N31" i="14"/>
  <c r="O25" i="14"/>
  <c r="P25" i="14" s="1"/>
  <c r="O33" i="14"/>
  <c r="P33" i="14" s="1"/>
  <c r="N24" i="14"/>
  <c r="N32" i="14"/>
  <c r="N29" i="14"/>
  <c r="O21" i="14"/>
  <c r="P21" i="14" s="1"/>
  <c r="O29" i="14"/>
  <c r="P29" i="14" s="1"/>
  <c r="N27" i="14"/>
  <c r="N28" i="14"/>
  <c r="O28" i="14"/>
  <c r="P28" i="14" s="1"/>
  <c r="O24" i="14"/>
  <c r="P24" i="14" s="1"/>
  <c r="O23" i="14"/>
  <c r="P23" i="14" s="1"/>
  <c r="O27" i="14"/>
  <c r="P27" i="14" s="1"/>
  <c r="O31" i="14"/>
  <c r="P31" i="14" s="1"/>
  <c r="O26" i="14"/>
  <c r="P26" i="14" s="1"/>
  <c r="O30" i="14"/>
  <c r="P30" i="14" s="1"/>
  <c r="N34" i="14"/>
  <c r="O32" i="14"/>
  <c r="P32" i="14" s="1"/>
  <c r="N30" i="14"/>
  <c r="N26" i="14"/>
  <c r="N22" i="14"/>
  <c r="O22" i="14"/>
  <c r="P22" i="14" s="1"/>
  <c r="G92" i="14"/>
  <c r="T63" i="14" s="1"/>
  <c r="F92" i="14"/>
  <c r="F83" i="11" l="1"/>
  <c r="E83" i="11"/>
  <c r="D83" i="11"/>
  <c r="AF46" i="11" l="1"/>
  <c r="AG46" i="11"/>
  <c r="N83" i="11"/>
  <c r="M83" i="11"/>
  <c r="F91" i="14"/>
  <c r="G91" i="14"/>
  <c r="R63" i="14" s="1"/>
  <c r="S63" i="14" l="1"/>
  <c r="Q63" i="14"/>
  <c r="G66" i="12"/>
  <c r="D71" i="13" l="1"/>
  <c r="C71" i="13"/>
  <c r="L56" i="13"/>
  <c r="M56" i="13"/>
  <c r="L57" i="13"/>
  <c r="M57" i="13"/>
  <c r="E56" i="13"/>
  <c r="E57" i="13"/>
  <c r="AA8" i="22" l="1"/>
  <c r="AA7" i="22"/>
  <c r="Z8" i="22"/>
  <c r="Z7" i="22"/>
  <c r="Z10" i="22" l="1"/>
  <c r="R64" i="23"/>
  <c r="S64" i="23" s="1"/>
  <c r="G64" i="23"/>
  <c r="F64" i="23"/>
  <c r="T64" i="23" l="1"/>
  <c r="S35" i="24"/>
  <c r="R35" i="24"/>
  <c r="M35" i="24"/>
  <c r="M34" i="24"/>
  <c r="L35" i="24"/>
  <c r="L34" i="24"/>
  <c r="G63" i="24"/>
  <c r="Q35" i="24" s="1"/>
  <c r="F63" i="24"/>
  <c r="P35" i="24" s="1"/>
  <c r="N34" i="24" l="1"/>
  <c r="N35" i="24"/>
  <c r="O34" i="24"/>
  <c r="O35" i="24"/>
  <c r="H143" i="8"/>
  <c r="G143" i="8"/>
  <c r="F143" i="8"/>
  <c r="P105" i="9" l="1"/>
  <c r="Q105" i="9"/>
  <c r="M105" i="9"/>
  <c r="N105" i="9"/>
  <c r="J105" i="9"/>
  <c r="K105" i="9"/>
  <c r="G105" i="9"/>
  <c r="H105" i="9"/>
  <c r="E105" i="9"/>
  <c r="D105" i="9"/>
  <c r="R29" i="9" l="1"/>
  <c r="T29" i="9"/>
  <c r="M38" i="25" l="1"/>
  <c r="L38" i="25"/>
  <c r="F87" i="10" l="1"/>
  <c r="E87" i="10"/>
  <c r="P28" i="10"/>
  <c r="O28" i="10"/>
  <c r="R28" i="10"/>
  <c r="H63" i="12" l="1"/>
  <c r="I63" i="12" s="1"/>
  <c r="H65" i="12"/>
  <c r="I65" i="12" s="1"/>
  <c r="G65" i="12"/>
  <c r="L35" i="25" l="1"/>
  <c r="U46" i="11" l="1"/>
  <c r="AA46" i="11" s="1"/>
  <c r="F82" i="11"/>
  <c r="E82" i="11"/>
  <c r="X46" i="11" l="1"/>
  <c r="M62" i="14"/>
  <c r="M61" i="14"/>
  <c r="L63" i="14"/>
  <c r="N63" i="14" s="1"/>
  <c r="L62" i="14"/>
  <c r="N62" i="14" l="1"/>
  <c r="O61" i="14"/>
  <c r="P61" i="14" s="1"/>
  <c r="O62" i="14"/>
  <c r="P62" i="14" s="1"/>
  <c r="S33" i="2"/>
  <c r="R33" i="2"/>
  <c r="S65" i="2"/>
  <c r="R65" i="2"/>
  <c r="D82" i="11" l="1"/>
  <c r="AC46" i="11" l="1"/>
  <c r="AD46" i="11"/>
  <c r="M82" i="11"/>
  <c r="S46" i="11"/>
  <c r="N82" i="11"/>
  <c r="K33" i="22"/>
  <c r="J33" i="22"/>
  <c r="K32" i="21"/>
  <c r="J32" i="21"/>
  <c r="M32" i="20"/>
  <c r="M33" i="20"/>
  <c r="L33" i="20"/>
  <c r="K33" i="20"/>
  <c r="J33" i="20"/>
  <c r="L33" i="16"/>
  <c r="K33" i="16"/>
  <c r="J33" i="16"/>
  <c r="V46" i="11" l="1"/>
  <c r="Z46" i="11"/>
  <c r="G63" i="12"/>
  <c r="G64" i="12"/>
  <c r="B42" i="10" l="1"/>
  <c r="B41" i="10"/>
  <c r="R11" i="10" l="1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10" i="10"/>
  <c r="F8" i="23" l="1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7" i="23"/>
  <c r="G27" i="23"/>
  <c r="F28" i="23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G39" i="23"/>
  <c r="F40" i="23"/>
  <c r="G40" i="23"/>
  <c r="F41" i="23"/>
  <c r="G41" i="23"/>
  <c r="F42" i="23"/>
  <c r="G42" i="23"/>
  <c r="F43" i="23"/>
  <c r="G43" i="23"/>
  <c r="F44" i="23"/>
  <c r="G44" i="23"/>
  <c r="F45" i="23"/>
  <c r="G45" i="23"/>
  <c r="F46" i="23"/>
  <c r="G46" i="23"/>
  <c r="F47" i="23"/>
  <c r="G47" i="23"/>
  <c r="F48" i="23"/>
  <c r="G48" i="23"/>
  <c r="F49" i="23"/>
  <c r="G49" i="23"/>
  <c r="F50" i="23"/>
  <c r="G50" i="23"/>
  <c r="F51" i="23"/>
  <c r="G51" i="23"/>
  <c r="F52" i="23"/>
  <c r="G52" i="23"/>
  <c r="C79" i="24" l="1"/>
  <c r="C81" i="24" s="1"/>
  <c r="F61" i="24"/>
  <c r="P34" i="24" s="1"/>
  <c r="G61" i="24"/>
  <c r="Q34" i="24" s="1"/>
  <c r="F62" i="24"/>
  <c r="R34" i="24" s="1"/>
  <c r="G62" i="24"/>
  <c r="S34" i="24" s="1"/>
  <c r="G63" i="23" l="1"/>
  <c r="R63" i="23"/>
  <c r="F63" i="23" l="1"/>
  <c r="G90" i="14" l="1"/>
  <c r="T62" i="14" s="1"/>
  <c r="F90" i="14"/>
  <c r="P103" i="9" l="1"/>
  <c r="Q103" i="9"/>
  <c r="P104" i="9"/>
  <c r="Q104" i="9"/>
  <c r="M103" i="9"/>
  <c r="N103" i="9"/>
  <c r="M104" i="9"/>
  <c r="N104" i="9"/>
  <c r="R28" i="9"/>
  <c r="T28" i="9"/>
  <c r="K103" i="9"/>
  <c r="K104" i="9"/>
  <c r="J103" i="9"/>
  <c r="J104" i="9"/>
  <c r="H103" i="9"/>
  <c r="H104" i="9"/>
  <c r="G103" i="9"/>
  <c r="G104" i="9"/>
  <c r="E103" i="9"/>
  <c r="E104" i="9"/>
  <c r="D103" i="9"/>
  <c r="D104" i="9"/>
  <c r="F81" i="11" l="1"/>
  <c r="AG45" i="11" s="1"/>
  <c r="E81" i="11"/>
  <c r="AF45" i="11" s="1"/>
  <c r="D33" i="11" l="1"/>
  <c r="S4" i="19" l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F29" i="19" l="1"/>
  <c r="U45" i="11"/>
  <c r="X45" i="11" l="1"/>
  <c r="AA45" i="11"/>
  <c r="M81" i="11"/>
  <c r="N81" i="11"/>
  <c r="E7" i="13" l="1"/>
  <c r="E8" i="13"/>
  <c r="E9" i="13"/>
  <c r="E10" i="13"/>
  <c r="E11" i="13"/>
  <c r="E12" i="13"/>
  <c r="L13" i="13"/>
  <c r="M13" i="13"/>
  <c r="E13" i="13"/>
  <c r="E14" i="13"/>
  <c r="L14" i="13"/>
  <c r="M14" i="13"/>
  <c r="E15" i="13"/>
  <c r="E16" i="13"/>
  <c r="E17" i="13"/>
  <c r="E18" i="13"/>
  <c r="L15" i="13"/>
  <c r="M15" i="13"/>
  <c r="L16" i="13"/>
  <c r="M16" i="13"/>
  <c r="L17" i="13"/>
  <c r="M17" i="13"/>
  <c r="M26" i="13"/>
  <c r="L26" i="13"/>
  <c r="M25" i="13"/>
  <c r="L25" i="13"/>
  <c r="M24" i="13" l="1"/>
  <c r="L24" i="13"/>
  <c r="M23" i="13"/>
  <c r="L23" i="13"/>
  <c r="L21" i="13"/>
  <c r="M21" i="13"/>
  <c r="L22" i="13"/>
  <c r="M22" i="13"/>
  <c r="L20" i="13"/>
  <c r="M20" i="13"/>
  <c r="L18" i="13"/>
  <c r="M18" i="13"/>
  <c r="E19" i="13"/>
  <c r="M19" i="13"/>
  <c r="L19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M35" i="13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L45" i="13"/>
  <c r="M45" i="13"/>
  <c r="L47" i="13"/>
  <c r="M47" i="13"/>
  <c r="L49" i="13"/>
  <c r="M49" i="13"/>
  <c r="L51" i="13"/>
  <c r="M51" i="13"/>
  <c r="L53" i="13"/>
  <c r="M53" i="13"/>
  <c r="L55" i="13"/>
  <c r="M55" i="13"/>
  <c r="M27" i="13"/>
  <c r="L27" i="13"/>
  <c r="E22" i="13"/>
  <c r="O22" i="13" s="1"/>
  <c r="E21" i="13"/>
  <c r="E55" i="13"/>
  <c r="E20" i="13"/>
  <c r="E23" i="13"/>
  <c r="E24" i="13"/>
  <c r="E25" i="13"/>
  <c r="E26" i="13"/>
  <c r="E32" i="13"/>
  <c r="O21" i="13" l="1"/>
  <c r="O20" i="13"/>
  <c r="O19" i="13"/>
  <c r="O23" i="13"/>
  <c r="E86" i="10"/>
  <c r="F86" i="10"/>
  <c r="G33" i="10"/>
  <c r="P27" i="10"/>
  <c r="O27" i="10"/>
  <c r="M37" i="25"/>
  <c r="L37" i="25"/>
  <c r="E104" i="4"/>
  <c r="F104" i="4"/>
  <c r="E105" i="4"/>
  <c r="F105" i="4"/>
  <c r="H142" i="8" l="1"/>
  <c r="G142" i="8"/>
  <c r="F142" i="8"/>
  <c r="G62" i="23" l="1"/>
  <c r="F62" i="23"/>
  <c r="R62" i="23"/>
  <c r="S62" i="23" s="1"/>
  <c r="T62" i="23" l="1"/>
  <c r="G89" i="14"/>
  <c r="R62" i="14" s="1"/>
  <c r="F89" i="14"/>
  <c r="S62" i="14" l="1"/>
  <c r="Q62" i="14"/>
  <c r="R8" i="23"/>
  <c r="R9" i="23"/>
  <c r="R10" i="23"/>
  <c r="R11" i="23"/>
  <c r="R12" i="23"/>
  <c r="R13" i="23"/>
  <c r="R14" i="23"/>
  <c r="R15" i="23"/>
  <c r="R16" i="23"/>
  <c r="R17" i="23"/>
  <c r="R18" i="23"/>
  <c r="R19" i="23"/>
  <c r="S18" i="23" s="1"/>
  <c r="R20" i="23"/>
  <c r="R21" i="23"/>
  <c r="S20" i="23" s="1"/>
  <c r="R22" i="23"/>
  <c r="R23" i="23"/>
  <c r="R24" i="23"/>
  <c r="R25" i="23"/>
  <c r="R26" i="23"/>
  <c r="R27" i="23"/>
  <c r="S26" i="23" s="1"/>
  <c r="R28" i="23"/>
  <c r="R29" i="23"/>
  <c r="S28" i="23" s="1"/>
  <c r="R30" i="23"/>
  <c r="R31" i="23"/>
  <c r="R32" i="23"/>
  <c r="R33" i="23"/>
  <c r="S10" i="23" l="1"/>
  <c r="S12" i="23"/>
  <c r="S30" i="23"/>
  <c r="S22" i="23"/>
  <c r="S14" i="23"/>
  <c r="S32" i="23"/>
  <c r="S24" i="23"/>
  <c r="S16" i="23"/>
  <c r="S8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S60" i="23" l="1"/>
  <c r="S52" i="23"/>
  <c r="S48" i="23"/>
  <c r="S44" i="23"/>
  <c r="S36" i="23"/>
  <c r="S54" i="23"/>
  <c r="S50" i="23"/>
  <c r="S46" i="23"/>
  <c r="S42" i="23"/>
  <c r="S38" i="23"/>
  <c r="S58" i="23"/>
  <c r="S56" i="23"/>
  <c r="S40" i="23"/>
  <c r="S34" i="23"/>
  <c r="M36" i="25"/>
  <c r="L36" i="25"/>
  <c r="C80" i="11" l="1"/>
  <c r="S32" i="2" l="1"/>
  <c r="R32" i="2"/>
  <c r="K32" i="22" l="1"/>
  <c r="J32" i="22"/>
  <c r="K31" i="21"/>
  <c r="J31" i="21"/>
  <c r="M31" i="20"/>
  <c r="L31" i="20"/>
  <c r="L32" i="20"/>
  <c r="K32" i="20"/>
  <c r="J32" i="20"/>
  <c r="K30" i="16" l="1"/>
  <c r="K31" i="16"/>
  <c r="K32" i="16"/>
  <c r="J30" i="16"/>
  <c r="J31" i="16"/>
  <c r="J32" i="16"/>
  <c r="L29" i="16"/>
  <c r="L30" i="16"/>
  <c r="L31" i="16"/>
  <c r="L32" i="16"/>
  <c r="D80" i="11" l="1"/>
  <c r="S45" i="11" l="1"/>
  <c r="V45" i="11" s="1"/>
  <c r="AC45" i="11"/>
  <c r="AD45" i="11"/>
  <c r="M80" i="11"/>
  <c r="N80" i="11"/>
  <c r="G60" i="24"/>
  <c r="F60" i="24"/>
  <c r="Z45" i="11" l="1"/>
  <c r="G61" i="23"/>
  <c r="F61" i="23"/>
  <c r="G88" i="14" l="1"/>
  <c r="F88" i="14"/>
  <c r="G62" i="12" l="1"/>
  <c r="F61" i="12"/>
  <c r="H61" i="12" s="1"/>
  <c r="I61" i="12" s="1"/>
  <c r="E78" i="11"/>
  <c r="D79" i="11"/>
  <c r="F28" i="19"/>
  <c r="F85" i="10"/>
  <c r="E85" i="10"/>
  <c r="O26" i="10"/>
  <c r="P26" i="10"/>
  <c r="AF44" i="11" l="1"/>
  <c r="AG44" i="11"/>
  <c r="N79" i="11"/>
  <c r="U44" i="11"/>
  <c r="G61" i="12"/>
  <c r="M79" i="11"/>
  <c r="R27" i="9"/>
  <c r="T27" i="9"/>
  <c r="X44" i="11" l="1"/>
  <c r="AA44" i="11"/>
  <c r="H141" i="8"/>
  <c r="G141" i="8"/>
  <c r="F141" i="8"/>
  <c r="R64" i="2"/>
  <c r="S64" i="2"/>
  <c r="U75" i="23"/>
  <c r="U79" i="23" s="1"/>
  <c r="E54" i="13"/>
  <c r="E53" i="13"/>
  <c r="M35" i="12"/>
  <c r="K30" i="22"/>
  <c r="J30" i="22"/>
  <c r="K30" i="21"/>
  <c r="J30" i="21"/>
  <c r="L61" i="14"/>
  <c r="S33" i="24"/>
  <c r="R33" i="24"/>
  <c r="M33" i="24"/>
  <c r="M32" i="24"/>
  <c r="L33" i="24"/>
  <c r="L32" i="24"/>
  <c r="T61" i="14"/>
  <c r="S61" i="14"/>
  <c r="K31" i="22"/>
  <c r="J31" i="22"/>
  <c r="K29" i="21"/>
  <c r="J29" i="21"/>
  <c r="M30" i="20"/>
  <c r="L30" i="20"/>
  <c r="K31" i="20"/>
  <c r="J31" i="20"/>
  <c r="O32" i="24" l="1"/>
  <c r="N32" i="24"/>
  <c r="N33" i="24"/>
  <c r="O33" i="24"/>
  <c r="N61" i="14"/>
  <c r="N60" i="12"/>
  <c r="H59" i="12"/>
  <c r="I59" i="12" s="1"/>
  <c r="H60" i="12"/>
  <c r="I60" i="12" s="1"/>
  <c r="G60" i="12"/>
  <c r="G59" i="12"/>
  <c r="M34" i="12" s="1"/>
  <c r="N59" i="12"/>
  <c r="R63" i="2"/>
  <c r="F59" i="24"/>
  <c r="P33" i="24" s="1"/>
  <c r="G59" i="24"/>
  <c r="Q33" i="24" s="1"/>
  <c r="F60" i="23" l="1"/>
  <c r="G60" i="23"/>
  <c r="T60" i="23" l="1"/>
  <c r="F87" i="14"/>
  <c r="Q61" i="14" s="1"/>
  <c r="G87" i="14"/>
  <c r="R61" i="14" s="1"/>
  <c r="F78" i="11" l="1"/>
  <c r="C78" i="11"/>
  <c r="R62" i="2"/>
  <c r="S62" i="2"/>
  <c r="S63" i="2"/>
  <c r="R30" i="2"/>
  <c r="S30" i="2"/>
  <c r="R31" i="2"/>
  <c r="S31" i="2"/>
  <c r="B78" i="11"/>
  <c r="D78" i="11" l="1"/>
  <c r="AC44" i="11" s="1"/>
  <c r="AD44" i="11" l="1"/>
  <c r="M78" i="11"/>
  <c r="S44" i="11"/>
  <c r="C35" i="10"/>
  <c r="N78" i="11"/>
  <c r="P3" i="20"/>
  <c r="O36" i="20" l="1"/>
  <c r="P36" i="20"/>
  <c r="N36" i="20"/>
  <c r="Q36" i="20" s="1"/>
  <c r="P35" i="20"/>
  <c r="N35" i="20"/>
  <c r="O35" i="20"/>
  <c r="O34" i="20"/>
  <c r="N34" i="20"/>
  <c r="P34" i="20"/>
  <c r="V44" i="11"/>
  <c r="Z44" i="11"/>
  <c r="O33" i="20"/>
  <c r="P33" i="20"/>
  <c r="N33" i="20"/>
  <c r="P32" i="20"/>
  <c r="N32" i="20"/>
  <c r="O32" i="20"/>
  <c r="N6" i="20"/>
  <c r="N31" i="20"/>
  <c r="O31" i="20"/>
  <c r="P31" i="20"/>
  <c r="P30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N29" i="20"/>
  <c r="N27" i="20"/>
  <c r="N25" i="20"/>
  <c r="N23" i="20"/>
  <c r="N21" i="20"/>
  <c r="N19" i="20"/>
  <c r="N17" i="20"/>
  <c r="N15" i="20"/>
  <c r="N13" i="20"/>
  <c r="N11" i="20"/>
  <c r="N9" i="20"/>
  <c r="N7" i="20"/>
  <c r="P6" i="20"/>
  <c r="P29" i="20"/>
  <c r="N30" i="20"/>
  <c r="O6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N28" i="20"/>
  <c r="N26" i="20"/>
  <c r="N24" i="20"/>
  <c r="N22" i="20"/>
  <c r="N20" i="20"/>
  <c r="N18" i="20"/>
  <c r="N16" i="20"/>
  <c r="Q16" i="20" s="1"/>
  <c r="N14" i="20"/>
  <c r="N12" i="20"/>
  <c r="N10" i="20"/>
  <c r="N8" i="20"/>
  <c r="U19" i="20"/>
  <c r="U21" i="20" s="1"/>
  <c r="U12" i="20"/>
  <c r="U14" i="20" s="1"/>
  <c r="U6" i="20"/>
  <c r="U8" i="20" s="1"/>
  <c r="M6" i="20"/>
  <c r="M7" i="20"/>
  <c r="M8" i="20"/>
  <c r="M9" i="20"/>
  <c r="M10" i="20"/>
  <c r="M11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12" i="20"/>
  <c r="R36" i="20" l="1"/>
  <c r="Q34" i="20"/>
  <c r="R33" i="20"/>
  <c r="Q35" i="20"/>
  <c r="R35" i="20"/>
  <c r="R34" i="20"/>
  <c r="Q33" i="20"/>
  <c r="Q20" i="20"/>
  <c r="Q14" i="20"/>
  <c r="Q32" i="20"/>
  <c r="R32" i="20"/>
  <c r="Q10" i="20"/>
  <c r="Q26" i="20"/>
  <c r="Q12" i="20"/>
  <c r="Q28" i="20"/>
  <c r="Q18" i="20"/>
  <c r="Q6" i="20"/>
  <c r="R31" i="20"/>
  <c r="Q31" i="20"/>
  <c r="R6" i="20"/>
  <c r="R29" i="20"/>
  <c r="Q22" i="20"/>
  <c r="Q8" i="20"/>
  <c r="Q24" i="20"/>
  <c r="Q7" i="20"/>
  <c r="Q11" i="20"/>
  <c r="Q15" i="20"/>
  <c r="Q19" i="20"/>
  <c r="Q23" i="20"/>
  <c r="Q27" i="20"/>
  <c r="R7" i="20"/>
  <c r="R9" i="20"/>
  <c r="R11" i="20"/>
  <c r="R13" i="20"/>
  <c r="R15" i="20"/>
  <c r="R17" i="20"/>
  <c r="R19" i="20"/>
  <c r="R21" i="20"/>
  <c r="R23" i="20"/>
  <c r="R25" i="20"/>
  <c r="R27" i="20"/>
  <c r="R30" i="20"/>
  <c r="Q30" i="20"/>
  <c r="Q9" i="20"/>
  <c r="Q13" i="20"/>
  <c r="Q17" i="20"/>
  <c r="Q21" i="20"/>
  <c r="Q25" i="20"/>
  <c r="Q29" i="20"/>
  <c r="R8" i="20"/>
  <c r="R10" i="20"/>
  <c r="R12" i="20"/>
  <c r="R14" i="20"/>
  <c r="R16" i="20"/>
  <c r="R18" i="20"/>
  <c r="R20" i="20"/>
  <c r="R22" i="20"/>
  <c r="R24" i="20"/>
  <c r="R26" i="20"/>
  <c r="R28" i="20"/>
  <c r="M35" i="25" l="1"/>
  <c r="E103" i="4"/>
  <c r="F103" i="4"/>
  <c r="N10" i="4"/>
  <c r="G25" i="19"/>
  <c r="D27" i="11"/>
  <c r="N27" i="11" s="1"/>
  <c r="D31" i="11"/>
  <c r="U20" i="11" s="1"/>
  <c r="D29" i="11"/>
  <c r="M29" i="11" s="1"/>
  <c r="J30" i="20"/>
  <c r="K30" i="20"/>
  <c r="F57" i="24"/>
  <c r="P32" i="24" s="1"/>
  <c r="G57" i="24"/>
  <c r="Q32" i="24" s="1"/>
  <c r="F58" i="24"/>
  <c r="R32" i="24" s="1"/>
  <c r="G58" i="24"/>
  <c r="S32" i="24" s="1"/>
  <c r="F59" i="23"/>
  <c r="G59" i="23"/>
  <c r="F86" i="14"/>
  <c r="S60" i="14" s="1"/>
  <c r="G86" i="14"/>
  <c r="T60" i="14" s="1"/>
  <c r="E77" i="11"/>
  <c r="C77" i="11"/>
  <c r="F53" i="23"/>
  <c r="G53" i="23"/>
  <c r="F54" i="23"/>
  <c r="G54" i="23"/>
  <c r="F55" i="23"/>
  <c r="G55" i="23"/>
  <c r="F56" i="23"/>
  <c r="G56" i="23"/>
  <c r="F57" i="23"/>
  <c r="G57" i="23"/>
  <c r="G58" i="23"/>
  <c r="F58" i="23"/>
  <c r="G85" i="14"/>
  <c r="R60" i="14" s="1"/>
  <c r="F85" i="14"/>
  <c r="Q60" i="14" s="1"/>
  <c r="E52" i="13"/>
  <c r="E51" i="13"/>
  <c r="U28" i="13" s="1"/>
  <c r="B77" i="11"/>
  <c r="C42" i="9"/>
  <c r="P102" i="9"/>
  <c r="Q102" i="9"/>
  <c r="M102" i="9"/>
  <c r="N102" i="9"/>
  <c r="J102" i="9"/>
  <c r="K102" i="9"/>
  <c r="G102" i="9"/>
  <c r="H102" i="9"/>
  <c r="D102" i="9"/>
  <c r="E102" i="9"/>
  <c r="T26" i="9"/>
  <c r="R26" i="9"/>
  <c r="F84" i="10"/>
  <c r="E84" i="10"/>
  <c r="G140" i="8"/>
  <c r="F140" i="8"/>
  <c r="P25" i="10"/>
  <c r="O25" i="10"/>
  <c r="F27" i="19"/>
  <c r="F76" i="11"/>
  <c r="E76" i="11"/>
  <c r="C76" i="11"/>
  <c r="B76" i="11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M8" i="24"/>
  <c r="L8" i="24"/>
  <c r="M7" i="24"/>
  <c r="L7" i="24"/>
  <c r="H53" i="12"/>
  <c r="I53" i="12" s="1"/>
  <c r="H54" i="12"/>
  <c r="I54" i="12" s="1"/>
  <c r="H55" i="12"/>
  <c r="I55" i="12" s="1"/>
  <c r="H56" i="12"/>
  <c r="I56" i="12" s="1"/>
  <c r="H57" i="12"/>
  <c r="I57" i="12" s="1"/>
  <c r="H58" i="12"/>
  <c r="I58" i="12" s="1"/>
  <c r="N53" i="12"/>
  <c r="N54" i="12"/>
  <c r="N55" i="12"/>
  <c r="N56" i="12"/>
  <c r="N57" i="12"/>
  <c r="N58" i="12"/>
  <c r="G56" i="12"/>
  <c r="H17" i="17"/>
  <c r="H18" i="17"/>
  <c r="H9" i="17"/>
  <c r="K23" i="17"/>
  <c r="K24" i="17"/>
  <c r="K25" i="17"/>
  <c r="H50" i="12"/>
  <c r="I50" i="12" s="1"/>
  <c r="H52" i="12"/>
  <c r="I52" i="12" s="1"/>
  <c r="H49" i="12"/>
  <c r="I49" i="12" s="1"/>
  <c r="H10" i="12"/>
  <c r="I10" i="12" s="1"/>
  <c r="H11" i="12"/>
  <c r="I11" i="12" s="1"/>
  <c r="H12" i="12"/>
  <c r="I12" i="12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8" i="12"/>
  <c r="I48" i="12" s="1"/>
  <c r="H9" i="12"/>
  <c r="F56" i="24"/>
  <c r="R31" i="24" s="1"/>
  <c r="G56" i="24"/>
  <c r="S31" i="24" s="1"/>
  <c r="F84" i="14"/>
  <c r="S59" i="14" s="1"/>
  <c r="G84" i="14"/>
  <c r="T59" i="14" s="1"/>
  <c r="K29" i="22"/>
  <c r="J29" i="22"/>
  <c r="J28" i="21"/>
  <c r="K28" i="21"/>
  <c r="L29" i="20"/>
  <c r="K29" i="20"/>
  <c r="J29" i="20"/>
  <c r="K29" i="16"/>
  <c r="J29" i="16"/>
  <c r="C75" i="11"/>
  <c r="F26" i="19"/>
  <c r="E50" i="13"/>
  <c r="J24" i="10"/>
  <c r="I24" i="10"/>
  <c r="F83" i="10"/>
  <c r="E83" i="10"/>
  <c r="P24" i="10"/>
  <c r="O24" i="10"/>
  <c r="M34" i="25"/>
  <c r="L34" i="25"/>
  <c r="F102" i="4"/>
  <c r="E102" i="4"/>
  <c r="R10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G139" i="8"/>
  <c r="F139" i="8"/>
  <c r="P101" i="9"/>
  <c r="Q101" i="9"/>
  <c r="M101" i="9"/>
  <c r="N101" i="9"/>
  <c r="J101" i="9"/>
  <c r="K101" i="9"/>
  <c r="G101" i="9"/>
  <c r="H101" i="9"/>
  <c r="D101" i="9"/>
  <c r="E101" i="9"/>
  <c r="R25" i="9"/>
  <c r="T25" i="9"/>
  <c r="B34" i="9"/>
  <c r="F55" i="24"/>
  <c r="P31" i="24" s="1"/>
  <c r="G55" i="24"/>
  <c r="Q31" i="24" s="1"/>
  <c r="L10" i="25"/>
  <c r="M10" i="25"/>
  <c r="L11" i="25"/>
  <c r="M11" i="25"/>
  <c r="L12" i="25"/>
  <c r="M12" i="25"/>
  <c r="L13" i="25"/>
  <c r="M13" i="25"/>
  <c r="L14" i="25"/>
  <c r="M14" i="25"/>
  <c r="L15" i="25"/>
  <c r="M15" i="25"/>
  <c r="L16" i="25"/>
  <c r="M16" i="25"/>
  <c r="L17" i="25"/>
  <c r="M17" i="25"/>
  <c r="L18" i="25"/>
  <c r="M18" i="25"/>
  <c r="L19" i="25"/>
  <c r="M19" i="25"/>
  <c r="L20" i="25"/>
  <c r="M20" i="25"/>
  <c r="L21" i="25"/>
  <c r="M21" i="25"/>
  <c r="L22" i="25"/>
  <c r="M22" i="25"/>
  <c r="L23" i="25"/>
  <c r="M23" i="25"/>
  <c r="L24" i="25"/>
  <c r="M24" i="25"/>
  <c r="L25" i="25"/>
  <c r="M25" i="25"/>
  <c r="L26" i="25"/>
  <c r="M26" i="25"/>
  <c r="L27" i="25"/>
  <c r="M27" i="25"/>
  <c r="L28" i="25"/>
  <c r="M28" i="25"/>
  <c r="L29" i="25"/>
  <c r="M29" i="25"/>
  <c r="L30" i="25"/>
  <c r="M30" i="25"/>
  <c r="L31" i="25"/>
  <c r="M31" i="25"/>
  <c r="L32" i="25"/>
  <c r="M32" i="25"/>
  <c r="L33" i="25"/>
  <c r="M33" i="25"/>
  <c r="M9" i="25"/>
  <c r="L9" i="25"/>
  <c r="G83" i="14"/>
  <c r="R59" i="14" s="1"/>
  <c r="F83" i="14"/>
  <c r="Q59" i="14" s="1"/>
  <c r="C74" i="11"/>
  <c r="AB30" i="11"/>
  <c r="AB31" i="11" s="1"/>
  <c r="AB32" i="11" s="1"/>
  <c r="AB33" i="11" s="1"/>
  <c r="AB34" i="11" s="1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P10" i="10"/>
  <c r="O10" i="10"/>
  <c r="M60" i="14"/>
  <c r="O60" i="14" s="1"/>
  <c r="P60" i="14" s="1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O34" i="14" s="1"/>
  <c r="P34" i="14" s="1"/>
  <c r="G53" i="12"/>
  <c r="M31" i="12" s="1"/>
  <c r="G54" i="12"/>
  <c r="G55" i="12"/>
  <c r="M32" i="12" s="1"/>
  <c r="G57" i="12"/>
  <c r="M33" i="12" s="1"/>
  <c r="G58" i="12"/>
  <c r="E49" i="13"/>
  <c r="U27" i="13" s="1"/>
  <c r="D74" i="11"/>
  <c r="S42" i="11" s="1"/>
  <c r="D75" i="11"/>
  <c r="U42" i="11" s="1"/>
  <c r="F53" i="24"/>
  <c r="P30" i="24" s="1"/>
  <c r="G53" i="24"/>
  <c r="Q30" i="24" s="1"/>
  <c r="F54" i="24"/>
  <c r="R30" i="24" s="1"/>
  <c r="G54" i="24"/>
  <c r="S30" i="24" s="1"/>
  <c r="A10" i="25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E46" i="13"/>
  <c r="E48" i="13"/>
  <c r="E47" i="13"/>
  <c r="U26" i="13" s="1"/>
  <c r="P100" i="9"/>
  <c r="Q100" i="9"/>
  <c r="M100" i="9"/>
  <c r="N100" i="9"/>
  <c r="J100" i="9"/>
  <c r="K100" i="9"/>
  <c r="G100" i="9"/>
  <c r="H100" i="9"/>
  <c r="D100" i="9"/>
  <c r="E100" i="9"/>
  <c r="R24" i="9"/>
  <c r="T24" i="9"/>
  <c r="D73" i="11"/>
  <c r="U41" i="11" s="1"/>
  <c r="F73" i="11"/>
  <c r="E73" i="11"/>
  <c r="G82" i="14"/>
  <c r="T58" i="14" s="1"/>
  <c r="F82" i="14"/>
  <c r="S58" i="14" s="1"/>
  <c r="S40" i="11"/>
  <c r="S39" i="11"/>
  <c r="S38" i="11"/>
  <c r="U40" i="11"/>
  <c r="U39" i="11"/>
  <c r="U38" i="11"/>
  <c r="U37" i="11"/>
  <c r="E101" i="4"/>
  <c r="F101" i="4"/>
  <c r="F82" i="10"/>
  <c r="E82" i="10"/>
  <c r="J23" i="10"/>
  <c r="I23" i="10"/>
  <c r="H138" i="8"/>
  <c r="G138" i="8"/>
  <c r="F138" i="8"/>
  <c r="G81" i="14"/>
  <c r="R58" i="14" s="1"/>
  <c r="F81" i="14"/>
  <c r="Q58" i="14" s="1"/>
  <c r="L7" i="10"/>
  <c r="L8" i="10"/>
  <c r="F25" i="19"/>
  <c r="T12" i="19" s="1"/>
  <c r="E45" i="13"/>
  <c r="U25" i="13" s="1"/>
  <c r="H51" i="12"/>
  <c r="I51" i="12" s="1"/>
  <c r="F47" i="12"/>
  <c r="F75" i="12" s="1"/>
  <c r="C72" i="11"/>
  <c r="D72" i="11" s="1"/>
  <c r="F30" i="17"/>
  <c r="F31" i="17"/>
  <c r="F32" i="17"/>
  <c r="E32" i="17"/>
  <c r="E31" i="17"/>
  <c r="E30" i="17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6" i="16"/>
  <c r="E56" i="1"/>
  <c r="E30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8" i="1"/>
  <c r="K28" i="22"/>
  <c r="J28" i="22"/>
  <c r="K27" i="21"/>
  <c r="J27" i="21"/>
  <c r="K28" i="20"/>
  <c r="J28" i="20"/>
  <c r="K28" i="16"/>
  <c r="J28" i="16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8" i="11"/>
  <c r="N28" i="11"/>
  <c r="M30" i="11"/>
  <c r="N30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G52" i="24"/>
  <c r="S29" i="24" s="1"/>
  <c r="F52" i="24"/>
  <c r="R29" i="24" s="1"/>
  <c r="G51" i="24"/>
  <c r="Q29" i="24" s="1"/>
  <c r="F51" i="24"/>
  <c r="P29" i="24" s="1"/>
  <c r="G50" i="24"/>
  <c r="S28" i="24" s="1"/>
  <c r="F50" i="24"/>
  <c r="R28" i="24" s="1"/>
  <c r="G49" i="24"/>
  <c r="Q28" i="24" s="1"/>
  <c r="F49" i="24"/>
  <c r="P28" i="24" s="1"/>
  <c r="G48" i="24"/>
  <c r="S27" i="24" s="1"/>
  <c r="F48" i="24"/>
  <c r="R27" i="24" s="1"/>
  <c r="G47" i="24"/>
  <c r="Q27" i="24" s="1"/>
  <c r="F47" i="24"/>
  <c r="P27" i="24" s="1"/>
  <c r="G46" i="24"/>
  <c r="S26" i="24" s="1"/>
  <c r="F46" i="24"/>
  <c r="R26" i="24" s="1"/>
  <c r="G45" i="24"/>
  <c r="Q26" i="24" s="1"/>
  <c r="F45" i="24"/>
  <c r="P26" i="24" s="1"/>
  <c r="G44" i="24"/>
  <c r="S25" i="24" s="1"/>
  <c r="F44" i="24"/>
  <c r="R25" i="24" s="1"/>
  <c r="G43" i="24"/>
  <c r="Q25" i="24" s="1"/>
  <c r="F43" i="24"/>
  <c r="P25" i="24" s="1"/>
  <c r="G42" i="24"/>
  <c r="S24" i="24" s="1"/>
  <c r="F42" i="24"/>
  <c r="R24" i="24" s="1"/>
  <c r="G41" i="24"/>
  <c r="Q24" i="24" s="1"/>
  <c r="F41" i="24"/>
  <c r="P24" i="24" s="1"/>
  <c r="H26" i="24"/>
  <c r="H28" i="24" s="1"/>
  <c r="H30" i="24" s="1"/>
  <c r="H32" i="24" s="1"/>
  <c r="H34" i="24" s="1"/>
  <c r="H36" i="24" s="1"/>
  <c r="H38" i="24" s="1"/>
  <c r="H40" i="24" s="1"/>
  <c r="G40" i="24"/>
  <c r="S23" i="24" s="1"/>
  <c r="F40" i="24"/>
  <c r="R23" i="24" s="1"/>
  <c r="H25" i="24"/>
  <c r="H27" i="24" s="1"/>
  <c r="H29" i="24" s="1"/>
  <c r="H31" i="24" s="1"/>
  <c r="H33" i="24" s="1"/>
  <c r="H35" i="24" s="1"/>
  <c r="H37" i="24" s="1"/>
  <c r="H39" i="24" s="1"/>
  <c r="G39" i="24"/>
  <c r="Q23" i="24" s="1"/>
  <c r="F39" i="24"/>
  <c r="P23" i="24" s="1"/>
  <c r="G38" i="24"/>
  <c r="S22" i="24" s="1"/>
  <c r="F38" i="24"/>
  <c r="R22" i="24" s="1"/>
  <c r="G37" i="24"/>
  <c r="Q22" i="24" s="1"/>
  <c r="F37" i="24"/>
  <c r="P22" i="24" s="1"/>
  <c r="G36" i="24"/>
  <c r="S21" i="24" s="1"/>
  <c r="F36" i="24"/>
  <c r="R21" i="24" s="1"/>
  <c r="G35" i="24"/>
  <c r="Q21" i="24" s="1"/>
  <c r="F35" i="24"/>
  <c r="P21" i="24" s="1"/>
  <c r="G34" i="24"/>
  <c r="S20" i="24" s="1"/>
  <c r="F34" i="24"/>
  <c r="R20" i="24" s="1"/>
  <c r="G33" i="24"/>
  <c r="Q20" i="24" s="1"/>
  <c r="F33" i="24"/>
  <c r="P20" i="24" s="1"/>
  <c r="G32" i="24"/>
  <c r="S19" i="24" s="1"/>
  <c r="F32" i="24"/>
  <c r="R19" i="24" s="1"/>
  <c r="G31" i="24"/>
  <c r="Q19" i="24" s="1"/>
  <c r="F31" i="24"/>
  <c r="P19" i="24" s="1"/>
  <c r="G30" i="24"/>
  <c r="S18" i="24" s="1"/>
  <c r="F30" i="24"/>
  <c r="R18" i="24" s="1"/>
  <c r="G29" i="24"/>
  <c r="Q18" i="24" s="1"/>
  <c r="F29" i="24"/>
  <c r="P18" i="24" s="1"/>
  <c r="G28" i="24"/>
  <c r="S17" i="24" s="1"/>
  <c r="F28" i="24"/>
  <c r="R17" i="24" s="1"/>
  <c r="G27" i="24"/>
  <c r="Q17" i="24" s="1"/>
  <c r="F27" i="24"/>
  <c r="P17" i="24" s="1"/>
  <c r="G26" i="24"/>
  <c r="S16" i="24" s="1"/>
  <c r="F26" i="24"/>
  <c r="R16" i="24" s="1"/>
  <c r="G25" i="24"/>
  <c r="Q16" i="24" s="1"/>
  <c r="F25" i="24"/>
  <c r="P16" i="24" s="1"/>
  <c r="G24" i="24"/>
  <c r="S15" i="24" s="1"/>
  <c r="F24" i="24"/>
  <c r="R15" i="24" s="1"/>
  <c r="G23" i="24"/>
  <c r="Q15" i="24" s="1"/>
  <c r="F23" i="24"/>
  <c r="P15" i="24" s="1"/>
  <c r="G22" i="24"/>
  <c r="S14" i="24" s="1"/>
  <c r="F22" i="24"/>
  <c r="R14" i="24" s="1"/>
  <c r="G21" i="24"/>
  <c r="Q14" i="24" s="1"/>
  <c r="F21" i="24"/>
  <c r="P14" i="24" s="1"/>
  <c r="G20" i="24"/>
  <c r="S13" i="24" s="1"/>
  <c r="F20" i="24"/>
  <c r="R13" i="24" s="1"/>
  <c r="G19" i="24"/>
  <c r="Q13" i="24" s="1"/>
  <c r="F19" i="24"/>
  <c r="P13" i="24" s="1"/>
  <c r="G18" i="24"/>
  <c r="S12" i="24" s="1"/>
  <c r="F18" i="24"/>
  <c r="R12" i="24" s="1"/>
  <c r="G17" i="24"/>
  <c r="Q12" i="24" s="1"/>
  <c r="F17" i="24"/>
  <c r="P12" i="24" s="1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H54" i="14"/>
  <c r="H56" i="14" s="1"/>
  <c r="H58" i="14" s="1"/>
  <c r="H60" i="14" s="1"/>
  <c r="H62" i="14" s="1"/>
  <c r="H64" i="14" s="1"/>
  <c r="H66" i="14" s="1"/>
  <c r="H68" i="14" s="1"/>
  <c r="H53" i="14"/>
  <c r="H55" i="14" s="1"/>
  <c r="H57" i="14" s="1"/>
  <c r="H59" i="14" s="1"/>
  <c r="H61" i="14" s="1"/>
  <c r="H63" i="14" s="1"/>
  <c r="H65" i="14" s="1"/>
  <c r="H67" i="14" s="1"/>
  <c r="F46" i="14"/>
  <c r="S40" i="14" s="1"/>
  <c r="G46" i="14"/>
  <c r="T40" i="14" s="1"/>
  <c r="F47" i="14"/>
  <c r="Q41" i="14" s="1"/>
  <c r="G47" i="14"/>
  <c r="R41" i="14" s="1"/>
  <c r="F48" i="14"/>
  <c r="S41" i="14" s="1"/>
  <c r="G48" i="14"/>
  <c r="T41" i="14" s="1"/>
  <c r="F49" i="14"/>
  <c r="Q42" i="14" s="1"/>
  <c r="G49" i="14"/>
  <c r="R42" i="14" s="1"/>
  <c r="F50" i="14"/>
  <c r="S42" i="14" s="1"/>
  <c r="G50" i="14"/>
  <c r="T42" i="14" s="1"/>
  <c r="F51" i="14"/>
  <c r="Q43" i="14" s="1"/>
  <c r="G51" i="14"/>
  <c r="R43" i="14" s="1"/>
  <c r="F52" i="14"/>
  <c r="S43" i="14" s="1"/>
  <c r="G52" i="14"/>
  <c r="T43" i="14" s="1"/>
  <c r="F53" i="14"/>
  <c r="Q44" i="14" s="1"/>
  <c r="G53" i="14"/>
  <c r="R44" i="14" s="1"/>
  <c r="F54" i="14"/>
  <c r="S44" i="14" s="1"/>
  <c r="G54" i="14"/>
  <c r="T44" i="14" s="1"/>
  <c r="F55" i="14"/>
  <c r="Q45" i="14" s="1"/>
  <c r="G55" i="14"/>
  <c r="R45" i="14" s="1"/>
  <c r="F56" i="14"/>
  <c r="S45" i="14" s="1"/>
  <c r="G56" i="14"/>
  <c r="T45" i="14" s="1"/>
  <c r="F57" i="14"/>
  <c r="Q46" i="14" s="1"/>
  <c r="G57" i="14"/>
  <c r="R46" i="14" s="1"/>
  <c r="F58" i="14"/>
  <c r="S46" i="14" s="1"/>
  <c r="G58" i="14"/>
  <c r="T46" i="14" s="1"/>
  <c r="F59" i="14"/>
  <c r="Q47" i="14" s="1"/>
  <c r="G59" i="14"/>
  <c r="R47" i="14" s="1"/>
  <c r="F60" i="14"/>
  <c r="S47" i="14" s="1"/>
  <c r="G60" i="14"/>
  <c r="T47" i="14" s="1"/>
  <c r="F61" i="14"/>
  <c r="Q48" i="14" s="1"/>
  <c r="G61" i="14"/>
  <c r="R48" i="14" s="1"/>
  <c r="F62" i="14"/>
  <c r="S48" i="14" s="1"/>
  <c r="G62" i="14"/>
  <c r="T48" i="14" s="1"/>
  <c r="F63" i="14"/>
  <c r="Q49" i="14" s="1"/>
  <c r="G63" i="14"/>
  <c r="R49" i="14" s="1"/>
  <c r="F64" i="14"/>
  <c r="S49" i="14" s="1"/>
  <c r="G64" i="14"/>
  <c r="T49" i="14" s="1"/>
  <c r="F65" i="14"/>
  <c r="Q50" i="14" s="1"/>
  <c r="G65" i="14"/>
  <c r="R50" i="14" s="1"/>
  <c r="F66" i="14"/>
  <c r="S50" i="14" s="1"/>
  <c r="G66" i="14"/>
  <c r="T50" i="14" s="1"/>
  <c r="F67" i="14"/>
  <c r="Q51" i="14" s="1"/>
  <c r="G67" i="14"/>
  <c r="R51" i="14" s="1"/>
  <c r="F68" i="14"/>
  <c r="S51" i="14" s="1"/>
  <c r="G68" i="14"/>
  <c r="T51" i="14" s="1"/>
  <c r="F69" i="14"/>
  <c r="Q52" i="14" s="1"/>
  <c r="G69" i="14"/>
  <c r="R52" i="14" s="1"/>
  <c r="F70" i="14"/>
  <c r="S52" i="14" s="1"/>
  <c r="G70" i="14"/>
  <c r="T52" i="14" s="1"/>
  <c r="F71" i="14"/>
  <c r="Q53" i="14" s="1"/>
  <c r="G71" i="14"/>
  <c r="R53" i="14" s="1"/>
  <c r="F72" i="14"/>
  <c r="S53" i="14" s="1"/>
  <c r="G72" i="14"/>
  <c r="T53" i="14" s="1"/>
  <c r="F73" i="14"/>
  <c r="Q54" i="14" s="1"/>
  <c r="G73" i="14"/>
  <c r="R54" i="14" s="1"/>
  <c r="F74" i="14"/>
  <c r="S54" i="14" s="1"/>
  <c r="G74" i="14"/>
  <c r="T54" i="14" s="1"/>
  <c r="F75" i="14"/>
  <c r="Q55" i="14" s="1"/>
  <c r="G75" i="14"/>
  <c r="R55" i="14" s="1"/>
  <c r="F76" i="14"/>
  <c r="S55" i="14" s="1"/>
  <c r="G76" i="14"/>
  <c r="T55" i="14" s="1"/>
  <c r="F77" i="14"/>
  <c r="Q56" i="14" s="1"/>
  <c r="G77" i="14"/>
  <c r="R56" i="14" s="1"/>
  <c r="F78" i="14"/>
  <c r="S56" i="14" s="1"/>
  <c r="G78" i="14"/>
  <c r="T56" i="14" s="1"/>
  <c r="F79" i="14"/>
  <c r="Q57" i="14" s="1"/>
  <c r="G79" i="14"/>
  <c r="R57" i="14" s="1"/>
  <c r="F80" i="14"/>
  <c r="S57" i="14" s="1"/>
  <c r="G80" i="14"/>
  <c r="T57" i="14" s="1"/>
  <c r="G45" i="14"/>
  <c r="R40" i="14" s="1"/>
  <c r="F45" i="14"/>
  <c r="Q40" i="14" s="1"/>
  <c r="T10" i="23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H26" i="23"/>
  <c r="H28" i="23" s="1"/>
  <c r="H30" i="23" s="1"/>
  <c r="H32" i="23" s="1"/>
  <c r="H34" i="23" s="1"/>
  <c r="H36" i="23" s="1"/>
  <c r="H38" i="23" s="1"/>
  <c r="H40" i="23" s="1"/>
  <c r="U26" i="23"/>
  <c r="H27" i="23"/>
  <c r="H29" i="23" s="1"/>
  <c r="H31" i="23" s="1"/>
  <c r="H33" i="23" s="1"/>
  <c r="H35" i="23" s="1"/>
  <c r="H37" i="23" s="1"/>
  <c r="H39" i="23" s="1"/>
  <c r="H41" i="23" s="1"/>
  <c r="M70" i="11"/>
  <c r="N70" i="11"/>
  <c r="M71" i="11"/>
  <c r="N71" i="11"/>
  <c r="F100" i="4"/>
  <c r="E100" i="4"/>
  <c r="P99" i="9"/>
  <c r="Q99" i="9"/>
  <c r="M99" i="9"/>
  <c r="N99" i="9"/>
  <c r="J99" i="9"/>
  <c r="K99" i="9"/>
  <c r="G99" i="9"/>
  <c r="H99" i="9"/>
  <c r="D99" i="9"/>
  <c r="E99" i="9"/>
  <c r="H137" i="8"/>
  <c r="G137" i="8"/>
  <c r="F137" i="8"/>
  <c r="C45" i="9"/>
  <c r="C44" i="9"/>
  <c r="C41" i="9"/>
  <c r="F81" i="10"/>
  <c r="E81" i="10"/>
  <c r="H22" i="10"/>
  <c r="I22" i="10" s="1"/>
  <c r="R23" i="9"/>
  <c r="T23" i="9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R11" i="9"/>
  <c r="T11" i="9"/>
  <c r="R12" i="9"/>
  <c r="T12" i="9"/>
  <c r="R13" i="9"/>
  <c r="T13" i="9"/>
  <c r="R14" i="9"/>
  <c r="T14" i="9"/>
  <c r="R15" i="9"/>
  <c r="T15" i="9"/>
  <c r="R16" i="9"/>
  <c r="T16" i="9"/>
  <c r="R17" i="9"/>
  <c r="T17" i="9"/>
  <c r="R18" i="9"/>
  <c r="T18" i="9"/>
  <c r="R19" i="9"/>
  <c r="T19" i="9"/>
  <c r="R20" i="9"/>
  <c r="T20" i="9"/>
  <c r="R21" i="9"/>
  <c r="T21" i="9"/>
  <c r="R22" i="9"/>
  <c r="T22" i="9"/>
  <c r="D85" i="9"/>
  <c r="E85" i="9"/>
  <c r="D86" i="9"/>
  <c r="E86" i="9"/>
  <c r="D87" i="9"/>
  <c r="E87" i="9"/>
  <c r="G87" i="9"/>
  <c r="H87" i="9"/>
  <c r="J87" i="9"/>
  <c r="K87" i="9"/>
  <c r="M87" i="9"/>
  <c r="N87" i="9"/>
  <c r="P87" i="9"/>
  <c r="Q87" i="9"/>
  <c r="D88" i="9"/>
  <c r="E88" i="9"/>
  <c r="G88" i="9"/>
  <c r="H88" i="9"/>
  <c r="J88" i="9"/>
  <c r="K88" i="9"/>
  <c r="M88" i="9"/>
  <c r="N88" i="9"/>
  <c r="P88" i="9"/>
  <c r="Q88" i="9"/>
  <c r="D89" i="9"/>
  <c r="E89" i="9"/>
  <c r="G89" i="9"/>
  <c r="H89" i="9"/>
  <c r="J89" i="9"/>
  <c r="K89" i="9"/>
  <c r="M89" i="9"/>
  <c r="N89" i="9"/>
  <c r="P89" i="9"/>
  <c r="Q89" i="9"/>
  <c r="D90" i="9"/>
  <c r="E90" i="9"/>
  <c r="G90" i="9"/>
  <c r="H90" i="9"/>
  <c r="J90" i="9"/>
  <c r="K90" i="9"/>
  <c r="M90" i="9"/>
  <c r="N90" i="9"/>
  <c r="P90" i="9"/>
  <c r="Q90" i="9"/>
  <c r="D91" i="9"/>
  <c r="E91" i="9"/>
  <c r="G91" i="9"/>
  <c r="H91" i="9"/>
  <c r="J91" i="9"/>
  <c r="K91" i="9"/>
  <c r="M91" i="9"/>
  <c r="N91" i="9"/>
  <c r="P91" i="9"/>
  <c r="Q91" i="9"/>
  <c r="D92" i="9"/>
  <c r="E92" i="9"/>
  <c r="G92" i="9"/>
  <c r="H92" i="9"/>
  <c r="J92" i="9"/>
  <c r="K92" i="9"/>
  <c r="M92" i="9"/>
  <c r="N92" i="9"/>
  <c r="P92" i="9"/>
  <c r="Q92" i="9"/>
  <c r="D93" i="9"/>
  <c r="E93" i="9"/>
  <c r="G93" i="9"/>
  <c r="H93" i="9"/>
  <c r="J93" i="9"/>
  <c r="K93" i="9"/>
  <c r="M93" i="9"/>
  <c r="N93" i="9"/>
  <c r="P93" i="9"/>
  <c r="Q93" i="9"/>
  <c r="D94" i="9"/>
  <c r="E94" i="9"/>
  <c r="G94" i="9"/>
  <c r="H94" i="9"/>
  <c r="J94" i="9"/>
  <c r="K94" i="9"/>
  <c r="M94" i="9"/>
  <c r="N94" i="9"/>
  <c r="P94" i="9"/>
  <c r="Q94" i="9"/>
  <c r="D95" i="9"/>
  <c r="E95" i="9"/>
  <c r="G95" i="9"/>
  <c r="H95" i="9"/>
  <c r="J95" i="9"/>
  <c r="K95" i="9"/>
  <c r="M95" i="9"/>
  <c r="N95" i="9"/>
  <c r="P95" i="9"/>
  <c r="Q95" i="9"/>
  <c r="D96" i="9"/>
  <c r="E96" i="9"/>
  <c r="G96" i="9"/>
  <c r="H96" i="9"/>
  <c r="J96" i="9"/>
  <c r="K96" i="9"/>
  <c r="M96" i="9"/>
  <c r="N96" i="9"/>
  <c r="P96" i="9"/>
  <c r="Q96" i="9"/>
  <c r="D97" i="9"/>
  <c r="E97" i="9"/>
  <c r="G97" i="9"/>
  <c r="H97" i="9"/>
  <c r="J97" i="9"/>
  <c r="K97" i="9"/>
  <c r="M97" i="9"/>
  <c r="N97" i="9"/>
  <c r="P97" i="9"/>
  <c r="Q97" i="9"/>
  <c r="D98" i="9"/>
  <c r="E98" i="9"/>
  <c r="G98" i="9"/>
  <c r="H98" i="9"/>
  <c r="J98" i="9"/>
  <c r="K98" i="9"/>
  <c r="M98" i="9"/>
  <c r="N98" i="9"/>
  <c r="P98" i="9"/>
  <c r="Q98" i="9"/>
  <c r="B111" i="9"/>
  <c r="D111" i="9"/>
  <c r="B112" i="9"/>
  <c r="D112" i="9"/>
  <c r="B113" i="9"/>
  <c r="D113" i="9"/>
  <c r="D116" i="9"/>
  <c r="E116" i="9"/>
  <c r="D119" i="9"/>
  <c r="E119" i="9"/>
  <c r="D122" i="9"/>
  <c r="E122" i="9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J27" i="16"/>
  <c r="K27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E10" i="17"/>
  <c r="H10" i="17" s="1"/>
  <c r="E11" i="17"/>
  <c r="H11" i="17" s="1"/>
  <c r="E12" i="17"/>
  <c r="H12" i="17" s="1"/>
  <c r="E13" i="17"/>
  <c r="H13" i="17" s="1"/>
  <c r="E19" i="17"/>
  <c r="E20" i="17"/>
  <c r="F20" i="17"/>
  <c r="E21" i="17"/>
  <c r="F21" i="17"/>
  <c r="E22" i="17"/>
  <c r="F22" i="17"/>
  <c r="E26" i="17"/>
  <c r="F26" i="17"/>
  <c r="E27" i="17"/>
  <c r="F27" i="17"/>
  <c r="E28" i="17"/>
  <c r="F28" i="17"/>
  <c r="E29" i="17"/>
  <c r="F29" i="17"/>
  <c r="T7" i="13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U7" i="13"/>
  <c r="U8" i="13"/>
  <c r="U9" i="13"/>
  <c r="U10" i="13"/>
  <c r="U11" i="13"/>
  <c r="U12" i="13"/>
  <c r="U13" i="13"/>
  <c r="U14" i="13"/>
  <c r="E29" i="13"/>
  <c r="E31" i="13"/>
  <c r="U18" i="13" s="1"/>
  <c r="G19" i="13"/>
  <c r="G21" i="13" s="1"/>
  <c r="G23" i="13" s="1"/>
  <c r="G25" i="13" s="1"/>
  <c r="G27" i="13" s="1"/>
  <c r="G29" i="13" s="1"/>
  <c r="G31" i="13" s="1"/>
  <c r="G33" i="13" s="1"/>
  <c r="E33" i="13"/>
  <c r="U19" i="13" s="1"/>
  <c r="G20" i="13"/>
  <c r="G22" i="13" s="1"/>
  <c r="G24" i="13" s="1"/>
  <c r="G26" i="13" s="1"/>
  <c r="G28" i="13" s="1"/>
  <c r="G30" i="13" s="1"/>
  <c r="G32" i="13" s="1"/>
  <c r="G34" i="13" s="1"/>
  <c r="E41" i="13"/>
  <c r="U23" i="13" s="1"/>
  <c r="E28" i="13"/>
  <c r="E30" i="13"/>
  <c r="E36" i="13"/>
  <c r="E40" i="13"/>
  <c r="E43" i="13"/>
  <c r="U24" i="13" s="1"/>
  <c r="E44" i="13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J7" i="19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I12" i="19"/>
  <c r="I13" i="19"/>
  <c r="I14" i="19"/>
  <c r="I15" i="19"/>
  <c r="I16" i="19"/>
  <c r="I17" i="19"/>
  <c r="I18" i="19"/>
  <c r="B22" i="19"/>
  <c r="C22" i="19"/>
  <c r="D22" i="19"/>
  <c r="E22" i="19"/>
  <c r="F22" i="19"/>
  <c r="G22" i="19"/>
  <c r="H22" i="19"/>
  <c r="N61" i="11"/>
  <c r="N62" i="11"/>
  <c r="N63" i="11"/>
  <c r="N64" i="11"/>
  <c r="N65" i="11"/>
  <c r="N66" i="11"/>
  <c r="N67" i="11"/>
  <c r="N68" i="11"/>
  <c r="N69" i="11"/>
  <c r="N60" i="11"/>
  <c r="M61" i="11"/>
  <c r="M62" i="11"/>
  <c r="M63" i="11"/>
  <c r="M64" i="11"/>
  <c r="M65" i="11"/>
  <c r="M66" i="11"/>
  <c r="M67" i="11"/>
  <c r="M68" i="11"/>
  <c r="M69" i="11"/>
  <c r="M60" i="11"/>
  <c r="Q6" i="11"/>
  <c r="U7" i="11"/>
  <c r="Q8" i="1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S8" i="11"/>
  <c r="U8" i="11"/>
  <c r="S9" i="11"/>
  <c r="T9" i="11"/>
  <c r="T10" i="11" s="1"/>
  <c r="T11" i="11" s="1"/>
  <c r="T12" i="11" s="1"/>
  <c r="T13" i="11" s="1"/>
  <c r="T14" i="11" s="1"/>
  <c r="T15" i="11" s="1"/>
  <c r="T16" i="11" s="1"/>
  <c r="U9" i="11"/>
  <c r="S10" i="11"/>
  <c r="U10" i="11"/>
  <c r="S11" i="11"/>
  <c r="U11" i="11"/>
  <c r="S12" i="11"/>
  <c r="U12" i="11"/>
  <c r="S13" i="11"/>
  <c r="U13" i="11"/>
  <c r="S14" i="11"/>
  <c r="U14" i="11"/>
  <c r="S15" i="11"/>
  <c r="U15" i="11"/>
  <c r="S16" i="11"/>
  <c r="U16" i="11"/>
  <c r="S17" i="11"/>
  <c r="U17" i="11"/>
  <c r="S18" i="11"/>
  <c r="T18" i="1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S19" i="11"/>
  <c r="S20" i="11"/>
  <c r="S21" i="11"/>
  <c r="U21" i="11"/>
  <c r="S22" i="11"/>
  <c r="U22" i="11"/>
  <c r="S23" i="11"/>
  <c r="U23" i="11"/>
  <c r="S24" i="11"/>
  <c r="U24" i="11"/>
  <c r="S25" i="11"/>
  <c r="U25" i="11"/>
  <c r="S26" i="11"/>
  <c r="U26" i="11"/>
  <c r="S27" i="11"/>
  <c r="U27" i="11"/>
  <c r="S28" i="11"/>
  <c r="U28" i="11"/>
  <c r="S29" i="11"/>
  <c r="U29" i="11"/>
  <c r="S30" i="11"/>
  <c r="U30" i="11"/>
  <c r="S31" i="11"/>
  <c r="U31" i="11"/>
  <c r="S32" i="11"/>
  <c r="U32" i="11"/>
  <c r="S33" i="11"/>
  <c r="U33" i="11"/>
  <c r="S34" i="11"/>
  <c r="U34" i="11"/>
  <c r="S35" i="11"/>
  <c r="U35" i="11"/>
  <c r="S36" i="11"/>
  <c r="U36" i="11"/>
  <c r="S37" i="11"/>
  <c r="J27" i="20"/>
  <c r="K27" i="20"/>
  <c r="J6" i="20"/>
  <c r="K6" i="20"/>
  <c r="J7" i="20"/>
  <c r="K7" i="20"/>
  <c r="J8" i="20"/>
  <c r="K8" i="20"/>
  <c r="J9" i="20"/>
  <c r="K9" i="20"/>
  <c r="J10" i="20"/>
  <c r="K10" i="20"/>
  <c r="J11" i="20"/>
  <c r="K11" i="20"/>
  <c r="J12" i="20"/>
  <c r="K12" i="20"/>
  <c r="J13" i="20"/>
  <c r="K13" i="20"/>
  <c r="J14" i="20"/>
  <c r="K14" i="20"/>
  <c r="J15" i="20"/>
  <c r="K15" i="20"/>
  <c r="J16" i="20"/>
  <c r="K16" i="20"/>
  <c r="J17" i="20"/>
  <c r="K17" i="20"/>
  <c r="J18" i="20"/>
  <c r="K18" i="20"/>
  <c r="J19" i="20"/>
  <c r="K19" i="20"/>
  <c r="J20" i="20"/>
  <c r="K20" i="20"/>
  <c r="J21" i="20"/>
  <c r="K21" i="20"/>
  <c r="J22" i="20"/>
  <c r="K22" i="20"/>
  <c r="J23" i="20"/>
  <c r="K23" i="20"/>
  <c r="J24" i="20"/>
  <c r="K24" i="20"/>
  <c r="J25" i="20"/>
  <c r="K25" i="20"/>
  <c r="J26" i="20"/>
  <c r="K26" i="20"/>
  <c r="J26" i="21"/>
  <c r="K26" i="21"/>
  <c r="J5" i="21"/>
  <c r="K5" i="2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/>
  <c r="J23" i="21"/>
  <c r="K23" i="21"/>
  <c r="J24" i="21"/>
  <c r="K24" i="21"/>
  <c r="J25" i="21"/>
  <c r="K25" i="21"/>
  <c r="H5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H6" i="8"/>
  <c r="F7" i="8"/>
  <c r="H7" i="8"/>
  <c r="F8" i="8"/>
  <c r="H8" i="8"/>
  <c r="H9" i="8"/>
  <c r="H10" i="8"/>
  <c r="F11" i="8"/>
  <c r="H11" i="8"/>
  <c r="F12" i="8"/>
  <c r="H12" i="8"/>
  <c r="H13" i="8"/>
  <c r="H14" i="8"/>
  <c r="F15" i="8"/>
  <c r="H15" i="8"/>
  <c r="F16" i="8"/>
  <c r="H17" i="8"/>
  <c r="H18" i="8"/>
  <c r="F19" i="8"/>
  <c r="H19" i="8"/>
  <c r="F20" i="8"/>
  <c r="H20" i="8"/>
  <c r="F23" i="8"/>
  <c r="F24" i="8"/>
  <c r="F27" i="8"/>
  <c r="F28" i="8"/>
  <c r="F31" i="8"/>
  <c r="F32" i="8"/>
  <c r="M34" i="8"/>
  <c r="L41" i="8" s="1"/>
  <c r="F35" i="8"/>
  <c r="F36" i="8"/>
  <c r="F39" i="8"/>
  <c r="F40" i="8"/>
  <c r="F43" i="8"/>
  <c r="F44" i="8"/>
  <c r="F47" i="8"/>
  <c r="F48" i="8"/>
  <c r="F51" i="8"/>
  <c r="F52" i="8"/>
  <c r="F55" i="8"/>
  <c r="F56" i="8"/>
  <c r="F59" i="8"/>
  <c r="F60" i="8"/>
  <c r="F63" i="8"/>
  <c r="F64" i="8"/>
  <c r="F67" i="8"/>
  <c r="F68" i="8"/>
  <c r="P72" i="8"/>
  <c r="F121" i="8"/>
  <c r="G121" i="8"/>
  <c r="H121" i="8"/>
  <c r="E122" i="8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C17" i="15"/>
  <c r="E17" i="15"/>
  <c r="C18" i="15"/>
  <c r="E18" i="15"/>
  <c r="C19" i="15"/>
  <c r="E19" i="15"/>
  <c r="G9" i="12"/>
  <c r="L9" i="12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N9" i="12"/>
  <c r="G10" i="12"/>
  <c r="G11" i="12"/>
  <c r="M10" i="12" s="1"/>
  <c r="N10" i="12"/>
  <c r="G13" i="12"/>
  <c r="M11" i="12" s="1"/>
  <c r="N11" i="12"/>
  <c r="G12" i="12"/>
  <c r="G15" i="12"/>
  <c r="M12" i="12" s="1"/>
  <c r="N12" i="12"/>
  <c r="G17" i="12"/>
  <c r="M13" i="12" s="1"/>
  <c r="N13" i="12"/>
  <c r="G14" i="12"/>
  <c r="G19" i="12"/>
  <c r="M14" i="12" s="1"/>
  <c r="N14" i="12"/>
  <c r="G21" i="12"/>
  <c r="M15" i="12" s="1"/>
  <c r="N15" i="12"/>
  <c r="G16" i="12"/>
  <c r="G23" i="12"/>
  <c r="M16" i="12" s="1"/>
  <c r="N16" i="12"/>
  <c r="G25" i="12"/>
  <c r="M17" i="12" s="1"/>
  <c r="N17" i="12"/>
  <c r="G18" i="12"/>
  <c r="G27" i="12"/>
  <c r="M18" i="12" s="1"/>
  <c r="N18" i="12"/>
  <c r="G29" i="12"/>
  <c r="M19" i="12" s="1"/>
  <c r="N19" i="12"/>
  <c r="G20" i="12"/>
  <c r="G31" i="12"/>
  <c r="M20" i="12" s="1"/>
  <c r="N20" i="12"/>
  <c r="E33" i="12"/>
  <c r="E75" i="12" s="1"/>
  <c r="N21" i="12"/>
  <c r="G22" i="12"/>
  <c r="G35" i="12"/>
  <c r="N22" i="12"/>
  <c r="G37" i="12"/>
  <c r="M23" i="12" s="1"/>
  <c r="N23" i="12"/>
  <c r="G24" i="12"/>
  <c r="G39" i="12"/>
  <c r="M24" i="12" s="1"/>
  <c r="N24" i="12"/>
  <c r="G41" i="12"/>
  <c r="M25" i="12" s="1"/>
  <c r="N25" i="12"/>
  <c r="G26" i="12"/>
  <c r="G43" i="12"/>
  <c r="M26" i="12" s="1"/>
  <c r="N26" i="12"/>
  <c r="J27" i="12"/>
  <c r="J29" i="12" s="1"/>
  <c r="J31" i="12" s="1"/>
  <c r="J33" i="12" s="1"/>
  <c r="J35" i="12" s="1"/>
  <c r="J37" i="12" s="1"/>
  <c r="J39" i="12" s="1"/>
  <c r="J41" i="12" s="1"/>
  <c r="G45" i="12"/>
  <c r="M27" i="12" s="1"/>
  <c r="N27" i="12"/>
  <c r="G28" i="12"/>
  <c r="J28" i="12"/>
  <c r="J30" i="12" s="1"/>
  <c r="J32" i="12" s="1"/>
  <c r="J34" i="12" s="1"/>
  <c r="J36" i="12" s="1"/>
  <c r="J38" i="12" s="1"/>
  <c r="J40" i="12" s="1"/>
  <c r="J42" i="12" s="1"/>
  <c r="N28" i="12"/>
  <c r="G48" i="12"/>
  <c r="N29" i="12"/>
  <c r="G30" i="12"/>
  <c r="N30" i="12"/>
  <c r="N31" i="12"/>
  <c r="G32" i="12"/>
  <c r="N32" i="12"/>
  <c r="N33" i="12"/>
  <c r="G34" i="12"/>
  <c r="N34" i="12"/>
  <c r="N35" i="12"/>
  <c r="G36" i="12"/>
  <c r="N36" i="12"/>
  <c r="N37" i="12"/>
  <c r="G38" i="12"/>
  <c r="N38" i="12"/>
  <c r="N39" i="12"/>
  <c r="G40" i="12"/>
  <c r="N40" i="12"/>
  <c r="N41" i="12"/>
  <c r="G42" i="12"/>
  <c r="N42" i="12"/>
  <c r="N43" i="12"/>
  <c r="G44" i="12"/>
  <c r="N44" i="12"/>
  <c r="N45" i="12"/>
  <c r="G46" i="12"/>
  <c r="N46" i="12"/>
  <c r="N47" i="12"/>
  <c r="N48" i="12"/>
  <c r="G49" i="12"/>
  <c r="M29" i="12" s="1"/>
  <c r="N49" i="12"/>
  <c r="G50" i="12"/>
  <c r="N50" i="12"/>
  <c r="N51" i="12"/>
  <c r="G52" i="12"/>
  <c r="N52" i="12"/>
  <c r="H3" i="5"/>
  <c r="I3" i="5" s="1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S61" i="2"/>
  <c r="R61" i="2"/>
  <c r="S29" i="2"/>
  <c r="R29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H13" i="10"/>
  <c r="I13" i="10" s="1"/>
  <c r="H14" i="10"/>
  <c r="I14" i="10" s="1"/>
  <c r="H15" i="10"/>
  <c r="J15" i="10" s="1"/>
  <c r="H16" i="10"/>
  <c r="I16" i="10" s="1"/>
  <c r="H17" i="10"/>
  <c r="I17" i="10" s="1"/>
  <c r="H18" i="10"/>
  <c r="I18" i="10" s="1"/>
  <c r="H19" i="10"/>
  <c r="J19" i="10" s="1"/>
  <c r="H20" i="10"/>
  <c r="J20" i="10" s="1"/>
  <c r="H21" i="10"/>
  <c r="I21" i="10" s="1"/>
  <c r="B43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J27" i="22"/>
  <c r="K27" i="22"/>
  <c r="J6" i="22"/>
  <c r="K6" i="22"/>
  <c r="J7" i="22"/>
  <c r="K7" i="22"/>
  <c r="J8" i="22"/>
  <c r="K8" i="22"/>
  <c r="J9" i="22"/>
  <c r="K9" i="22"/>
  <c r="J10" i="22"/>
  <c r="K10" i="22"/>
  <c r="J11" i="22"/>
  <c r="K11" i="22"/>
  <c r="J12" i="22"/>
  <c r="K12" i="22"/>
  <c r="J13" i="22"/>
  <c r="K13" i="22"/>
  <c r="J14" i="22"/>
  <c r="K14" i="22"/>
  <c r="J15" i="22"/>
  <c r="K15" i="22"/>
  <c r="J16" i="22"/>
  <c r="K16" i="22"/>
  <c r="J17" i="22"/>
  <c r="K17" i="22"/>
  <c r="J18" i="22"/>
  <c r="K18" i="22"/>
  <c r="J19" i="22"/>
  <c r="K19" i="22"/>
  <c r="J20" i="22"/>
  <c r="K20" i="22"/>
  <c r="J21" i="22"/>
  <c r="K21" i="22"/>
  <c r="J22" i="22"/>
  <c r="K22" i="22"/>
  <c r="J23" i="22"/>
  <c r="K23" i="22"/>
  <c r="J24" i="22"/>
  <c r="K24" i="22"/>
  <c r="J25" i="22"/>
  <c r="K25" i="22"/>
  <c r="J26" i="22"/>
  <c r="K26" i="22"/>
  <c r="E42" i="13"/>
  <c r="U6" i="13"/>
  <c r="E37" i="13"/>
  <c r="E35" i="13"/>
  <c r="V20" i="11" l="1"/>
  <c r="M27" i="11"/>
  <c r="V38" i="11"/>
  <c r="L38" i="8"/>
  <c r="I9" i="12"/>
  <c r="G33" i="12"/>
  <c r="M21" i="12" s="1"/>
  <c r="V35" i="11"/>
  <c r="V31" i="11"/>
  <c r="V27" i="11"/>
  <c r="V23" i="11"/>
  <c r="V18" i="11"/>
  <c r="V14" i="11"/>
  <c r="V10" i="11"/>
  <c r="O18" i="24"/>
  <c r="V39" i="11"/>
  <c r="V8" i="11"/>
  <c r="O19" i="24"/>
  <c r="O27" i="24"/>
  <c r="V36" i="11"/>
  <c r="V32" i="11"/>
  <c r="V28" i="11"/>
  <c r="V24" i="11"/>
  <c r="V15" i="11"/>
  <c r="V11" i="11"/>
  <c r="V19" i="11"/>
  <c r="O7" i="24"/>
  <c r="O22" i="24"/>
  <c r="O30" i="24"/>
  <c r="S11" i="12"/>
  <c r="O23" i="24"/>
  <c r="M22" i="12"/>
  <c r="S10" i="12"/>
  <c r="V34" i="11"/>
  <c r="V30" i="11"/>
  <c r="V26" i="11"/>
  <c r="V22" i="11"/>
  <c r="V17" i="11"/>
  <c r="V13" i="11"/>
  <c r="V9" i="11"/>
  <c r="O36" i="14"/>
  <c r="P36" i="14" s="1"/>
  <c r="O44" i="14"/>
  <c r="P44" i="14" s="1"/>
  <c r="R15" i="12"/>
  <c r="V33" i="11"/>
  <c r="V29" i="11"/>
  <c r="V25" i="11"/>
  <c r="V21" i="11"/>
  <c r="V16" i="11"/>
  <c r="V12" i="11"/>
  <c r="V37" i="11"/>
  <c r="U19" i="11"/>
  <c r="Z19" i="11" s="1"/>
  <c r="X39" i="11"/>
  <c r="Z15" i="11"/>
  <c r="N29" i="11"/>
  <c r="N13" i="24"/>
  <c r="N21" i="24"/>
  <c r="N29" i="24"/>
  <c r="Z42" i="11"/>
  <c r="X41" i="11"/>
  <c r="Z37" i="11"/>
  <c r="X9" i="11"/>
  <c r="C106" i="14"/>
  <c r="O20" i="24"/>
  <c r="O28" i="24"/>
  <c r="H33" i="12"/>
  <c r="I33" i="12" s="1"/>
  <c r="X36" i="11"/>
  <c r="X8" i="11"/>
  <c r="U17" i="13"/>
  <c r="U18" i="11"/>
  <c r="AA18" i="11" s="1"/>
  <c r="AA21" i="11"/>
  <c r="N74" i="11"/>
  <c r="M74" i="11"/>
  <c r="M9" i="12"/>
  <c r="L37" i="8"/>
  <c r="L5" i="8"/>
  <c r="X33" i="11"/>
  <c r="X29" i="11"/>
  <c r="Z25" i="11"/>
  <c r="N16" i="24"/>
  <c r="N24" i="24"/>
  <c r="D76" i="11"/>
  <c r="N76" i="11" s="1"/>
  <c r="Z39" i="11"/>
  <c r="AA9" i="11"/>
  <c r="O48" i="14"/>
  <c r="P48" i="14" s="1"/>
  <c r="O56" i="14"/>
  <c r="P56" i="14" s="1"/>
  <c r="N7" i="24"/>
  <c r="AA10" i="11"/>
  <c r="AA16" i="11"/>
  <c r="K29" i="17"/>
  <c r="K22" i="17"/>
  <c r="L6" i="8"/>
  <c r="Z10" i="11"/>
  <c r="X38" i="11"/>
  <c r="Z40" i="11"/>
  <c r="O25" i="24"/>
  <c r="D77" i="11"/>
  <c r="U43" i="11" s="1"/>
  <c r="X25" i="11"/>
  <c r="AA14" i="11"/>
  <c r="O38" i="14"/>
  <c r="P38" i="14" s="1"/>
  <c r="O46" i="14"/>
  <c r="P46" i="14" s="1"/>
  <c r="J14" i="10"/>
  <c r="I19" i="10"/>
  <c r="N53" i="14"/>
  <c r="N39" i="14"/>
  <c r="O37" i="14"/>
  <c r="P37" i="14" s="1"/>
  <c r="N46" i="14"/>
  <c r="O57" i="14"/>
  <c r="P57" i="14" s="1"/>
  <c r="N36" i="14"/>
  <c r="N51" i="14"/>
  <c r="O35" i="14"/>
  <c r="P35" i="14" s="1"/>
  <c r="N44" i="14"/>
  <c r="N52" i="14"/>
  <c r="O59" i="14"/>
  <c r="P59" i="14" s="1"/>
  <c r="Z35" i="11"/>
  <c r="Z31" i="11"/>
  <c r="Z27" i="11"/>
  <c r="AA23" i="11"/>
  <c r="Z12" i="11"/>
  <c r="X37" i="11"/>
  <c r="G47" i="12"/>
  <c r="M28" i="12" s="1"/>
  <c r="Z34" i="11"/>
  <c r="Z30" i="11"/>
  <c r="Z26" i="11"/>
  <c r="Z11" i="11"/>
  <c r="Z8" i="11"/>
  <c r="K31" i="17"/>
  <c r="Z13" i="11"/>
  <c r="J17" i="10"/>
  <c r="J21" i="10"/>
  <c r="P102" i="8"/>
  <c r="X23" i="11"/>
  <c r="Z17" i="11"/>
  <c r="X12" i="11"/>
  <c r="H47" i="12"/>
  <c r="I47" i="12" s="1"/>
  <c r="O26" i="24"/>
  <c r="Z14" i="11"/>
  <c r="K26" i="17"/>
  <c r="AA39" i="11"/>
  <c r="AA41" i="11"/>
  <c r="N22" i="24"/>
  <c r="N30" i="24"/>
  <c r="X32" i="11"/>
  <c r="Z21" i="11"/>
  <c r="N73" i="11"/>
  <c r="O58" i="14"/>
  <c r="P58" i="14" s="1"/>
  <c r="O21" i="24"/>
  <c r="O29" i="24"/>
  <c r="N23" i="24"/>
  <c r="N31" i="24"/>
  <c r="O31" i="24"/>
  <c r="X28" i="11"/>
  <c r="Z9" i="11"/>
  <c r="D67" i="13"/>
  <c r="D68" i="13" s="1"/>
  <c r="U15" i="13"/>
  <c r="N35" i="14"/>
  <c r="N8" i="24"/>
  <c r="N9" i="24"/>
  <c r="N17" i="24"/>
  <c r="N25" i="24"/>
  <c r="Z23" i="11"/>
  <c r="Z16" i="11"/>
  <c r="E38" i="13"/>
  <c r="O8" i="24"/>
  <c r="O16" i="24"/>
  <c r="O24" i="24"/>
  <c r="N18" i="24"/>
  <c r="N26" i="24"/>
  <c r="N40" i="14"/>
  <c r="N37" i="14"/>
  <c r="N19" i="24"/>
  <c r="N27" i="24"/>
  <c r="I20" i="10"/>
  <c r="Z22" i="11"/>
  <c r="K27" i="17"/>
  <c r="N56" i="14"/>
  <c r="N20" i="24"/>
  <c r="N28" i="24"/>
  <c r="Z20" i="11"/>
  <c r="X20" i="11"/>
  <c r="N72" i="11"/>
  <c r="M72" i="11"/>
  <c r="S41" i="11"/>
  <c r="V40" i="11" s="1"/>
  <c r="X26" i="11"/>
  <c r="K20" i="17"/>
  <c r="AA38" i="11"/>
  <c r="X40" i="11"/>
  <c r="O49" i="14"/>
  <c r="P49" i="14" s="1"/>
  <c r="N58" i="14"/>
  <c r="X10" i="11"/>
  <c r="E34" i="13"/>
  <c r="N31" i="11"/>
  <c r="K30" i="17"/>
  <c r="C67" i="13"/>
  <c r="X34" i="11"/>
  <c r="I15" i="10"/>
  <c r="N38" i="14"/>
  <c r="X27" i="11"/>
  <c r="X31" i="11"/>
  <c r="X35" i="11"/>
  <c r="AA12" i="11"/>
  <c r="M31" i="11"/>
  <c r="X30" i="11"/>
  <c r="L39" i="8"/>
  <c r="Z33" i="11"/>
  <c r="Z29" i="11"/>
  <c r="X14" i="11"/>
  <c r="N41" i="14"/>
  <c r="W10" i="2"/>
  <c r="AA24" i="11"/>
  <c r="AA22" i="11"/>
  <c r="M73" i="11"/>
  <c r="N42" i="14"/>
  <c r="N54" i="14"/>
  <c r="Z38" i="11"/>
  <c r="J16" i="10"/>
  <c r="V10" i="2"/>
  <c r="Z36" i="11"/>
  <c r="Z32" i="11"/>
  <c r="Z28" i="11"/>
  <c r="C43" i="9"/>
  <c r="N75" i="11"/>
  <c r="O42" i="14"/>
  <c r="P42" i="14" s="1"/>
  <c r="N55" i="14"/>
  <c r="X24" i="11"/>
  <c r="AA37" i="11"/>
  <c r="X21" i="11"/>
  <c r="AA17" i="11"/>
  <c r="X7" i="11"/>
  <c r="G51" i="12"/>
  <c r="M30" i="12" s="1"/>
  <c r="O47" i="14"/>
  <c r="P47" i="14" s="1"/>
  <c r="J34" i="25"/>
  <c r="I22" i="19"/>
  <c r="E39" i="13"/>
  <c r="U22" i="13" s="1"/>
  <c r="E27" i="13"/>
  <c r="K28" i="17"/>
  <c r="K21" i="17"/>
  <c r="J22" i="10"/>
  <c r="N48" i="14"/>
  <c r="N50" i="14"/>
  <c r="N60" i="14"/>
  <c r="J18" i="10"/>
  <c r="J13" i="10"/>
  <c r="AA36" i="11"/>
  <c r="AA35" i="11"/>
  <c r="AA34" i="11"/>
  <c r="AA33" i="11"/>
  <c r="AA32" i="11"/>
  <c r="AA31" i="11"/>
  <c r="AA30" i="11"/>
  <c r="AA29" i="11"/>
  <c r="AA28" i="11"/>
  <c r="AA27" i="11"/>
  <c r="AA26" i="11"/>
  <c r="AA25" i="11"/>
  <c r="Z24" i="11"/>
  <c r="X22" i="11"/>
  <c r="AA20" i="11"/>
  <c r="X16" i="11"/>
  <c r="X15" i="11"/>
  <c r="AA15" i="11"/>
  <c r="AA13" i="11"/>
  <c r="AA11" i="11"/>
  <c r="O43" i="14"/>
  <c r="P43" i="14" s="1"/>
  <c r="O45" i="14"/>
  <c r="P45" i="14" s="1"/>
  <c r="N47" i="14"/>
  <c r="N49" i="14"/>
  <c r="N57" i="14"/>
  <c r="N59" i="14"/>
  <c r="C32" i="5"/>
  <c r="C30" i="5"/>
  <c r="G32" i="5"/>
  <c r="I32" i="5"/>
  <c r="F32" i="5"/>
  <c r="D32" i="5"/>
  <c r="H32" i="5"/>
  <c r="F30" i="5"/>
  <c r="G30" i="5"/>
  <c r="B32" i="5"/>
  <c r="B30" i="5"/>
  <c r="J32" i="5"/>
  <c r="E30" i="5"/>
  <c r="E32" i="5"/>
  <c r="D30" i="5"/>
  <c r="E29" i="5"/>
  <c r="X13" i="11"/>
  <c r="X11" i="11"/>
  <c r="AA8" i="11"/>
  <c r="K32" i="17"/>
  <c r="O39" i="14"/>
  <c r="P39" i="14" s="1"/>
  <c r="O40" i="14"/>
  <c r="P40" i="14" s="1"/>
  <c r="O41" i="14"/>
  <c r="P41" i="14" s="1"/>
  <c r="N45" i="14"/>
  <c r="O50" i="14"/>
  <c r="P50" i="14" s="1"/>
  <c r="O52" i="14"/>
  <c r="P52" i="14" s="1"/>
  <c r="O53" i="14"/>
  <c r="P53" i="14" s="1"/>
  <c r="O54" i="14"/>
  <c r="P54" i="14" s="1"/>
  <c r="O55" i="14"/>
  <c r="P55" i="14" s="1"/>
  <c r="N11" i="4"/>
  <c r="N12" i="4" s="1"/>
  <c r="E66" i="13" l="1"/>
  <c r="Z18" i="11"/>
  <c r="X17" i="11"/>
  <c r="E72" i="13"/>
  <c r="S43" i="11"/>
  <c r="G75" i="12"/>
  <c r="AA19" i="11"/>
  <c r="X18" i="11"/>
  <c r="R10" i="12"/>
  <c r="H75" i="12"/>
  <c r="X19" i="11"/>
  <c r="I75" i="12"/>
  <c r="U52" i="11"/>
  <c r="V42" i="11"/>
  <c r="V43" i="11"/>
  <c r="R16" i="12"/>
  <c r="R18" i="12" s="1"/>
  <c r="M76" i="11"/>
  <c r="R11" i="12"/>
  <c r="S52" i="11"/>
  <c r="V41" i="11"/>
  <c r="Z43" i="11"/>
  <c r="X42" i="11"/>
  <c r="X43" i="11"/>
  <c r="AA43" i="11"/>
  <c r="N77" i="11"/>
  <c r="M77" i="11"/>
  <c r="U16" i="13"/>
  <c r="E71" i="13"/>
  <c r="AA42" i="11"/>
  <c r="E67" i="13"/>
  <c r="AA40" i="11"/>
  <c r="Z41" i="11"/>
  <c r="C68" i="13"/>
  <c r="F90" i="5"/>
  <c r="M12" i="5"/>
  <c r="M11" i="5"/>
  <c r="E90" i="5"/>
  <c r="E68" i="13" l="1"/>
  <c r="M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  <author>Charles J. Krebs</author>
    <author>Dr. Charles J. Krebs</author>
    <author>s420162</author>
    <author>Any User</author>
    <author>krebs@zoology.ubc.ca</author>
    <author>CJK</author>
  </authors>
  <commentList>
    <comment ref="E2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Very few cones on Lloyd this year 2005</t>
        </r>
      </text>
    </comment>
    <comment ref="F2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Virtually no cones on this area in 2005.</t>
        </r>
      </text>
    </comment>
    <comment ref="D29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95% CL: 0 to 1.583</t>
        </r>
      </text>
    </comment>
    <comment ref="E29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95% CL: 1.22 to 6.57</t>
        </r>
      </text>
    </comment>
    <comment ref="D30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95% CL 20.19 to 52.57</t>
        </r>
      </text>
    </comment>
    <comment ref="E30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95% CL 47.70 to 96.91</t>
        </r>
      </text>
    </comment>
    <comment ref="P30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n = 50 4.8 to 25.4</t>
        </r>
      </text>
    </comment>
    <comment ref="B31" authorId="2" shapeId="0" xr:uid="{00000000-0006-0000-0300-000008000000}">
      <text>
        <r>
          <rPr>
            <b/>
            <sz val="8"/>
            <color indexed="81"/>
            <rFont val="Tahoma"/>
            <family val="2"/>
          </rPr>
          <t>n = 86 trees, 95% c.l. 0.57 to 6.60</t>
        </r>
      </text>
    </comment>
    <comment ref="C31" authorId="2" shapeId="0" xr:uid="{00000000-0006-0000-0300-000009000000}">
      <text>
        <r>
          <rPr>
            <b/>
            <sz val="8"/>
            <color indexed="81"/>
            <rFont val="Tahoma"/>
            <family val="2"/>
          </rPr>
          <t>n = 87 trees, 95% cl are 2.97 to 12.51</t>
        </r>
      </text>
    </comment>
    <comment ref="D31" authorId="2" shapeId="0" xr:uid="{00000000-0006-0000-0300-00000A000000}">
      <text>
        <r>
          <rPr>
            <b/>
            <sz val="8"/>
            <color indexed="81"/>
            <rFont val="Tahoma"/>
            <family val="2"/>
          </rPr>
          <t>n = 84 trees, 95% CL 2.3571 to 30.4047</t>
        </r>
      </text>
    </comment>
    <comment ref="E31" authorId="2" shapeId="0" xr:uid="{00000000-0006-0000-0300-00000B000000}">
      <text>
        <r>
          <rPr>
            <b/>
            <sz val="8"/>
            <color indexed="81"/>
            <rFont val="Tahoma"/>
            <family val="2"/>
          </rPr>
          <t>n = 86 trees, 95% CL 1.0697 to 4.767 cones</t>
        </r>
      </text>
    </comment>
    <comment ref="F31" authorId="2" shapeId="0" xr:uid="{00000000-0006-0000-0300-00000C000000}">
      <text>
        <r>
          <rPr>
            <b/>
            <sz val="8"/>
            <color indexed="81"/>
            <rFont val="Tahoma"/>
            <family val="2"/>
          </rPr>
          <t>n = 127 trees, 95% c.l. 2.26 to 8.46</t>
        </r>
      </text>
    </comment>
    <comment ref="G31" authorId="2" shapeId="0" xr:uid="{00000000-0006-0000-0300-00000D000000}">
      <text>
        <r>
          <rPr>
            <b/>
            <sz val="8"/>
            <color indexed="81"/>
            <rFont val="Tahoma"/>
            <family val="2"/>
          </rPr>
          <t>n = 50 trees, 95% cl are 5.74 to 43.04</t>
        </r>
      </text>
    </comment>
    <comment ref="P31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n = 50 trees, 9.4 to 48.9</t>
        </r>
      </text>
    </comment>
    <comment ref="B32" authorId="3" shapeId="0" xr:uid="{00000000-0006-0000-0300-00000F000000}">
      <text>
        <r>
          <rPr>
            <b/>
            <sz val="8"/>
            <color indexed="81"/>
            <rFont val="Tahoma"/>
            <family val="2"/>
          </rPr>
          <t>n = 86, 4.92-21.63</t>
        </r>
      </text>
    </comment>
    <comment ref="C32" authorId="3" shapeId="0" xr:uid="{00000000-0006-0000-0300-000010000000}">
      <text>
        <r>
          <rPr>
            <b/>
            <sz val="8"/>
            <color indexed="81"/>
            <rFont val="Tahoma"/>
            <family val="2"/>
          </rPr>
          <t>n = 87, 20.75-50.67</t>
        </r>
      </text>
    </comment>
    <comment ref="D32" authorId="3" shapeId="0" xr:uid="{00000000-0006-0000-0300-000011000000}">
      <text>
        <r>
          <rPr>
            <b/>
            <sz val="8"/>
            <color indexed="81"/>
            <rFont val="Tahoma"/>
            <family val="2"/>
          </rPr>
          <t>n = 84, 18.73-43.06</t>
        </r>
      </text>
    </comment>
    <comment ref="E32" authorId="3" shapeId="0" xr:uid="{00000000-0006-0000-0300-000012000000}">
      <text>
        <r>
          <rPr>
            <sz val="8"/>
            <color indexed="81"/>
            <rFont val="Tahoma"/>
            <family val="2"/>
          </rPr>
          <t xml:space="preserve">n = 64, 20.20-50.03
</t>
        </r>
      </text>
    </comment>
    <comment ref="F32" authorId="3" shapeId="0" xr:uid="{00000000-0006-0000-0300-000013000000}">
      <text>
        <r>
          <rPr>
            <b/>
            <sz val="8"/>
            <color indexed="81"/>
            <rFont val="Tahoma"/>
            <family val="2"/>
          </rPr>
          <t>n = 127 trees, 13.64 to 33. 51</t>
        </r>
      </text>
    </comment>
    <comment ref="G32" authorId="3" shapeId="0" xr:uid="{00000000-0006-0000-0300-000014000000}">
      <text>
        <r>
          <rPr>
            <b/>
            <sz val="8"/>
            <color indexed="81"/>
            <rFont val="Tahoma"/>
            <family val="2"/>
          </rPr>
          <t>n = 50, 13.44 to 39.32</t>
        </r>
      </text>
    </comment>
    <comment ref="P32" authorId="3" shapeId="0" xr:uid="{00000000-0006-0000-0300-000015000000}">
      <text>
        <r>
          <rPr>
            <b/>
            <sz val="8"/>
            <color indexed="81"/>
            <rFont val="Tahoma"/>
            <family val="2"/>
          </rPr>
          <t>n = 50, 12.88-46.18</t>
        </r>
      </text>
    </comment>
    <comment ref="B33" authorId="2" shapeId="0" xr:uid="{00000000-0006-0000-0300-000016000000}">
      <text>
        <r>
          <rPr>
            <b/>
            <sz val="8"/>
            <color indexed="81"/>
            <rFont val="Tahoma"/>
            <family val="2"/>
          </rPr>
          <t>n=86, 95% CL 290.68 to 494.19</t>
        </r>
      </text>
    </comment>
    <comment ref="C33" authorId="2" shapeId="0" xr:uid="{00000000-0006-0000-0300-000017000000}">
      <text>
        <r>
          <rPr>
            <b/>
            <sz val="8"/>
            <color indexed="81"/>
            <rFont val="Tahoma"/>
            <family val="2"/>
          </rPr>
          <t>n = 85, 95% CL =  605.98 to 897.64</t>
        </r>
      </text>
    </comment>
    <comment ref="D33" authorId="3" shapeId="0" xr:uid="{00000000-0006-0000-0300-000018000000}">
      <text>
        <r>
          <rPr>
            <b/>
            <sz val="8"/>
            <color indexed="81"/>
            <rFont val="Tahoma"/>
            <family val="2"/>
          </rPr>
          <t>N = 81, 328.2-504.0</t>
        </r>
      </text>
    </comment>
    <comment ref="E33" authorId="3" shapeId="0" xr:uid="{00000000-0006-0000-0300-000019000000}">
      <text>
        <r>
          <rPr>
            <b/>
            <sz val="8"/>
            <color indexed="81"/>
            <rFont val="Tahoma"/>
            <family val="2"/>
          </rPr>
          <t>n = 147, 399.6-603.9</t>
        </r>
      </text>
    </comment>
    <comment ref="F33" authorId="2" shapeId="0" xr:uid="{00000000-0006-0000-0300-00001A000000}">
      <text>
        <r>
          <rPr>
            <b/>
            <sz val="8"/>
            <color indexed="81"/>
            <rFont val="Tahoma"/>
            <family val="2"/>
          </rPr>
          <t>n = 100, 354.2 to 512.16 ,95% confidence limits</t>
        </r>
      </text>
    </comment>
    <comment ref="G33" authorId="2" shapeId="0" xr:uid="{00000000-0006-0000-0300-00001B000000}">
      <text>
        <r>
          <rPr>
            <b/>
            <sz val="8"/>
            <color indexed="81"/>
            <rFont val="Tahoma"/>
            <family val="2"/>
          </rPr>
          <t>n=50 493.34 to 775.84</t>
        </r>
      </text>
    </comment>
    <comment ref="P33" authorId="2" shapeId="0" xr:uid="{00000000-0006-0000-0300-00001C000000}">
      <text>
        <r>
          <rPr>
            <b/>
            <sz val="8"/>
            <color indexed="81"/>
            <rFont val="Tahoma"/>
            <family val="2"/>
          </rPr>
          <t>n = 49, 95% CL 183.94 to 354.31</t>
        </r>
      </text>
    </comment>
    <comment ref="B3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n=86, 95% CL 0 to 0.19</t>
        </r>
      </text>
    </comment>
    <comment ref="C34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n=85, 95% 0 to 0.08</t>
        </r>
      </text>
    </comment>
    <comment ref="D34" authorId="2" shapeId="0" xr:uid="{00000000-0006-0000-0300-00001F000000}">
      <text>
        <r>
          <rPr>
            <b/>
            <sz val="9"/>
            <color indexed="81"/>
            <rFont val="Tahoma"/>
            <family val="2"/>
          </rPr>
          <t>0-0.1, n = 70 &gt; 10 cm</t>
        </r>
      </text>
    </comment>
    <comment ref="E34" authorId="2" shapeId="0" xr:uid="{00000000-0006-0000-0300-000020000000}">
      <text>
        <r>
          <rPr>
            <b/>
            <sz val="9"/>
            <color indexed="81"/>
            <rFont val="Tahoma"/>
            <family val="2"/>
          </rPr>
          <t>n = 112, 0 to 1.03</t>
        </r>
      </text>
    </comment>
    <comment ref="F34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n=100, 95% 0.22 to 1.88</t>
        </r>
      </text>
    </comment>
    <comment ref="G34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n=50, 95% 0.0 to 0.12</t>
        </r>
      </text>
    </comment>
    <comment ref="P34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n = 50, 95% CL are
0.04 to 1.88</t>
        </r>
      </text>
    </comment>
    <comment ref="B35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n = 86, 12.2 to 33.8</t>
        </r>
      </text>
    </comment>
    <comment ref="C35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n=80, 5.99-13.98</t>
        </r>
      </text>
    </comment>
    <comment ref="D35" authorId="3" shapeId="0" xr:uid="{00000000-0006-0000-0300-000026000000}">
      <text>
        <r>
          <rPr>
            <b/>
            <sz val="8"/>
            <color indexed="81"/>
            <rFont val="Tahoma"/>
            <family val="2"/>
          </rPr>
          <t>n = 70, 28 to 65</t>
        </r>
      </text>
    </comment>
    <comment ref="E35" authorId="3" shapeId="0" xr:uid="{00000000-0006-0000-0300-000027000000}">
      <text>
        <r>
          <rPr>
            <b/>
            <sz val="8"/>
            <color indexed="81"/>
            <rFont val="Tahoma"/>
            <family val="2"/>
          </rPr>
          <t>n = 80, 19.5 to 35.4</t>
        </r>
      </text>
    </comment>
    <comment ref="F35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n=96, 7.91 to 15.63</t>
        </r>
      </text>
    </comment>
    <comment ref="G35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n = 50, 5.46 to 18.82</t>
        </r>
      </text>
    </comment>
    <comment ref="P35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n=49, 2.92-11.86</t>
        </r>
      </text>
    </comment>
    <comment ref="B36" authorId="4" shapeId="0" xr:uid="{00000000-0006-0000-0300-00002B000000}">
      <text>
        <r>
          <rPr>
            <b/>
            <sz val="8"/>
            <color indexed="81"/>
            <rFont val="Tahoma"/>
            <family val="2"/>
          </rPr>
          <t>n = 86, 13.73 to 31.81</t>
        </r>
      </text>
    </comment>
    <comment ref="C36" authorId="4" shapeId="0" xr:uid="{00000000-0006-0000-0300-00002C000000}">
      <text>
        <r>
          <rPr>
            <b/>
            <sz val="8"/>
            <color indexed="81"/>
            <rFont val="Tahoma"/>
            <family val="2"/>
          </rPr>
          <t xml:space="preserve">n = 85, 71.73 to 110.79 </t>
        </r>
      </text>
    </comment>
    <comment ref="D36" authorId="5" shapeId="0" xr:uid="{00000000-0006-0000-0300-00002D000000}">
      <text>
        <r>
          <rPr>
            <b/>
            <sz val="9"/>
            <color indexed="81"/>
            <rFont val="Tahoma"/>
            <family val="2"/>
          </rPr>
          <t>n = 84, Stan counts, 35.89 to 68.57 CL</t>
        </r>
      </text>
    </comment>
    <comment ref="E36" authorId="5" shapeId="0" xr:uid="{00000000-0006-0000-0300-00002E000000}">
      <text>
        <r>
          <rPr>
            <b/>
            <sz val="9"/>
            <color indexed="81"/>
            <rFont val="Tahoma"/>
            <family val="2"/>
          </rPr>
          <t>n = 92 Stan Data 38.28 to 64.28 CL</t>
        </r>
      </text>
    </comment>
    <comment ref="F36" authorId="4" shapeId="0" xr:uid="{00000000-0006-0000-0300-00002F000000}">
      <text>
        <r>
          <rPr>
            <b/>
            <sz val="8"/>
            <color indexed="81"/>
            <rFont val="Tahoma"/>
            <family val="2"/>
          </rPr>
          <t>n = 100, 42.19 to 75.07</t>
        </r>
      </text>
    </comment>
    <comment ref="G36" authorId="4" shapeId="0" xr:uid="{00000000-0006-0000-0300-000030000000}">
      <text>
        <r>
          <rPr>
            <sz val="8"/>
            <color indexed="81"/>
            <rFont val="Tahoma"/>
            <family val="2"/>
          </rPr>
          <t xml:space="preserve">n = 50, 37.84 to 68.9
</t>
        </r>
      </text>
    </comment>
    <comment ref="P36" authorId="5" shapeId="0" xr:uid="{00000000-0006-0000-0300-000031000000}">
      <text>
        <r>
          <rPr>
            <b/>
            <sz val="9"/>
            <color indexed="81"/>
            <rFont val="Tahoma"/>
            <family val="2"/>
          </rPr>
          <t>n=50, 95% CL 15.14 to 51.78</t>
        </r>
      </text>
    </comment>
    <comment ref="B37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n=84, 131.7 to 215.55</t>
        </r>
      </text>
    </comment>
    <comment ref="C37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n=86, 246.22 to 391.6</t>
        </r>
      </text>
    </comment>
    <comment ref="D37" authorId="6" shapeId="0" xr:uid="{00000000-0006-0000-0300-000034000000}">
      <text>
        <r>
          <rPr>
            <b/>
            <sz val="9"/>
            <color indexed="81"/>
            <rFont val="Tahoma"/>
            <family val="2"/>
          </rPr>
          <t>n=79 stan counts 283 to 418 95% CL</t>
        </r>
      </text>
    </comment>
    <comment ref="E37" authorId="6" shapeId="0" xr:uid="{00000000-0006-0000-0300-000035000000}">
      <text>
        <r>
          <rPr>
            <b/>
            <sz val="9"/>
            <color indexed="81"/>
            <rFont val="Tahoma"/>
            <family val="2"/>
          </rPr>
          <t>n=91, stan counts, 267 to 423 CL</t>
        </r>
      </text>
    </comment>
    <comment ref="F37" authorId="2" shapeId="0" xr:uid="{00000000-0006-0000-0300-000036000000}">
      <text>
        <r>
          <rPr>
            <b/>
            <sz val="9"/>
            <color indexed="81"/>
            <rFont val="Tahoma"/>
            <family val="2"/>
          </rPr>
          <t>n = 100, 366.1 to 539.1</t>
        </r>
      </text>
    </comment>
    <comment ref="G37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n = 50, 344.4 to 577.58</t>
        </r>
      </text>
    </comment>
    <comment ref="P37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n=50, 240.78 to 403.92</t>
        </r>
      </text>
    </comment>
    <comment ref="B38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n = 85, 0.07 to 1.85</t>
        </r>
      </text>
    </comment>
    <comment ref="C38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n = 86, no cones</t>
        </r>
      </text>
    </comment>
    <comment ref="D38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n = 83 no cones at all</t>
        </r>
      </text>
    </comment>
    <comment ref="E38" authorId="6" shapeId="0" xr:uid="{00000000-0006-0000-0300-00003C000000}">
      <text>
        <r>
          <rPr>
            <b/>
            <sz val="9"/>
            <color indexed="81"/>
            <rFont val="Tahoma"/>
            <family val="2"/>
          </rPr>
          <t>n =91, stan counts, no cones at all</t>
        </r>
      </text>
    </comment>
    <comment ref="F38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n = 100, no cones</t>
        </r>
      </text>
    </comment>
    <comment ref="G38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n = 50, 0.28 to 2.56</t>
        </r>
      </text>
    </comment>
    <comment ref="H38" authorId="6" shapeId="0" xr:uid="{00000000-0006-0000-0300-00003F000000}">
      <text>
        <r>
          <rPr>
            <b/>
            <sz val="9"/>
            <color indexed="81"/>
            <rFont val="Tahoma"/>
            <family val="2"/>
          </rPr>
          <t>n = 495, 95% 0.02 to .26</t>
        </r>
      </text>
    </comment>
    <comment ref="P38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n = 50, 0 to 0.24, no cones this year</t>
        </r>
      </text>
    </comment>
    <comment ref="B39" authorId="0" shapeId="0" xr:uid="{00000000-0006-0000-0300-000041000000}">
      <text>
        <r>
          <rPr>
            <b/>
            <sz val="10"/>
            <color indexed="81"/>
            <rFont val="Arial"/>
            <family val="2"/>
          </rPr>
          <t>95%: 0.52 to 1.99, and n = 85, Stan counts are 1.51 and 0.7 to 2.4</t>
        </r>
      </text>
    </comment>
    <comment ref="C39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n = 86, 95% 8.98 to 22.14)</t>
        </r>
      </text>
    </comment>
    <comment ref="D39" authorId="5" shapeId="0" xr:uid="{00000000-0006-0000-0300-000043000000}">
      <text>
        <r>
          <rPr>
            <b/>
            <sz val="9"/>
            <color indexed="81"/>
            <rFont val="Tahoma"/>
            <family val="2"/>
          </rPr>
          <t>n=84, 0.4166 to 2.119 95% from Stan data</t>
        </r>
      </text>
    </comment>
    <comment ref="F39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n = 101, 2.86 to 6.94</t>
        </r>
      </text>
    </comment>
    <comment ref="G39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n = 50, 0.22 to 1.14</t>
        </r>
      </text>
    </comment>
    <comment ref="H39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n = 405, 3.88 to 6.67</t>
        </r>
      </text>
    </comment>
    <comment ref="P39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n = 50, 41 to 120.9</t>
        </r>
      </text>
    </comment>
    <comment ref="B40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n=85, CL 9.44 to 22.87</t>
        </r>
      </text>
    </comment>
    <comment ref="C40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n = 86, 95% CL 25.07 to 50.56</t>
        </r>
      </text>
    </comment>
    <comment ref="F40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n = 100, 95% Cl 12.33 to 27.49</t>
        </r>
      </text>
    </comment>
    <comment ref="G40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n = 50, 95% CL 7.26 to 24.7</t>
        </r>
      </text>
    </comment>
    <comment ref="P40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n = 50, CL 48.92 to 94.46</t>
        </r>
      </text>
    </comment>
    <comment ref="B41" authorId="0" shapeId="0" xr:uid="{59016DF0-069E-4835-88F9-FC2D9663FFA4}">
      <text>
        <r>
          <rPr>
            <b/>
            <sz val="9"/>
            <color indexed="81"/>
            <rFont val="Tahoma"/>
            <family val="2"/>
          </rPr>
          <t>n = 86  95% Cl 0.63 to 2.05</t>
        </r>
      </text>
    </comment>
    <comment ref="C41" authorId="0" shapeId="0" xr:uid="{6F9D0417-7B28-4728-8C24-4AA4F955DA06}">
      <text>
        <r>
          <rPr>
            <b/>
            <sz val="9"/>
            <color indexed="81"/>
            <rFont val="Tahoma"/>
            <family val="2"/>
          </rPr>
          <t>n = 86  95% CL 1.43 to 11.42</t>
        </r>
      </text>
    </comment>
    <comment ref="F41" authorId="0" shapeId="0" xr:uid="{C6F10EEA-3CC2-47FA-8DB1-78F7CF757B95}">
      <text>
        <r>
          <rPr>
            <b/>
            <sz val="9"/>
            <color indexed="81"/>
            <rFont val="Tahoma"/>
            <family val="2"/>
          </rPr>
          <t>n = 100 95% CL 0.3 to 1.22</t>
        </r>
      </text>
    </comment>
    <comment ref="G41" authorId="0" shapeId="0" xr:uid="{A48B4A3B-7A8D-4B70-8539-B94A0E4DE0CD}">
      <text>
        <r>
          <rPr>
            <b/>
            <sz val="9"/>
            <color indexed="81"/>
            <rFont val="Tahoma"/>
            <family val="2"/>
          </rPr>
          <t>n = 50, 95% 1.22 to 8.02</t>
        </r>
      </text>
    </comment>
    <comment ref="H41" authorId="0" shapeId="0" xr:uid="{DE03B48A-E8BE-43CD-A5C3-280E4C478D9D}">
      <text>
        <r>
          <rPr>
            <b/>
            <sz val="9"/>
            <color indexed="81"/>
            <rFont val="Tahoma"/>
            <family val="2"/>
          </rPr>
          <t>n = 322 95% CL 1.36 to 4.29</t>
        </r>
      </text>
    </comment>
    <comment ref="P41" authorId="0" shapeId="0" xr:uid="{49521DFA-B83C-4635-9716-6E723978372B}">
      <text>
        <r>
          <rPr>
            <b/>
            <sz val="9"/>
            <color indexed="81"/>
            <rFont val="Tahoma"/>
            <family val="2"/>
          </rPr>
          <t>n = 50 95% 4.28 to 20.44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</authors>
  <commentList>
    <comment ref="N4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maximum feasible</t>
        </r>
      </text>
    </comment>
    <comment ref="O51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maximum feasible with late summer and autumn reproduction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 User</author>
    <author>krebs@zoology.ubc.ca</author>
  </authors>
  <commentList>
    <comment ref="A60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>A strange year: a strong peak of longicaudus and a weak peak of oeconomus, no miurus</t>
        </r>
      </text>
    </comment>
    <comment ref="C61" authorId="0" shapeId="0" xr:uid="{00000000-0006-0000-1000-000002000000}">
      <text>
        <r>
          <rPr>
            <b/>
            <sz val="8"/>
            <color indexed="81"/>
            <rFont val="Tahoma"/>
            <family val="2"/>
          </rPr>
          <t>These are almost all M. longicaudus</t>
        </r>
      </text>
    </comment>
    <comment ref="C62" authorId="1" shapeId="0" xr:uid="{00000000-0006-0000-1000-000003000000}">
      <text>
        <r>
          <rPr>
            <b/>
            <sz val="9"/>
            <color indexed="81"/>
            <rFont val="Tahoma"/>
            <family val="2"/>
          </rPr>
          <t>Many longicaudus</t>
        </r>
      </text>
    </comment>
    <comment ref="C63" authorId="1" shapeId="0" xr:uid="{00000000-0006-0000-1000-000004000000}">
      <text>
        <r>
          <rPr>
            <b/>
            <sz val="9"/>
            <color indexed="81"/>
            <rFont val="Tahoma"/>
            <family val="2"/>
          </rPr>
          <t>Most longicaudus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</authors>
  <commentList>
    <comment ref="N15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maximum feasible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</authors>
  <commentList>
    <comment ref="B8" authorId="0" shapeId="0" xr:uid="{00000000-0006-0000-1700-000001000000}">
      <text>
        <r>
          <rPr>
            <b/>
            <sz val="8"/>
            <color indexed="81"/>
            <rFont val="Tahoma"/>
            <family val="2"/>
          </rPr>
          <t xml:space="preserve">Note these are the total number of birds so the number of pairs is one-half of these numbers </t>
        </r>
      </text>
    </comment>
    <comment ref="C8" authorId="0" shapeId="0" xr:uid="{00000000-0006-0000-1700-000002000000}">
      <text>
        <r>
          <rPr>
            <b/>
            <sz val="8"/>
            <color indexed="81"/>
            <rFont val="Tahoma"/>
            <family val="2"/>
          </rPr>
          <t>From Liz Hofer, and the total number of birds NOT the number of breeding PAIRS</t>
        </r>
      </text>
    </comment>
    <comment ref="E8" authorId="0" shapeId="0" xr:uid="{00000000-0006-0000-1700-000003000000}">
      <text>
        <r>
          <rPr>
            <b/>
            <sz val="8"/>
            <color indexed="81"/>
            <rFont val="Tahoma"/>
            <family val="2"/>
          </rPr>
          <t>Note: this is the total number of breeding birds NOT the number of breeding pairs</t>
        </r>
      </text>
    </comment>
    <comment ref="B19" authorId="0" shapeId="0" xr:uid="{00000000-0006-0000-1700-000004000000}">
      <text>
        <r>
          <rPr>
            <b/>
            <sz val="8"/>
            <color indexed="81"/>
            <rFont val="Tahoma"/>
            <family val="2"/>
          </rPr>
          <t>Guesstimate by CK</t>
        </r>
      </text>
    </comment>
    <comment ref="F21" authorId="0" shapeId="0" xr:uid="{00000000-0006-0000-1700-000005000000}">
      <text>
        <r>
          <rPr>
            <b/>
            <sz val="8"/>
            <color indexed="81"/>
            <rFont val="Tahoma"/>
            <family val="2"/>
          </rPr>
          <t>Liz Hofer estimate from Column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J. Krebs</author>
    <author>Dr. Charles J. Krebs</author>
    <author>Charles Krebs</author>
  </authors>
  <commentList>
    <comment ref="B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82
bootstrapped mean</t>
        </r>
      </text>
    </comment>
    <comment ref="H13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408
bootstrapped mean</t>
        </r>
      </text>
    </comment>
    <comment ref="B14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40
bootstrapped mean</t>
        </r>
      </text>
    </comment>
    <comment ref="H14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199
bootstrapped mean</t>
        </r>
      </text>
    </comment>
    <comment ref="B15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85 bootstrapped mean</t>
        </r>
      </text>
    </comment>
    <comment ref="H15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n= 405  bootstrapped mean</t>
        </r>
      </text>
    </comment>
    <comment ref="B1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Bootstrapped mean
n = 39
</t>
        </r>
      </text>
    </comment>
    <comment ref="H1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Bootstrapped mean
n = 196</t>
        </r>
      </text>
    </comment>
    <comment ref="B17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Bootstrapped mean
n = 84</t>
        </r>
      </text>
    </comment>
    <comment ref="H17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Bootstrapped mean
n = 407</t>
        </r>
      </text>
    </comment>
    <comment ref="B18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no data for Sulphur for this year - samples lost</t>
        </r>
      </text>
    </comment>
    <comment ref="H18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n= 312
bootstrapped mean</t>
        </r>
      </text>
    </comment>
    <comment ref="B19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40 
bootstrap mean</t>
        </r>
      </text>
    </comment>
    <comment ref="H19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152
bootstrap mean</t>
        </r>
      </text>
    </comment>
    <comment ref="B2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n= 85
bootstrap mean</t>
        </r>
      </text>
    </comment>
    <comment ref="H2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85 
bootstrapped mean</t>
        </r>
      </text>
    </comment>
    <comment ref="B2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86
bootstrap mean</t>
        </r>
      </text>
    </comment>
    <comment ref="E21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86
bootstrap mean</t>
        </r>
      </text>
    </comment>
    <comment ref="H21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172
bootstrapped mean</t>
        </r>
      </text>
    </comment>
    <comment ref="B22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85
bootstrap mean</t>
        </r>
      </text>
    </comment>
    <comment ref="E22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86
bootstrap mean</t>
        </r>
      </text>
    </comment>
    <comment ref="H22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171
bootstrap mean</t>
        </r>
      </text>
    </comment>
    <comment ref="B23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83
bootstrap mean</t>
        </r>
      </text>
    </comment>
    <comment ref="E23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69
bootstrap mean</t>
        </r>
      </text>
    </comment>
    <comment ref="H23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Charles J. Krebs:</t>
        </r>
        <r>
          <rPr>
            <sz val="8"/>
            <color indexed="81"/>
            <rFont val="Tahoma"/>
            <family val="2"/>
          </rPr>
          <t xml:space="preserve">
n = 152
bootstrapped mean</t>
        </r>
      </text>
    </comment>
    <comment ref="B24" authorId="0" shapeId="0" xr:uid="{00000000-0006-0000-0500-00001A000000}">
      <text>
        <r>
          <rPr>
            <sz val="8"/>
            <color indexed="81"/>
            <rFont val="Tahoma"/>
            <family val="2"/>
          </rPr>
          <t>n = 83
bootstrap mean</t>
        </r>
      </text>
    </comment>
    <comment ref="E24" authorId="0" shapeId="0" xr:uid="{00000000-0006-0000-0500-00001B000000}">
      <text>
        <r>
          <rPr>
            <sz val="8"/>
            <color indexed="81"/>
            <rFont val="Tahoma"/>
            <family val="2"/>
          </rPr>
          <t>n = 69
bootstrap mean</t>
        </r>
      </text>
    </comment>
    <comment ref="H24" authorId="0" shapeId="0" xr:uid="{00000000-0006-0000-0500-00001C000000}">
      <text>
        <r>
          <rPr>
            <sz val="8"/>
            <color indexed="81"/>
            <rFont val="Tahoma"/>
            <family val="2"/>
          </rPr>
          <t>n = 152
bootstrapped mean</t>
        </r>
      </text>
    </comment>
    <comment ref="B25" authorId="1" shapeId="0" xr:uid="{00000000-0006-0000-0500-00001D000000}">
      <text>
        <r>
          <rPr>
            <sz val="8"/>
            <color indexed="81"/>
            <rFont val="Tahoma"/>
            <family val="2"/>
          </rPr>
          <t>n = 85 bags</t>
        </r>
      </text>
    </comment>
    <comment ref="E25" authorId="1" shapeId="0" xr:uid="{00000000-0006-0000-0500-00001E000000}">
      <text>
        <r>
          <rPr>
            <b/>
            <sz val="8"/>
            <color indexed="81"/>
            <rFont val="Tahoma"/>
            <family val="2"/>
          </rPr>
          <t>Dr. Charles J. Krebs:</t>
        </r>
        <r>
          <rPr>
            <sz val="8"/>
            <color indexed="81"/>
            <rFont val="Tahoma"/>
            <family val="2"/>
          </rPr>
          <t xml:space="preserve">
n = 82 bags</t>
        </r>
      </text>
    </comment>
    <comment ref="H25" authorId="1" shapeId="0" xr:uid="{00000000-0006-0000-0500-00001F000000}">
      <text>
        <r>
          <rPr>
            <sz val="8"/>
            <color indexed="81"/>
            <rFont val="Tahoma"/>
            <family val="2"/>
          </rPr>
          <t>n = 167 bags</t>
        </r>
      </text>
    </comment>
    <comment ref="B26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n = 82 bags</t>
        </r>
      </text>
    </comment>
    <comment ref="E26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n = 84 bags</t>
        </r>
      </text>
    </comment>
    <comment ref="H26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n = 166 bags</t>
        </r>
      </text>
    </comment>
    <comment ref="B27" authorId="2" shapeId="0" xr:uid="{00000000-0006-0000-0500-000023000000}">
      <text>
        <r>
          <rPr>
            <b/>
            <sz val="8"/>
            <color indexed="81"/>
            <rFont val="Tahoma"/>
            <family val="2"/>
          </rPr>
          <t>n = 85 buckets</t>
        </r>
      </text>
    </comment>
    <comment ref="E27" authorId="2" shapeId="0" xr:uid="{00000000-0006-0000-0500-000024000000}">
      <text>
        <r>
          <rPr>
            <b/>
            <sz val="8"/>
            <color indexed="81"/>
            <rFont val="Tahoma"/>
            <family val="2"/>
          </rPr>
          <t>n = 81 buckets</t>
        </r>
      </text>
    </comment>
    <comment ref="H27" authorId="2" shapeId="0" xr:uid="{00000000-0006-0000-0500-000025000000}">
      <text>
        <r>
          <rPr>
            <b/>
            <sz val="8"/>
            <color indexed="81"/>
            <rFont val="Tahoma"/>
            <family val="2"/>
          </rPr>
          <t>n = 166 bags</t>
        </r>
      </text>
    </comment>
    <comment ref="B28" authorId="2" shapeId="0" xr:uid="{00000000-0006-0000-0500-000026000000}">
      <text>
        <r>
          <rPr>
            <b/>
            <sz val="8"/>
            <color indexed="81"/>
            <rFont val="Tahoma"/>
            <family val="2"/>
          </rPr>
          <t>n = 80 buckets</t>
        </r>
      </text>
    </comment>
    <comment ref="E28" authorId="2" shapeId="0" xr:uid="{00000000-0006-0000-0500-000027000000}">
      <text>
        <r>
          <rPr>
            <b/>
            <sz val="8"/>
            <color indexed="81"/>
            <rFont val="Tahoma"/>
            <family val="2"/>
          </rPr>
          <t>n = 84 buckets</t>
        </r>
      </text>
    </comment>
    <comment ref="H28" authorId="2" shapeId="0" xr:uid="{00000000-0006-0000-0500-000028000000}">
      <text>
        <r>
          <rPr>
            <b/>
            <sz val="8"/>
            <color indexed="81"/>
            <rFont val="Tahoma"/>
            <family val="2"/>
          </rPr>
          <t>n = 164 buckets</t>
        </r>
      </text>
    </comment>
    <comment ref="B29" authorId="2" shapeId="0" xr:uid="{00000000-0006-0000-0500-000029000000}">
      <text>
        <r>
          <rPr>
            <b/>
            <sz val="8"/>
            <color indexed="81"/>
            <rFont val="Tahoma"/>
            <family val="2"/>
          </rPr>
          <t>n = 83 buckets</t>
        </r>
      </text>
    </comment>
    <comment ref="E29" authorId="2" shapeId="0" xr:uid="{00000000-0006-0000-0500-00002A000000}">
      <text>
        <r>
          <rPr>
            <b/>
            <sz val="8"/>
            <color indexed="81"/>
            <rFont val="Tahoma"/>
            <family val="2"/>
          </rPr>
          <t>n = 85 buckets</t>
        </r>
      </text>
    </comment>
    <comment ref="H29" authorId="2" shapeId="0" xr:uid="{00000000-0006-0000-0500-00002B000000}">
      <text>
        <r>
          <rPr>
            <b/>
            <sz val="8"/>
            <color indexed="81"/>
            <rFont val="Tahoma"/>
            <family val="2"/>
          </rPr>
          <t>n = 168 buckets</t>
        </r>
      </text>
    </comment>
    <comment ref="B30" authorId="0" shapeId="0" xr:uid="{00000000-0006-0000-0500-00002C000000}">
      <text>
        <r>
          <rPr>
            <b/>
            <sz val="8"/>
            <color indexed="81"/>
            <rFont val="Tahoma"/>
            <family val="2"/>
          </rPr>
          <t>n = 86 buckets</t>
        </r>
      </text>
    </comment>
    <comment ref="E30" authorId="0" shapeId="0" xr:uid="{00000000-0006-0000-0500-00002D000000}">
      <text>
        <r>
          <rPr>
            <b/>
            <sz val="8"/>
            <color indexed="81"/>
            <rFont val="Tahoma"/>
            <family val="2"/>
          </rPr>
          <t>n = 75 buckets counted-omit bear buckets</t>
        </r>
      </text>
    </comment>
    <comment ref="H30" authorId="0" shapeId="0" xr:uid="{00000000-0006-0000-0500-00002E000000}">
      <text>
        <r>
          <rPr>
            <b/>
            <sz val="8"/>
            <color indexed="81"/>
            <rFont val="Tahoma"/>
            <family val="2"/>
          </rPr>
          <t>n = 161 buckets</t>
        </r>
      </text>
    </comment>
    <comment ref="B32" authorId="1" shapeId="0" xr:uid="{00000000-0006-0000-0500-00002F000000}">
      <text>
        <r>
          <rPr>
            <b/>
            <sz val="8"/>
            <color indexed="81"/>
            <rFont val="Tahoma"/>
            <family val="2"/>
          </rPr>
          <t>n = 86 buckets</t>
        </r>
      </text>
    </comment>
    <comment ref="E32" authorId="1" shapeId="0" xr:uid="{00000000-0006-0000-0500-000030000000}">
      <text>
        <r>
          <rPr>
            <b/>
            <sz val="8"/>
            <color indexed="81"/>
            <rFont val="Tahoma"/>
            <family val="2"/>
          </rPr>
          <t>n = 59 buckets intact</t>
        </r>
      </text>
    </comment>
    <comment ref="H32" authorId="1" shapeId="0" xr:uid="{00000000-0006-0000-0500-000031000000}">
      <text>
        <r>
          <rPr>
            <b/>
            <sz val="8"/>
            <color indexed="81"/>
            <rFont val="Tahoma"/>
            <family val="2"/>
          </rPr>
          <t>n = 172 bags counted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</authors>
  <commentList>
    <comment ref="C46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Omitting Jacquot Island samples that are too big due to counting puff balls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J. Krebs</author>
    <author>Charles Krebs</author>
    <author>n =</author>
    <author>KRE015</author>
    <author>Dr. Charles J. Krebs</author>
    <author>s420162</author>
    <author>Any User</author>
    <author>krebs@zoology.ubc.ca</author>
  </authors>
  <commentList>
    <comment ref="B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Total number of quadrats counted.  Not every species occurs in every quadrat.</t>
        </r>
      </text>
    </comment>
    <comment ref="C7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Adjusted by regression to a standard 50% cover in a 0.4 by 0.4 m quadrat</t>
        </r>
      </text>
    </comment>
    <comment ref="F7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Adjusted by regression to a standard 50% cover in a 0.4 by 0.4 m quadrat</t>
        </r>
      </text>
    </comment>
    <comment ref="I7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Adjusted by regression to a standard 50% cover in a 0.4 by 0.4 m quadrat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Adjusted by regression to a standard 50% cover in a 0.4 by 0.4 m quadrat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Adjusted by regression to a standard 50% cover in a 0.4 by 0.4 m quadrat</t>
        </r>
      </text>
    </comment>
    <comment ref="C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Data from Carrier controls in thesis</t>
        </r>
      </text>
    </comment>
    <comment ref="C10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Data from Carrier thesis</t>
        </r>
      </text>
    </comment>
    <comment ref="C11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n = 101 and also Carrier data from thesis</t>
        </r>
      </text>
    </comment>
    <comment ref="F11" authorId="1" shapeId="0" xr:uid="{00000000-0006-0000-0900-00000A000000}">
      <text>
        <r>
          <rPr>
            <b/>
            <sz val="8"/>
            <color indexed="81"/>
            <rFont val="Tahoma"/>
            <family val="2"/>
          </rPr>
          <t>n = 87</t>
        </r>
      </text>
    </comment>
    <comment ref="I11" authorId="1" shapeId="0" xr:uid="{00000000-0006-0000-0900-00000B000000}">
      <text>
        <r>
          <rPr>
            <b/>
            <sz val="8"/>
            <color indexed="81"/>
            <rFont val="Tahoma"/>
            <family val="2"/>
          </rPr>
          <t>n = 17</t>
        </r>
      </text>
    </comment>
    <comment ref="L11" authorId="2" shapeId="0" xr:uid="{00000000-0006-0000-0900-00000C000000}">
      <text>
        <r>
          <rPr>
            <b/>
            <sz val="8"/>
            <color indexed="81"/>
            <rFont val="Tahoma"/>
            <family val="2"/>
          </rPr>
          <t>n = 8</t>
        </r>
      </text>
    </comment>
    <comment ref="O11" authorId="1" shapeId="0" xr:uid="{00000000-0006-0000-0900-00000D000000}">
      <text>
        <r>
          <rPr>
            <b/>
            <sz val="8"/>
            <color indexed="81"/>
            <rFont val="Tahoma"/>
            <family val="2"/>
          </rPr>
          <t>n = 18</t>
        </r>
      </text>
    </comment>
    <comment ref="C12" authorId="1" shapeId="0" xr:uid="{00000000-0006-0000-0900-00000E000000}">
      <text>
        <r>
          <rPr>
            <b/>
            <sz val="8"/>
            <color indexed="81"/>
            <rFont val="Tahoma"/>
            <family val="2"/>
          </rPr>
          <t>n = 178</t>
        </r>
      </text>
    </comment>
    <comment ref="F12" authorId="1" shapeId="0" xr:uid="{00000000-0006-0000-0900-00000F000000}">
      <text>
        <r>
          <rPr>
            <b/>
            <sz val="8"/>
            <color indexed="81"/>
            <rFont val="Tahoma"/>
            <family val="2"/>
          </rPr>
          <t>n = 179</t>
        </r>
      </text>
    </comment>
    <comment ref="I12" authorId="1" shapeId="0" xr:uid="{00000000-0006-0000-0900-000010000000}">
      <text>
        <r>
          <rPr>
            <b/>
            <sz val="8"/>
            <color indexed="81"/>
            <rFont val="Tahoma"/>
            <family val="2"/>
          </rPr>
          <t>n = 29</t>
        </r>
      </text>
    </comment>
    <comment ref="L12" authorId="2" shapeId="0" xr:uid="{00000000-0006-0000-0900-000011000000}">
      <text>
        <r>
          <rPr>
            <b/>
            <sz val="8"/>
            <color indexed="81"/>
            <rFont val="Tahoma"/>
            <family val="2"/>
          </rPr>
          <t>n = 9</t>
        </r>
      </text>
    </comment>
    <comment ref="O12" authorId="1" shapeId="0" xr:uid="{00000000-0006-0000-0900-000012000000}">
      <text>
        <r>
          <rPr>
            <b/>
            <sz val="8"/>
            <color indexed="81"/>
            <rFont val="Tahoma"/>
            <family val="2"/>
          </rPr>
          <t>n = 30</t>
        </r>
      </text>
    </comment>
    <comment ref="C13" authorId="1" shapeId="0" xr:uid="{00000000-0006-0000-0900-000013000000}">
      <text>
        <r>
          <rPr>
            <b/>
            <sz val="8"/>
            <color indexed="81"/>
            <rFont val="Tahoma"/>
            <family val="2"/>
          </rPr>
          <t>n = 187</t>
        </r>
      </text>
    </comment>
    <comment ref="F13" authorId="1" shapeId="0" xr:uid="{00000000-0006-0000-0900-000014000000}">
      <text>
        <r>
          <rPr>
            <b/>
            <sz val="8"/>
            <color indexed="81"/>
            <rFont val="Tahoma"/>
            <family val="2"/>
          </rPr>
          <t>n = 175</t>
        </r>
      </text>
    </comment>
    <comment ref="I13" authorId="3" shapeId="0" xr:uid="{00000000-0006-0000-0900-000015000000}">
      <text>
        <r>
          <rPr>
            <b/>
            <sz val="8"/>
            <color indexed="81"/>
            <rFont val="Tahoma"/>
            <family val="2"/>
          </rPr>
          <t>n = 30</t>
        </r>
      </text>
    </comment>
    <comment ref="L13" authorId="2" shapeId="0" xr:uid="{00000000-0006-0000-0900-000016000000}">
      <text>
        <r>
          <rPr>
            <b/>
            <sz val="8"/>
            <color indexed="81"/>
            <rFont val="Tahoma"/>
            <family val="2"/>
          </rPr>
          <t>n = 18</t>
        </r>
      </text>
    </comment>
    <comment ref="O13" authorId="1" shapeId="0" xr:uid="{00000000-0006-0000-0900-000017000000}">
      <text>
        <r>
          <rPr>
            <b/>
            <sz val="8"/>
            <color indexed="81"/>
            <rFont val="Tahoma"/>
            <family val="2"/>
          </rPr>
          <t>n = 34</t>
        </r>
      </text>
    </comment>
    <comment ref="C14" authorId="1" shapeId="0" xr:uid="{00000000-0006-0000-0900-000018000000}">
      <text>
        <r>
          <rPr>
            <b/>
            <sz val="8"/>
            <color indexed="81"/>
            <rFont val="Tahoma"/>
            <family val="2"/>
          </rPr>
          <t>n = 341</t>
        </r>
      </text>
    </comment>
    <comment ref="F14" authorId="1" shapeId="0" xr:uid="{00000000-0006-0000-0900-000019000000}">
      <text>
        <r>
          <rPr>
            <b/>
            <sz val="8"/>
            <color indexed="81"/>
            <rFont val="Tahoma"/>
            <family val="2"/>
          </rPr>
          <t>n = 328</t>
        </r>
      </text>
    </comment>
    <comment ref="I14" authorId="3" shapeId="0" xr:uid="{00000000-0006-0000-0900-00001A000000}">
      <text>
        <r>
          <rPr>
            <b/>
            <sz val="8"/>
            <color indexed="81"/>
            <rFont val="Tahoma"/>
            <family val="2"/>
          </rPr>
          <t>n = 94</t>
        </r>
      </text>
    </comment>
    <comment ref="L14" authorId="2" shapeId="0" xr:uid="{00000000-0006-0000-0900-00001B000000}">
      <text>
        <r>
          <rPr>
            <b/>
            <sz val="8"/>
            <color indexed="81"/>
            <rFont val="Tahoma"/>
            <family val="2"/>
          </rPr>
          <t>n = 78</t>
        </r>
      </text>
    </comment>
    <comment ref="O14" authorId="1" shapeId="0" xr:uid="{00000000-0006-0000-0900-00001C000000}">
      <text>
        <r>
          <rPr>
            <b/>
            <sz val="8"/>
            <color indexed="81"/>
            <rFont val="Tahoma"/>
            <family val="2"/>
          </rPr>
          <t>n = 140</t>
        </r>
      </text>
    </comment>
    <comment ref="C15" authorId="1" shapeId="0" xr:uid="{00000000-0006-0000-0900-00001D000000}">
      <text>
        <r>
          <rPr>
            <b/>
            <sz val="8"/>
            <color indexed="81"/>
            <rFont val="Tahoma"/>
            <family val="2"/>
          </rPr>
          <t>n = 387</t>
        </r>
      </text>
    </comment>
    <comment ref="F15" authorId="1" shapeId="0" xr:uid="{00000000-0006-0000-0900-00001E000000}">
      <text>
        <r>
          <rPr>
            <b/>
            <sz val="8"/>
            <color indexed="81"/>
            <rFont val="Tahoma"/>
            <family val="2"/>
          </rPr>
          <t>n = 403</t>
        </r>
      </text>
    </comment>
    <comment ref="I15" authorId="2" shapeId="0" xr:uid="{00000000-0006-0000-0900-00001F000000}">
      <text>
        <r>
          <rPr>
            <b/>
            <sz val="8"/>
            <color indexed="81"/>
            <rFont val="Tahoma"/>
            <family val="2"/>
          </rPr>
          <t>n = 161</t>
        </r>
      </text>
    </comment>
    <comment ref="L15" authorId="2" shapeId="0" xr:uid="{00000000-0006-0000-0900-000020000000}">
      <text>
        <r>
          <rPr>
            <b/>
            <sz val="8"/>
            <color indexed="81"/>
            <rFont val="Tahoma"/>
            <family val="2"/>
          </rPr>
          <t>n = 182</t>
        </r>
      </text>
    </comment>
    <comment ref="O15" authorId="1" shapeId="0" xr:uid="{00000000-0006-0000-0900-000021000000}">
      <text>
        <r>
          <rPr>
            <b/>
            <sz val="8"/>
            <color indexed="81"/>
            <rFont val="Tahoma"/>
            <family val="2"/>
          </rPr>
          <t>n = 162</t>
        </r>
      </text>
    </comment>
    <comment ref="C16" authorId="1" shapeId="0" xr:uid="{00000000-0006-0000-0900-000022000000}">
      <text>
        <r>
          <rPr>
            <b/>
            <sz val="8"/>
            <color indexed="81"/>
            <rFont val="Tahoma"/>
            <family val="2"/>
          </rPr>
          <t>n = 362</t>
        </r>
      </text>
    </comment>
    <comment ref="F16" authorId="1" shapeId="0" xr:uid="{00000000-0006-0000-0900-000023000000}">
      <text>
        <r>
          <rPr>
            <b/>
            <sz val="8"/>
            <color indexed="81"/>
            <rFont val="Tahoma"/>
            <family val="2"/>
          </rPr>
          <t>n = 379</t>
        </r>
      </text>
    </comment>
    <comment ref="I16" authorId="2" shapeId="0" xr:uid="{00000000-0006-0000-0900-000024000000}">
      <text>
        <r>
          <rPr>
            <b/>
            <sz val="8"/>
            <color indexed="81"/>
            <rFont val="Tahoma"/>
            <family val="2"/>
          </rPr>
          <t>n = 147</t>
        </r>
      </text>
    </comment>
    <comment ref="L16" authorId="2" shapeId="0" xr:uid="{00000000-0006-0000-0900-000025000000}">
      <text>
        <r>
          <rPr>
            <b/>
            <sz val="8"/>
            <color indexed="81"/>
            <rFont val="Tahoma"/>
            <family val="2"/>
          </rPr>
          <t>n = 189</t>
        </r>
      </text>
    </comment>
    <comment ref="O16" authorId="1" shapeId="0" xr:uid="{00000000-0006-0000-0900-000026000000}">
      <text>
        <r>
          <rPr>
            <b/>
            <sz val="8"/>
            <color indexed="81"/>
            <rFont val="Tahoma"/>
            <family val="2"/>
          </rPr>
          <t>n = 162</t>
        </r>
      </text>
    </comment>
    <comment ref="C17" authorId="1" shapeId="0" xr:uid="{00000000-0006-0000-0900-000027000000}">
      <text>
        <r>
          <rPr>
            <b/>
            <sz val="8"/>
            <color indexed="81"/>
            <rFont val="Tahoma"/>
            <family val="2"/>
          </rPr>
          <t>n=359</t>
        </r>
      </text>
    </comment>
    <comment ref="F17" authorId="1" shapeId="0" xr:uid="{00000000-0006-0000-0900-000028000000}">
      <text>
        <r>
          <rPr>
            <b/>
            <sz val="8"/>
            <color indexed="81"/>
            <rFont val="Tahoma"/>
            <family val="2"/>
          </rPr>
          <t>n = 405</t>
        </r>
      </text>
    </comment>
    <comment ref="I17" authorId="2" shapeId="0" xr:uid="{00000000-0006-0000-0900-000029000000}">
      <text>
        <r>
          <rPr>
            <b/>
            <sz val="8"/>
            <color indexed="81"/>
            <rFont val="Tahoma"/>
            <family val="2"/>
          </rPr>
          <t>n = 143</t>
        </r>
      </text>
    </comment>
    <comment ref="L17" authorId="2" shapeId="0" xr:uid="{00000000-0006-0000-0900-00002A000000}">
      <text>
        <r>
          <rPr>
            <b/>
            <sz val="8"/>
            <color indexed="81"/>
            <rFont val="Tahoma"/>
            <family val="2"/>
          </rPr>
          <t>n = 209</t>
        </r>
      </text>
    </comment>
    <comment ref="O17" authorId="1" shapeId="0" xr:uid="{00000000-0006-0000-0900-00002B000000}">
      <text>
        <r>
          <rPr>
            <b/>
            <sz val="8"/>
            <color indexed="81"/>
            <rFont val="Tahoma"/>
            <family val="2"/>
          </rPr>
          <t>n = 177</t>
        </r>
      </text>
    </comment>
    <comment ref="C18" authorId="1" shapeId="0" xr:uid="{00000000-0006-0000-0900-00002C000000}">
      <text>
        <r>
          <rPr>
            <b/>
            <sz val="8"/>
            <color indexed="81"/>
            <rFont val="Tahoma"/>
            <family val="2"/>
          </rPr>
          <t>n=369</t>
        </r>
      </text>
    </comment>
    <comment ref="F18" authorId="1" shapeId="0" xr:uid="{00000000-0006-0000-0900-00002D000000}">
      <text>
        <r>
          <rPr>
            <b/>
            <sz val="8"/>
            <color indexed="81"/>
            <rFont val="Tahoma"/>
            <family val="2"/>
          </rPr>
          <t>n = 421</t>
        </r>
      </text>
    </comment>
    <comment ref="I18" authorId="2" shapeId="0" xr:uid="{00000000-0006-0000-0900-00002E000000}">
      <text>
        <r>
          <rPr>
            <b/>
            <sz val="8"/>
            <color indexed="81"/>
            <rFont val="Tahoma"/>
            <family val="2"/>
          </rPr>
          <t>n = 154</t>
        </r>
      </text>
    </comment>
    <comment ref="L18" authorId="2" shapeId="0" xr:uid="{00000000-0006-0000-0900-00002F000000}">
      <text>
        <r>
          <rPr>
            <b/>
            <sz val="8"/>
            <color indexed="81"/>
            <rFont val="Tahoma"/>
            <family val="2"/>
          </rPr>
          <t>n = 204</t>
        </r>
      </text>
    </comment>
    <comment ref="O18" authorId="1" shapeId="0" xr:uid="{00000000-0006-0000-0900-000030000000}">
      <text>
        <r>
          <rPr>
            <b/>
            <sz val="8"/>
            <color indexed="81"/>
            <rFont val="Tahoma"/>
            <family val="2"/>
          </rPr>
          <t>n = 177</t>
        </r>
      </text>
    </comment>
    <comment ref="C19" authorId="1" shapeId="0" xr:uid="{00000000-0006-0000-0900-000031000000}">
      <text>
        <r>
          <rPr>
            <b/>
            <sz val="8"/>
            <color indexed="81"/>
            <rFont val="Tahoma"/>
            <family val="2"/>
          </rPr>
          <t>n =327 quadrats</t>
        </r>
      </text>
    </comment>
    <comment ref="F19" authorId="1" shapeId="0" xr:uid="{00000000-0006-0000-0900-000032000000}">
      <text>
        <r>
          <rPr>
            <b/>
            <sz val="8"/>
            <color indexed="81"/>
            <rFont val="Tahoma"/>
            <family val="2"/>
          </rPr>
          <t>n = 405</t>
        </r>
      </text>
    </comment>
    <comment ref="I19" authorId="2" shapeId="0" xr:uid="{00000000-0006-0000-0900-000033000000}">
      <text>
        <r>
          <rPr>
            <b/>
            <sz val="8"/>
            <color indexed="81"/>
            <rFont val="Tahoma"/>
            <family val="2"/>
          </rPr>
          <t>n = 156</t>
        </r>
      </text>
    </comment>
    <comment ref="L19" authorId="2" shapeId="0" xr:uid="{00000000-0006-0000-0900-000034000000}">
      <text>
        <r>
          <rPr>
            <b/>
            <sz val="8"/>
            <color indexed="81"/>
            <rFont val="Tahoma"/>
            <family val="2"/>
          </rPr>
          <t>n = 175</t>
        </r>
      </text>
    </comment>
    <comment ref="O19" authorId="1" shapeId="0" xr:uid="{00000000-0006-0000-0900-000035000000}">
      <text>
        <r>
          <rPr>
            <b/>
            <sz val="8"/>
            <color indexed="81"/>
            <rFont val="Tahoma"/>
            <family val="2"/>
          </rPr>
          <t>n=261</t>
        </r>
      </text>
    </comment>
    <comment ref="C20" authorId="0" shapeId="0" xr:uid="{00000000-0006-0000-0900-000036000000}">
      <text>
        <r>
          <rPr>
            <b/>
            <sz val="8"/>
            <color indexed="81"/>
            <rFont val="Tahoma"/>
            <family val="2"/>
          </rPr>
          <t>n = 331</t>
        </r>
      </text>
    </comment>
    <comment ref="F20" authorId="0" shapeId="0" xr:uid="{00000000-0006-0000-0900-000037000000}">
      <text>
        <r>
          <rPr>
            <b/>
            <sz val="8"/>
            <color indexed="81"/>
            <rFont val="Tahoma"/>
            <family val="2"/>
          </rPr>
          <t>n = 417 quadrats</t>
        </r>
      </text>
    </comment>
    <comment ref="I20" authorId="0" shapeId="0" xr:uid="{00000000-0006-0000-0900-000038000000}">
      <text>
        <r>
          <rPr>
            <b/>
            <sz val="8"/>
            <color indexed="81"/>
            <rFont val="Tahoma"/>
            <family val="2"/>
          </rPr>
          <t>n = 166 quadrats</t>
        </r>
      </text>
    </comment>
    <comment ref="L20" authorId="0" shapeId="0" xr:uid="{00000000-0006-0000-0900-000039000000}">
      <text>
        <r>
          <rPr>
            <b/>
            <sz val="8"/>
            <color indexed="81"/>
            <rFont val="Tahoma"/>
            <family val="2"/>
          </rPr>
          <t>n = 188 quadrats</t>
        </r>
      </text>
    </comment>
    <comment ref="O20" authorId="0" shapeId="0" xr:uid="{00000000-0006-0000-0900-00003A000000}">
      <text>
        <r>
          <rPr>
            <b/>
            <sz val="8"/>
            <color indexed="81"/>
            <rFont val="Tahoma"/>
            <family val="2"/>
          </rPr>
          <t>n = 181 quadrats</t>
        </r>
      </text>
    </comment>
    <comment ref="C21" authorId="0" shapeId="0" xr:uid="{00000000-0006-0000-0900-00003B000000}">
      <text>
        <r>
          <rPr>
            <b/>
            <sz val="8"/>
            <color indexed="81"/>
            <rFont val="Tahoma"/>
            <family val="2"/>
          </rPr>
          <t>n = 280</t>
        </r>
      </text>
    </comment>
    <comment ref="F21" authorId="0" shapeId="0" xr:uid="{00000000-0006-0000-0900-00003C000000}">
      <text>
        <r>
          <rPr>
            <b/>
            <sz val="8"/>
            <color indexed="81"/>
            <rFont val="Tahoma"/>
            <family val="2"/>
          </rPr>
          <t>n = 367</t>
        </r>
      </text>
    </comment>
    <comment ref="I21" authorId="0" shapeId="0" xr:uid="{00000000-0006-0000-0900-00003D000000}">
      <text>
        <r>
          <rPr>
            <b/>
            <sz val="8"/>
            <color indexed="81"/>
            <rFont val="Tahoma"/>
            <family val="2"/>
          </rPr>
          <t>n = 160</t>
        </r>
      </text>
    </comment>
    <comment ref="L21" authorId="0" shapeId="0" xr:uid="{00000000-0006-0000-0900-00003E000000}">
      <text>
        <r>
          <rPr>
            <b/>
            <sz val="8"/>
            <color indexed="81"/>
            <rFont val="Tahoma"/>
            <family val="2"/>
          </rPr>
          <t>n = 167</t>
        </r>
      </text>
    </comment>
    <comment ref="O21" authorId="0" shapeId="0" xr:uid="{00000000-0006-0000-0900-00003F000000}">
      <text>
        <r>
          <rPr>
            <b/>
            <sz val="8"/>
            <color indexed="81"/>
            <rFont val="Tahoma"/>
            <family val="2"/>
          </rPr>
          <t>n = 130</t>
        </r>
      </text>
    </comment>
    <comment ref="C22" authorId="4" shapeId="0" xr:uid="{00000000-0006-0000-0900-000040000000}">
      <text>
        <r>
          <rPr>
            <b/>
            <sz val="8"/>
            <color indexed="81"/>
            <rFont val="Tahoma"/>
            <family val="2"/>
          </rPr>
          <t>n = 237</t>
        </r>
      </text>
    </comment>
    <comment ref="F22" authorId="4" shapeId="0" xr:uid="{00000000-0006-0000-0900-000041000000}">
      <text>
        <r>
          <rPr>
            <b/>
            <sz val="8"/>
            <color indexed="81"/>
            <rFont val="Tahoma"/>
            <family val="2"/>
          </rPr>
          <t>n = 352</t>
        </r>
      </text>
    </comment>
    <comment ref="I22" authorId="4" shapeId="0" xr:uid="{00000000-0006-0000-0900-000042000000}">
      <text>
        <r>
          <rPr>
            <b/>
            <sz val="8"/>
            <color indexed="81"/>
            <rFont val="Tahoma"/>
            <family val="2"/>
          </rPr>
          <t>n = 188</t>
        </r>
      </text>
    </comment>
    <comment ref="L22" authorId="4" shapeId="0" xr:uid="{00000000-0006-0000-0900-000043000000}">
      <text>
        <r>
          <rPr>
            <b/>
            <sz val="8"/>
            <color indexed="81"/>
            <rFont val="Tahoma"/>
            <family val="2"/>
          </rPr>
          <t>n = 222</t>
        </r>
      </text>
    </comment>
    <comment ref="O22" authorId="4" shapeId="0" xr:uid="{00000000-0006-0000-0900-000044000000}">
      <text>
        <r>
          <rPr>
            <b/>
            <sz val="8"/>
            <color indexed="81"/>
            <rFont val="Tahoma"/>
            <family val="2"/>
          </rPr>
          <t>n = 108</t>
        </r>
      </text>
    </comment>
    <comment ref="C23" authorId="5" shapeId="0" xr:uid="{00000000-0006-0000-0900-000045000000}">
      <text>
        <r>
          <rPr>
            <b/>
            <sz val="8"/>
            <color indexed="81"/>
            <rFont val="Tahoma"/>
            <family val="2"/>
          </rPr>
          <t>n = 271</t>
        </r>
      </text>
    </comment>
    <comment ref="F23" authorId="5" shapeId="0" xr:uid="{00000000-0006-0000-0900-000046000000}">
      <text>
        <r>
          <rPr>
            <b/>
            <sz val="8"/>
            <color indexed="81"/>
            <rFont val="Tahoma"/>
            <family val="2"/>
          </rPr>
          <t>n = 344</t>
        </r>
      </text>
    </comment>
    <comment ref="I23" authorId="5" shapeId="0" xr:uid="{00000000-0006-0000-0900-000047000000}">
      <text>
        <r>
          <rPr>
            <b/>
            <sz val="8"/>
            <color indexed="81"/>
            <rFont val="Tahoma"/>
            <family val="2"/>
          </rPr>
          <t>n = 206</t>
        </r>
      </text>
    </comment>
    <comment ref="L23" authorId="5" shapeId="0" xr:uid="{00000000-0006-0000-0900-000048000000}">
      <text>
        <r>
          <rPr>
            <b/>
            <sz val="8"/>
            <color indexed="81"/>
            <rFont val="Tahoma"/>
            <family val="2"/>
          </rPr>
          <t>n = 204</t>
        </r>
      </text>
    </comment>
    <comment ref="O23" authorId="5" shapeId="0" xr:uid="{00000000-0006-0000-0900-000049000000}">
      <text>
        <r>
          <rPr>
            <b/>
            <sz val="8"/>
            <color indexed="81"/>
            <rFont val="Tahoma"/>
            <family val="2"/>
          </rPr>
          <t>n = 66</t>
        </r>
      </text>
    </comment>
    <comment ref="C24" authorId="4" shapeId="0" xr:uid="{00000000-0006-0000-0900-00004A000000}">
      <text>
        <r>
          <rPr>
            <b/>
            <sz val="9"/>
            <color indexed="81"/>
            <rFont val="Tahoma"/>
            <family val="2"/>
          </rPr>
          <t>n = 252</t>
        </r>
      </text>
    </comment>
    <comment ref="F24" authorId="4" shapeId="0" xr:uid="{00000000-0006-0000-0900-00004B000000}">
      <text>
        <r>
          <rPr>
            <b/>
            <sz val="9"/>
            <color indexed="81"/>
            <rFont val="Tahoma"/>
            <family val="2"/>
          </rPr>
          <t>n = 352</t>
        </r>
      </text>
    </comment>
    <comment ref="I24" authorId="4" shapeId="0" xr:uid="{00000000-0006-0000-0900-00004C000000}">
      <text>
        <r>
          <rPr>
            <b/>
            <sz val="9"/>
            <color indexed="81"/>
            <rFont val="Tahoma"/>
            <family val="2"/>
          </rPr>
          <t>n = 228</t>
        </r>
      </text>
    </comment>
    <comment ref="L24" authorId="4" shapeId="0" xr:uid="{00000000-0006-0000-0900-00004D000000}">
      <text>
        <r>
          <rPr>
            <b/>
            <sz val="9"/>
            <color indexed="81"/>
            <rFont val="Tahoma"/>
            <family val="2"/>
          </rPr>
          <t>n = 182</t>
        </r>
      </text>
    </comment>
    <comment ref="O24" authorId="4" shapeId="0" xr:uid="{00000000-0006-0000-0900-00004E000000}">
      <text>
        <r>
          <rPr>
            <b/>
            <sz val="9"/>
            <color indexed="81"/>
            <rFont val="Tahoma"/>
            <family val="2"/>
          </rPr>
          <t>n = 82</t>
        </r>
      </text>
    </comment>
    <comment ref="C25" authorId="1" shapeId="0" xr:uid="{00000000-0006-0000-0900-00004F000000}">
      <text>
        <r>
          <rPr>
            <b/>
            <sz val="9"/>
            <color indexed="81"/>
            <rFont val="Tahoma"/>
            <family val="2"/>
          </rPr>
          <t>n = 245</t>
        </r>
      </text>
    </comment>
    <comment ref="F25" authorId="1" shapeId="0" xr:uid="{00000000-0006-0000-0900-000050000000}">
      <text>
        <r>
          <rPr>
            <b/>
            <sz val="9"/>
            <color indexed="81"/>
            <rFont val="Tahoma"/>
            <family val="2"/>
          </rPr>
          <t>n = 363</t>
        </r>
      </text>
    </comment>
    <comment ref="I25" authorId="1" shapeId="0" xr:uid="{00000000-0006-0000-0900-000051000000}">
      <text>
        <r>
          <rPr>
            <b/>
            <sz val="9"/>
            <color indexed="81"/>
            <rFont val="Tahoma"/>
            <family val="2"/>
          </rPr>
          <t>n = 237</t>
        </r>
      </text>
    </comment>
    <comment ref="L25" authorId="1" shapeId="0" xr:uid="{00000000-0006-0000-0900-000052000000}">
      <text>
        <r>
          <rPr>
            <b/>
            <sz val="9"/>
            <color indexed="81"/>
            <rFont val="Tahoma"/>
            <family val="2"/>
          </rPr>
          <t>n = 186</t>
        </r>
      </text>
    </comment>
    <comment ref="O25" authorId="1" shapeId="0" xr:uid="{00000000-0006-0000-0900-000053000000}">
      <text>
        <r>
          <rPr>
            <b/>
            <sz val="9"/>
            <color indexed="81"/>
            <rFont val="Tahoma"/>
            <family val="2"/>
          </rPr>
          <t>n = 107</t>
        </r>
      </text>
    </comment>
    <comment ref="C26" authorId="1" shapeId="0" xr:uid="{00000000-0006-0000-0900-000054000000}">
      <text>
        <r>
          <rPr>
            <b/>
            <sz val="9"/>
            <color indexed="81"/>
            <rFont val="Tahoma"/>
            <family val="2"/>
          </rPr>
          <t>n = 257</t>
        </r>
      </text>
    </comment>
    <comment ref="F26" authorId="1" shapeId="0" xr:uid="{00000000-0006-0000-0900-000055000000}">
      <text>
        <r>
          <rPr>
            <b/>
            <sz val="9"/>
            <color indexed="81"/>
            <rFont val="Tahoma"/>
            <family val="2"/>
          </rPr>
          <t>n = 362</t>
        </r>
      </text>
    </comment>
    <comment ref="I26" authorId="1" shapeId="0" xr:uid="{00000000-0006-0000-0900-000056000000}">
      <text>
        <r>
          <rPr>
            <b/>
            <sz val="9"/>
            <color indexed="81"/>
            <rFont val="Tahoma"/>
            <family val="2"/>
          </rPr>
          <t>n = 241</t>
        </r>
      </text>
    </comment>
    <comment ref="L26" authorId="1" shapeId="0" xr:uid="{00000000-0006-0000-0900-000057000000}">
      <text>
        <r>
          <rPr>
            <b/>
            <sz val="9"/>
            <color indexed="81"/>
            <rFont val="Tahoma"/>
            <family val="2"/>
          </rPr>
          <t>n = 235</t>
        </r>
      </text>
    </comment>
    <comment ref="O26" authorId="1" shapeId="0" xr:uid="{00000000-0006-0000-0900-000058000000}">
      <text>
        <r>
          <rPr>
            <b/>
            <sz val="9"/>
            <color indexed="81"/>
            <rFont val="Tahoma"/>
            <family val="2"/>
          </rPr>
          <t>n = 140</t>
        </r>
      </text>
    </comment>
    <comment ref="C27" authorId="6" shapeId="0" xr:uid="{00000000-0006-0000-0900-000059000000}">
      <text>
        <r>
          <rPr>
            <b/>
            <sz val="8"/>
            <color indexed="81"/>
            <rFont val="Tahoma"/>
            <family val="2"/>
          </rPr>
          <t>n = 251</t>
        </r>
      </text>
    </comment>
    <comment ref="F27" authorId="6" shapeId="0" xr:uid="{00000000-0006-0000-0900-00005A000000}">
      <text>
        <r>
          <rPr>
            <b/>
            <sz val="8"/>
            <color indexed="81"/>
            <rFont val="Tahoma"/>
            <family val="2"/>
          </rPr>
          <t>n = 369</t>
        </r>
      </text>
    </comment>
    <comment ref="I27" authorId="6" shapeId="0" xr:uid="{00000000-0006-0000-0900-00005B000000}">
      <text>
        <r>
          <rPr>
            <b/>
            <sz val="8"/>
            <color indexed="81"/>
            <rFont val="Tahoma"/>
            <family val="2"/>
          </rPr>
          <t>n = 233</t>
        </r>
      </text>
    </comment>
    <comment ref="L27" authorId="6" shapeId="0" xr:uid="{00000000-0006-0000-0900-00005C000000}">
      <text>
        <r>
          <rPr>
            <b/>
            <sz val="8"/>
            <color indexed="81"/>
            <rFont val="Tahoma"/>
            <family val="2"/>
          </rPr>
          <t>n = 218</t>
        </r>
      </text>
    </comment>
    <comment ref="O27" authorId="6" shapeId="0" xr:uid="{00000000-0006-0000-0900-00005D000000}">
      <text>
        <r>
          <rPr>
            <b/>
            <sz val="8"/>
            <color indexed="81"/>
            <rFont val="Tahoma"/>
            <family val="2"/>
          </rPr>
          <t>n = 121</t>
        </r>
      </text>
    </comment>
    <comment ref="C28" authorId="7" shapeId="0" xr:uid="{00000000-0006-0000-0900-00005E000000}">
      <text>
        <r>
          <rPr>
            <b/>
            <sz val="9"/>
            <color indexed="81"/>
            <rFont val="Tahoma"/>
            <family val="2"/>
          </rPr>
          <t>n = 244</t>
        </r>
      </text>
    </comment>
    <comment ref="F28" authorId="7" shapeId="0" xr:uid="{00000000-0006-0000-0900-00005F000000}">
      <text>
        <r>
          <rPr>
            <b/>
            <sz val="9"/>
            <color indexed="81"/>
            <rFont val="Tahoma"/>
            <family val="2"/>
          </rPr>
          <t>n = 361</t>
        </r>
      </text>
    </comment>
    <comment ref="I28" authorId="7" shapeId="0" xr:uid="{00000000-0006-0000-0900-000060000000}">
      <text>
        <r>
          <rPr>
            <b/>
            <sz val="9"/>
            <color indexed="81"/>
            <rFont val="Tahoma"/>
            <family val="2"/>
          </rPr>
          <t>n = 237</t>
        </r>
      </text>
    </comment>
    <comment ref="C29" authorId="1" shapeId="0" xr:uid="{00000000-0006-0000-0900-000061000000}">
      <text>
        <r>
          <rPr>
            <b/>
            <sz val="9"/>
            <color indexed="81"/>
            <rFont val="Tahoma"/>
            <family val="2"/>
          </rPr>
          <t>n = 253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1" shapeId="0" xr:uid="{00000000-0006-0000-0900-000062000000}">
      <text>
        <r>
          <rPr>
            <b/>
            <sz val="9"/>
            <color indexed="81"/>
            <rFont val="Tahoma"/>
            <family val="2"/>
          </rPr>
          <t>n = 370</t>
        </r>
      </text>
    </comment>
    <comment ref="I29" authorId="1" shapeId="0" xr:uid="{00000000-0006-0000-0900-000063000000}">
      <text>
        <r>
          <rPr>
            <b/>
            <sz val="9"/>
            <color indexed="81"/>
            <rFont val="Tahoma"/>
            <family val="2"/>
          </rPr>
          <t>n = 230</t>
        </r>
      </text>
    </comment>
    <comment ref="L29" authorId="1" shapeId="0" xr:uid="{00000000-0006-0000-0900-000064000000}">
      <text>
        <r>
          <rPr>
            <b/>
            <sz val="9"/>
            <color indexed="81"/>
            <rFont val="Tahoma"/>
            <family val="2"/>
          </rPr>
          <t>n = 220</t>
        </r>
      </text>
    </comment>
    <comment ref="O29" authorId="1" shapeId="0" xr:uid="{00000000-0006-0000-0900-000065000000}">
      <text>
        <r>
          <rPr>
            <b/>
            <sz val="9"/>
            <color indexed="81"/>
            <rFont val="Tahoma"/>
            <family val="2"/>
          </rPr>
          <t>n = 146</t>
        </r>
      </text>
    </comment>
    <comment ref="C30" authorId="1" shapeId="0" xr:uid="{00000000-0006-0000-0900-000066000000}">
      <text>
        <r>
          <rPr>
            <b/>
            <sz val="9"/>
            <color indexed="81"/>
            <rFont val="Tahoma"/>
            <family val="2"/>
          </rPr>
          <t>n = 242</t>
        </r>
      </text>
    </comment>
    <comment ref="F30" authorId="1" shapeId="0" xr:uid="{00000000-0006-0000-0900-000067000000}">
      <text>
        <r>
          <rPr>
            <b/>
            <sz val="9"/>
            <color indexed="81"/>
            <rFont val="Tahoma"/>
            <family val="2"/>
          </rPr>
          <t>n = 376</t>
        </r>
      </text>
    </comment>
    <comment ref="I30" authorId="1" shapeId="0" xr:uid="{00000000-0006-0000-0900-000068000000}">
      <text>
        <r>
          <rPr>
            <b/>
            <sz val="9"/>
            <color indexed="81"/>
            <rFont val="Tahoma"/>
            <family val="2"/>
          </rPr>
          <t>n = 239</t>
        </r>
      </text>
    </comment>
    <comment ref="L30" authorId="1" shapeId="0" xr:uid="{00000000-0006-0000-0900-000069000000}">
      <text>
        <r>
          <rPr>
            <b/>
            <sz val="9"/>
            <color indexed="81"/>
            <rFont val="Tahoma"/>
            <family val="2"/>
          </rPr>
          <t>n = 202</t>
        </r>
      </text>
    </comment>
    <comment ref="O30" authorId="1" shapeId="0" xr:uid="{00000000-0006-0000-0900-00006A000000}">
      <text>
        <r>
          <rPr>
            <b/>
            <sz val="9"/>
            <color indexed="81"/>
            <rFont val="Tahoma"/>
            <family val="2"/>
          </rPr>
          <t>n = 172</t>
        </r>
      </text>
    </comment>
    <comment ref="C31" authorId="1" shapeId="0" xr:uid="{00000000-0006-0000-0900-00006B000000}">
      <text>
        <r>
          <rPr>
            <b/>
            <sz val="9"/>
            <color indexed="81"/>
            <rFont val="Tahoma"/>
            <family val="2"/>
          </rPr>
          <t>n = 244</t>
        </r>
      </text>
    </comment>
    <comment ref="F31" authorId="1" shapeId="0" xr:uid="{00000000-0006-0000-0900-00006C000000}">
      <text>
        <r>
          <rPr>
            <b/>
            <sz val="9"/>
            <color indexed="81"/>
            <rFont val="Tahoma"/>
            <family val="2"/>
          </rPr>
          <t>n = 365</t>
        </r>
      </text>
    </comment>
    <comment ref="I31" authorId="1" shapeId="0" xr:uid="{00000000-0006-0000-0900-00006D000000}">
      <text>
        <r>
          <rPr>
            <b/>
            <sz val="9"/>
            <color indexed="81"/>
            <rFont val="Tahoma"/>
            <family val="2"/>
          </rPr>
          <t>n = 232</t>
        </r>
      </text>
    </comment>
    <comment ref="L31" authorId="1" shapeId="0" xr:uid="{00000000-0006-0000-0900-00006E000000}">
      <text>
        <r>
          <rPr>
            <b/>
            <sz val="9"/>
            <color indexed="81"/>
            <rFont val="Tahoma"/>
            <family val="2"/>
          </rPr>
          <t>n = 184</t>
        </r>
      </text>
    </comment>
    <comment ref="O31" authorId="1" shapeId="0" xr:uid="{00000000-0006-0000-0900-00006F000000}">
      <text>
        <r>
          <rPr>
            <b/>
            <sz val="9"/>
            <color indexed="81"/>
            <rFont val="Tahoma"/>
            <family val="2"/>
          </rPr>
          <t>n = 138</t>
        </r>
      </text>
    </comment>
    <comment ref="C32" authorId="1" shapeId="0" xr:uid="{CC2E4528-D42C-4713-A3C5-35B88B75769D}">
      <text>
        <r>
          <rPr>
            <b/>
            <sz val="9"/>
            <color indexed="81"/>
            <rFont val="Tahoma"/>
            <family val="2"/>
          </rPr>
          <t>n = 246</t>
        </r>
      </text>
    </comment>
    <comment ref="F32" authorId="1" shapeId="0" xr:uid="{AA5D7928-DF83-4D2A-A3A0-80DF63316B4A}">
      <text>
        <r>
          <rPr>
            <b/>
            <sz val="9"/>
            <color indexed="81"/>
            <rFont val="Tahoma"/>
            <family val="2"/>
          </rPr>
          <t>n = 366</t>
        </r>
      </text>
    </comment>
    <comment ref="I32" authorId="1" shapeId="0" xr:uid="{71AE66F6-D7E8-4918-A041-FC60F6CD8A7F}">
      <text>
        <r>
          <rPr>
            <b/>
            <sz val="9"/>
            <color indexed="81"/>
            <rFont val="Tahoma"/>
            <family val="2"/>
          </rPr>
          <t>n = 229</t>
        </r>
      </text>
    </comment>
    <comment ref="L32" authorId="1" shapeId="0" xr:uid="{68F611B1-BD2E-4736-8B09-F62D47546FE2}">
      <text>
        <r>
          <rPr>
            <b/>
            <sz val="9"/>
            <color indexed="81"/>
            <rFont val="Tahoma"/>
            <family val="2"/>
          </rPr>
          <t>n = 181</t>
        </r>
      </text>
    </comment>
    <comment ref="O32" authorId="1" shapeId="0" xr:uid="{824416E8-B4E2-444B-B3DC-7CAB7F442F99}">
      <text>
        <r>
          <rPr>
            <b/>
            <sz val="9"/>
            <color indexed="81"/>
            <rFont val="Tahoma"/>
            <family val="2"/>
          </rPr>
          <t>n = 127</t>
        </r>
      </text>
    </comment>
    <comment ref="B41" authorId="1" shapeId="0" xr:uid="{00000000-0006-0000-0900-000070000000}">
      <text>
        <r>
          <rPr>
            <b/>
            <sz val="8"/>
            <color indexed="81"/>
            <rFont val="Tahoma"/>
            <family val="2"/>
          </rPr>
          <t>Includes Carrier data for 1995 and 1996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J. Krebs</author>
  </authors>
  <commentList>
    <comment ref="B8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Year of production, counted in August of the year</t>
        </r>
      </text>
    </comment>
    <comment ref="C8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Adjusted by regression to a standard 10 mm stem diameter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Number of stems counted</t>
        </r>
      </text>
    </comment>
    <comment ref="G8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Average weight of one ripe red berry in grams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Charles J. Krebs</author>
    <author>CJK</author>
    <author>Charles J. Krebs</author>
    <author>Charles Krebs</author>
    <author>s420368</author>
    <author>Any User</author>
  </authors>
  <commentList>
    <comment ref="C27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Interpolated from summer increase</t>
        </r>
      </text>
    </comment>
    <comment ref="C29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 xml:space="preserve">Interpolation based on tripling over summer 1988
</t>
        </r>
      </text>
    </comment>
    <comment ref="E29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estimated</t>
        </r>
      </text>
    </comment>
    <comment ref="C31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Interpolated based on 4 fold increase over summer</t>
        </r>
      </text>
    </comment>
    <comment ref="D35" authorId="1" shapeId="0" xr:uid="{00000000-0006-0000-0B00-000005000000}">
      <text>
        <r>
          <rPr>
            <b/>
            <sz val="8"/>
            <color indexed="81"/>
            <rFont val="Tahoma"/>
            <family val="2"/>
          </rPr>
          <t>Efford's ML</t>
        </r>
      </text>
    </comment>
    <comment ref="B57" authorId="2" shapeId="0" xr:uid="{00000000-0006-0000-0B00-000006000000}">
      <text>
        <r>
          <rPr>
            <b/>
            <sz val="8"/>
            <color indexed="81"/>
            <rFont val="Tahoma"/>
            <family val="2"/>
          </rPr>
          <t>12 hares caught</t>
        </r>
      </text>
    </comment>
    <comment ref="C57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Interpolated</t>
        </r>
      </text>
    </comment>
    <comment ref="B59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MNA = 10</t>
        </r>
      </text>
    </comment>
    <comment ref="B6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MNA = 18</t>
        </r>
      </text>
    </comment>
    <comment ref="B61" authorId="2" shapeId="0" xr:uid="{00000000-0006-0000-0B00-00000A000000}">
      <text>
        <r>
          <rPr>
            <b/>
            <sz val="8"/>
            <color indexed="81"/>
            <rFont val="Tahoma"/>
            <family val="2"/>
          </rPr>
          <t>MNA = 31</t>
        </r>
      </text>
    </comment>
    <comment ref="B62" authorId="2" shapeId="0" xr:uid="{00000000-0006-0000-0B00-00000B000000}">
      <text>
        <r>
          <rPr>
            <b/>
            <sz val="8"/>
            <color indexed="81"/>
            <rFont val="Tahoma"/>
            <family val="2"/>
          </rPr>
          <t>MNA = 23</t>
        </r>
      </text>
    </comment>
    <comment ref="B63" authorId="3" shapeId="0" xr:uid="{00000000-0006-0000-0B00-00000C000000}">
      <text>
        <r>
          <rPr>
            <b/>
            <sz val="8"/>
            <color indexed="81"/>
            <rFont val="Tahoma"/>
            <family val="2"/>
          </rPr>
          <t>MNA = 56</t>
        </r>
      </text>
    </comment>
    <comment ref="B64" authorId="3" shapeId="0" xr:uid="{00000000-0006-0000-0B00-00000D000000}">
      <text>
        <r>
          <rPr>
            <b/>
            <sz val="8"/>
            <color indexed="81"/>
            <rFont val="Tahoma"/>
            <family val="2"/>
          </rPr>
          <t>MNA = 39</t>
        </r>
      </text>
    </comment>
    <comment ref="B65" authorId="2" shapeId="0" xr:uid="{00000000-0006-0000-0B00-00000E000000}">
      <text>
        <r>
          <rPr>
            <b/>
            <sz val="8"/>
            <color indexed="81"/>
            <rFont val="Tahoma"/>
            <family val="2"/>
          </rPr>
          <t>MNA = 46</t>
        </r>
      </text>
    </comment>
    <comment ref="B66" authorId="3" shapeId="0" xr:uid="{00000000-0006-0000-0B00-00000F000000}">
      <text>
        <r>
          <rPr>
            <b/>
            <sz val="8"/>
            <color indexed="81"/>
            <rFont val="Tahoma"/>
            <family val="2"/>
          </rPr>
          <t>MNA = 39</t>
        </r>
      </text>
    </comment>
    <comment ref="B67" authorId="2" shapeId="0" xr:uid="{00000000-0006-0000-0B00-000010000000}">
      <text>
        <r>
          <rPr>
            <b/>
            <sz val="8"/>
            <color indexed="81"/>
            <rFont val="Tahoma"/>
            <family val="2"/>
          </rPr>
          <t>MNA = 31</t>
        </r>
      </text>
    </comment>
    <comment ref="B68" authorId="2" shapeId="0" xr:uid="{00000000-0006-0000-0B00-000011000000}">
      <text>
        <r>
          <rPr>
            <b/>
            <sz val="8"/>
            <color indexed="81"/>
            <rFont val="Tahoma"/>
            <family val="2"/>
          </rPr>
          <t>MNA = 23</t>
        </r>
      </text>
    </comment>
    <comment ref="B69" authorId="4" shapeId="0" xr:uid="{00000000-0006-0000-0B00-000012000000}">
      <text>
        <r>
          <rPr>
            <b/>
            <sz val="8"/>
            <color indexed="81"/>
            <rFont val="Tahoma"/>
            <family val="2"/>
          </rPr>
          <t>MNA = 25</t>
        </r>
      </text>
    </comment>
    <comment ref="B70" authorId="3" shapeId="0" xr:uid="{00000000-0006-0000-0B00-000013000000}">
      <text>
        <r>
          <rPr>
            <b/>
            <sz val="8"/>
            <color indexed="81"/>
            <rFont val="Tahoma"/>
            <family val="2"/>
          </rPr>
          <t>MNA = 15</t>
        </r>
      </text>
    </comment>
    <comment ref="B71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MNA = 12</t>
        </r>
      </text>
    </comment>
    <comment ref="B72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MNA = 7, 95% .04 to .21</t>
        </r>
      </text>
    </comment>
    <comment ref="C72" authorId="3" shapeId="0" xr:uid="{00000000-0006-0000-0B00-000016000000}">
      <text>
        <r>
          <rPr>
            <b/>
            <sz val="8"/>
            <color indexed="81"/>
            <rFont val="Tahoma"/>
            <family val="2"/>
          </rPr>
          <t>MNA = 2, guess = 3</t>
        </r>
      </text>
    </comment>
    <comment ref="B73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MNA =27, ML 95% .28 to .61</t>
        </r>
      </text>
    </comment>
    <comment ref="C73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MNA = 19, ML 95% .13 to .38</t>
        </r>
      </text>
    </comment>
    <comment ref="B74" authorId="5" shapeId="0" xr:uid="{00000000-0006-0000-0B00-000019000000}">
      <text>
        <r>
          <rPr>
            <b/>
            <sz val="8"/>
            <color indexed="81"/>
            <rFont val="Tahoma"/>
            <family val="2"/>
          </rPr>
          <t>MNA = 6</t>
        </r>
      </text>
    </comment>
    <comment ref="C74" authorId="3" shapeId="0" xr:uid="{00000000-0006-0000-0B00-00001A000000}">
      <text>
        <r>
          <rPr>
            <b/>
            <sz val="9"/>
            <color indexed="81"/>
            <rFont val="Tahoma"/>
            <family val="2"/>
          </rPr>
          <t>MNA = 2</t>
        </r>
      </text>
    </comment>
    <comment ref="B75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MNA = 7</t>
        </r>
      </text>
    </comment>
    <comment ref="C75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MNA = 1</t>
        </r>
      </text>
    </comment>
    <comment ref="B76" authorId="3" shapeId="0" xr:uid="{00000000-0006-0000-0B00-00001D000000}">
      <text>
        <r>
          <rPr>
            <b/>
            <sz val="9"/>
            <color indexed="81"/>
            <rFont val="Tahoma"/>
            <family val="2"/>
          </rPr>
          <t>MNA = 3 in April</t>
        </r>
      </text>
    </comment>
    <comment ref="C76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MNA = 1</t>
        </r>
      </text>
    </comment>
    <comment ref="B77" authorId="3" shapeId="0" xr:uid="{00000000-0006-0000-0B00-00001F000000}">
      <text>
        <r>
          <rPr>
            <sz val="9"/>
            <color indexed="81"/>
            <rFont val="Tahoma"/>
            <family val="2"/>
          </rPr>
          <t>MNA = 4
including radio hare</t>
        </r>
      </text>
    </comment>
    <comment ref="C77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Three caught, none more seen, possible 4 maximum on grid, September 15, 2012</t>
        </r>
      </text>
    </comment>
    <comment ref="B78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MNA=6, estimated about 9 hares there</t>
        </r>
      </text>
    </comment>
    <comment ref="C78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MNA 6 at the end of May trapping</t>
        </r>
      </text>
    </comment>
    <comment ref="B79" authorId="5" shapeId="0" xr:uid="{00000000-0006-0000-0B00-000023000000}">
      <text>
        <r>
          <rPr>
            <b/>
            <sz val="8"/>
            <color indexed="81"/>
            <rFont val="Tahoma"/>
            <family val="2"/>
          </rPr>
          <t>MNA = 31</t>
        </r>
      </text>
    </comment>
    <comment ref="C79" authorId="5" shapeId="0" xr:uid="{00000000-0006-0000-0B00-000024000000}">
      <text>
        <r>
          <rPr>
            <b/>
            <sz val="8"/>
            <color indexed="81"/>
            <rFont val="Tahoma"/>
            <family val="2"/>
          </rPr>
          <t>MNA = 17</t>
        </r>
      </text>
    </comment>
    <comment ref="B80" authorId="5" shapeId="0" xr:uid="{00000000-0006-0000-0B00-000025000000}">
      <text>
        <r>
          <rPr>
            <b/>
            <sz val="8"/>
            <color indexed="81"/>
            <rFont val="Tahoma"/>
            <family val="2"/>
          </rPr>
          <t>MNA = 17</t>
        </r>
      </text>
    </comment>
    <comment ref="C80" authorId="3" shapeId="0" xr:uid="{00000000-0006-0000-0B00-000026000000}">
      <text>
        <r>
          <rPr>
            <b/>
            <sz val="9"/>
            <color indexed="81"/>
            <rFont val="Tahoma"/>
            <family val="2"/>
          </rPr>
          <t>MNA = 4 at end of trapping in May</t>
        </r>
      </text>
    </comment>
    <comment ref="B81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MNA = 62</t>
        </r>
      </text>
    </comment>
    <comment ref="C81" authorId="3" shapeId="0" xr:uid="{00000000-0006-0000-0B00-000028000000}">
      <text>
        <r>
          <rPr>
            <b/>
            <sz val="9"/>
            <color indexed="81"/>
            <rFont val="Tahoma"/>
            <family val="2"/>
          </rPr>
          <t>MNA = 44, 0.515 to 0.975 CL</t>
        </r>
      </text>
    </comment>
    <comment ref="B82" authorId="3" shapeId="0" xr:uid="{00000000-0006-0000-0B00-000029000000}">
      <text>
        <r>
          <rPr>
            <b/>
            <sz val="9"/>
            <color indexed="81"/>
            <rFont val="Tahoma"/>
            <family val="2"/>
          </rPr>
          <t>MNA = 49</t>
        </r>
      </text>
    </comment>
    <comment ref="C82" authorId="3" shapeId="0" xr:uid="{00000000-0006-0000-0B00-00002A000000}">
      <text>
        <r>
          <rPr>
            <b/>
            <sz val="9"/>
            <color indexed="81"/>
            <rFont val="Tahoma"/>
            <family val="2"/>
          </rPr>
          <t>MNA=15, 2 nights trapping May 19</t>
        </r>
      </text>
    </comment>
    <comment ref="B83" authorId="3" shapeId="0" xr:uid="{00000000-0006-0000-0B00-00002B000000}">
      <text>
        <r>
          <rPr>
            <b/>
            <sz val="9"/>
            <color indexed="81"/>
            <rFont val="Tahoma"/>
            <family val="2"/>
          </rPr>
          <t>N = 69</t>
        </r>
      </text>
    </comment>
    <comment ref="B84" authorId="3" shapeId="0" xr:uid="{00000000-0006-0000-0B00-00002C000000}">
      <text>
        <r>
          <rPr>
            <b/>
            <sz val="9"/>
            <color indexed="81"/>
            <rFont val="Tahoma"/>
            <family val="2"/>
          </rPr>
          <t>N = 47, Capture 48 and 47 to 52.5</t>
        </r>
      </text>
    </comment>
    <comment ref="C84" authorId="3" shapeId="0" xr:uid="{00000000-0006-0000-0B00-00002D000000}">
      <text>
        <r>
          <rPr>
            <b/>
            <sz val="9"/>
            <color indexed="81"/>
            <rFont val="Tahoma"/>
            <family val="2"/>
          </rPr>
          <t>Capture 58, 52 to 69 CL</t>
        </r>
      </text>
    </comment>
    <comment ref="B85" authorId="3" shapeId="0" xr:uid="{00000000-0006-0000-0B00-00002E000000}">
      <text>
        <r>
          <rPr>
            <b/>
            <sz val="9"/>
            <color indexed="81"/>
            <rFont val="Tahoma"/>
            <family val="2"/>
          </rPr>
          <t>N = 84, 112.1 Capture and 100 to 133.6</t>
        </r>
      </text>
    </comment>
    <comment ref="C85" authorId="3" shapeId="0" xr:uid="{00000000-0006-0000-0B00-00002F000000}">
      <text>
        <r>
          <rPr>
            <b/>
            <sz val="9"/>
            <color indexed="81"/>
            <rFont val="Tahoma"/>
            <family val="2"/>
          </rPr>
          <t>CL 1.64 to 2.48, Capture 132.8, CL 120.1 to 154.9 MNA 103</t>
        </r>
      </text>
    </comment>
    <comment ref="B86" authorId="3" shapeId="0" xr:uid="{00000000-0006-0000-0B00-000030000000}">
      <text>
        <r>
          <rPr>
            <b/>
            <sz val="9"/>
            <color indexed="81"/>
            <rFont val="Tahoma"/>
            <family val="2"/>
          </rPr>
          <t>Capture 75 (72 to 80.5), CL .92 to 1.53, MNA 72</t>
        </r>
      </text>
    </comment>
    <comment ref="C86" authorId="3" shapeId="0" xr:uid="{00000000-0006-0000-0B00-000031000000}">
      <text>
        <r>
          <rPr>
            <b/>
            <sz val="9"/>
            <color indexed="81"/>
            <rFont val="Tahoma"/>
            <family val="2"/>
          </rPr>
          <t xml:space="preserve">Capture = 65 (60.4 to 74.4), CL 0.94 to 1.67, MNA 60, </t>
        </r>
      </text>
    </comment>
    <comment ref="B87" authorId="3" shapeId="0" xr:uid="{00000000-0006-0000-0B00-000032000000}">
      <text>
        <r>
          <rPr>
            <b/>
            <sz val="9"/>
            <color indexed="81"/>
            <rFont val="Tahoma"/>
            <family val="2"/>
          </rPr>
          <t>Capture 62 (55.6 to 75.4), ML 95% .744 to 1.418, 54 indiv. caught</t>
        </r>
      </text>
    </comment>
    <comment ref="C87" authorId="3" shapeId="0" xr:uid="{00000000-0006-0000-0B00-000033000000}">
      <text>
        <r>
          <rPr>
            <b/>
            <sz val="9"/>
            <color indexed="81"/>
            <rFont val="Tahoma"/>
            <family val="2"/>
          </rPr>
          <t>Capture 81 ( 75.7 to 89.6) MNA=74, CL 1.12 to 1.85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Charles J. Krebs</author>
    <author>Charles Krebs</author>
    <author>Any User</author>
    <author>krebs@zoology.ubc.ca</author>
    <author>CJK</author>
  </authors>
  <commentList>
    <comment ref="B2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0.69 to 1.04</t>
        </r>
      </text>
    </comment>
    <comment ref="C25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0.69 to 1.47</t>
        </r>
      </text>
    </comment>
    <comment ref="D25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1.04-1.56</t>
        </r>
      </text>
    </comment>
    <comment ref="E25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0.43 to 0.71</t>
        </r>
      </text>
    </comment>
    <comment ref="G25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95% CL: 0.95 to 1.41
n = 172</t>
        </r>
      </text>
    </comment>
    <comment ref="B26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2.03 to 2.94, this seems impossibly large</t>
        </r>
      </text>
    </comment>
    <comment ref="C26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.30 to .57</t>
        </r>
      </text>
    </comment>
    <comment ref="D26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0.56 to 1.07</t>
        </r>
      </text>
    </comment>
    <comment ref="G26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95% CL 0.48 to 0.77 n = 172</t>
        </r>
      </text>
    </comment>
    <comment ref="B27" authorId="1" shapeId="0" xr:uid="{00000000-0006-0000-0C00-00000A000000}">
      <text>
        <r>
          <rPr>
            <b/>
            <sz val="9"/>
            <color indexed="81"/>
            <rFont val="Tahoma"/>
            <family val="2"/>
          </rPr>
          <t>2.37 to 3.36
again this seems far too large</t>
        </r>
      </text>
    </comment>
    <comment ref="C27" authorId="1" shapeId="0" xr:uid="{00000000-0006-0000-0C00-00000B000000}">
      <text>
        <r>
          <rPr>
            <b/>
            <sz val="9"/>
            <color indexed="81"/>
            <rFont val="Tahoma"/>
            <family val="2"/>
          </rPr>
          <t>0.07 to 0.21</t>
        </r>
      </text>
    </comment>
    <comment ref="D27" authorId="1" shapeId="0" xr:uid="{00000000-0006-0000-0C00-00000C000000}">
      <text>
        <r>
          <rPr>
            <b/>
            <sz val="9"/>
            <color indexed="81"/>
            <rFont val="Tahoma"/>
            <family val="2"/>
          </rPr>
          <t>1.04 to1.93</t>
        </r>
      </text>
    </comment>
    <comment ref="G27" authorId="1" shapeId="0" xr:uid="{00000000-0006-0000-0C00-00000D000000}">
      <text>
        <r>
          <rPr>
            <b/>
            <sz val="9"/>
            <color indexed="81"/>
            <rFont val="Tahoma"/>
            <family val="2"/>
          </rPr>
          <t>95% CL: 0.59 to 1.11, n = 172</t>
        </r>
      </text>
    </comment>
    <comment ref="B28" authorId="2" shapeId="0" xr:uid="{00000000-0006-0000-0C00-00000E000000}">
      <text>
        <r>
          <rPr>
            <b/>
            <sz val="8"/>
            <color indexed="81"/>
            <rFont val="Tahoma"/>
            <family val="2"/>
          </rPr>
          <t>2.01 to 2.79</t>
        </r>
      </text>
    </comment>
    <comment ref="C28" authorId="2" shapeId="0" xr:uid="{00000000-0006-0000-0C00-00000F000000}">
      <text>
        <r>
          <rPr>
            <b/>
            <sz val="8"/>
            <color indexed="81"/>
            <rFont val="Tahoma"/>
            <family val="2"/>
          </rPr>
          <t>0.05 to 0.48</t>
        </r>
      </text>
    </comment>
    <comment ref="D28" authorId="2" shapeId="0" xr:uid="{00000000-0006-0000-0C00-000010000000}">
      <text>
        <r>
          <rPr>
            <b/>
            <sz val="8"/>
            <color indexed="81"/>
            <rFont val="Tahoma"/>
            <family val="2"/>
          </rPr>
          <t>0.45 to 0.93</t>
        </r>
      </text>
    </comment>
    <comment ref="G28" authorId="2" shapeId="0" xr:uid="{00000000-0006-0000-0C00-000011000000}">
      <text>
        <r>
          <rPr>
            <b/>
            <sz val="8"/>
            <color indexed="81"/>
            <rFont val="Tahoma"/>
            <family val="2"/>
          </rPr>
          <t>95% CL 0.30 to 0.62
n=171</t>
        </r>
      </text>
    </comment>
    <comment ref="B29" authorId="3" shapeId="0" xr:uid="{00000000-0006-0000-0C00-000012000000}">
      <text>
        <r>
          <rPr>
            <b/>
            <sz val="9"/>
            <color indexed="81"/>
            <rFont val="Tahoma"/>
            <family val="2"/>
          </rPr>
          <t>1.67 to 2.47 95% CL</t>
        </r>
      </text>
    </comment>
    <comment ref="C29" authorId="3" shapeId="0" xr:uid="{00000000-0006-0000-0C00-000013000000}">
      <text>
        <r>
          <rPr>
            <b/>
            <sz val="9"/>
            <color indexed="81"/>
            <rFont val="Tahoma"/>
            <family val="2"/>
          </rPr>
          <t>0.16 to 0.48 95% CL</t>
        </r>
      </text>
    </comment>
    <comment ref="D29" authorId="3" shapeId="0" xr:uid="{00000000-0006-0000-0C00-000014000000}">
      <text>
        <r>
          <rPr>
            <b/>
            <sz val="9"/>
            <color indexed="81"/>
            <rFont val="Tahoma"/>
            <family val="2"/>
          </rPr>
          <t>1.15 to 1.87 95% CL</t>
        </r>
      </text>
    </comment>
    <comment ref="G29" authorId="3" shapeId="0" xr:uid="{00000000-0006-0000-0C00-000015000000}">
      <text>
        <r>
          <rPr>
            <b/>
            <sz val="9"/>
            <color indexed="81"/>
            <rFont val="Tahoma"/>
            <family val="2"/>
          </rPr>
          <t>n = 168,  0.72 to 1.14 95% CL</t>
        </r>
      </text>
    </comment>
    <comment ref="B30" authorId="4" shapeId="0" xr:uid="{00000000-0006-0000-0C00-000016000000}">
      <text>
        <r>
          <rPr>
            <b/>
            <sz val="9"/>
            <color indexed="81"/>
            <rFont val="Tahoma"/>
            <family val="2"/>
          </rPr>
          <t>2.4 to 3.42, 95%CL</t>
        </r>
      </text>
    </comment>
    <comment ref="C30" authorId="4" shapeId="0" xr:uid="{00000000-0006-0000-0C00-000017000000}">
      <text>
        <r>
          <rPr>
            <b/>
            <sz val="9"/>
            <color indexed="81"/>
            <rFont val="Tahoma"/>
            <family val="2"/>
          </rPr>
          <t>0.35 to 0.88 95% CL</t>
        </r>
      </text>
    </comment>
    <comment ref="D30" authorId="4" shapeId="0" xr:uid="{00000000-0006-0000-0C00-000018000000}">
      <text>
        <r>
          <rPr>
            <b/>
            <sz val="9"/>
            <color indexed="81"/>
            <rFont val="Tahoma"/>
            <family val="2"/>
          </rPr>
          <t>1.57 to 2.95 95% CL</t>
        </r>
      </text>
    </comment>
    <comment ref="F30" authorId="4" shapeId="0" xr:uid="{00000000-0006-0000-0C00-000019000000}">
      <text>
        <r>
          <rPr>
            <b/>
            <sz val="9"/>
            <color indexed="81"/>
            <rFont val="Tahoma"/>
            <family val="2"/>
          </rPr>
          <t>1.61 to 2.25 95% CL</t>
        </r>
      </text>
    </comment>
    <comment ref="G30" authorId="4" shapeId="0" xr:uid="{00000000-0006-0000-0C00-00001A000000}">
      <text>
        <r>
          <rPr>
            <b/>
            <sz val="9"/>
            <color indexed="81"/>
            <rFont val="Tahoma"/>
            <family val="2"/>
          </rPr>
          <t>1.05 to 1.81 95% CL</t>
        </r>
      </text>
    </comment>
    <comment ref="B31" authorId="1" shapeId="0" xr:uid="{00000000-0006-0000-0C00-00001B000000}">
      <text>
        <r>
          <rPr>
            <b/>
            <sz val="9"/>
            <color indexed="81"/>
            <rFont val="Tahoma"/>
            <family val="2"/>
          </rPr>
          <t>95% 3.06 to 4.11</t>
        </r>
      </text>
    </comment>
    <comment ref="C31" authorId="1" shapeId="0" xr:uid="{00000000-0006-0000-0C00-00001C000000}">
      <text>
        <r>
          <rPr>
            <b/>
            <sz val="9"/>
            <color indexed="81"/>
            <rFont val="Tahoma"/>
            <family val="2"/>
          </rPr>
          <t>95%: 1.07 to 1.71</t>
        </r>
      </text>
    </comment>
    <comment ref="D31" authorId="1" shapeId="0" xr:uid="{00000000-0006-0000-0C00-00001D000000}">
      <text>
        <r>
          <rPr>
            <b/>
            <sz val="9"/>
            <color indexed="81"/>
            <rFont val="Tahoma"/>
            <family val="2"/>
          </rPr>
          <t>95% 1.89 to 2.75</t>
        </r>
      </text>
    </comment>
    <comment ref="F31" authorId="1" shapeId="0" xr:uid="{00000000-0006-0000-0C00-00001E000000}">
      <text>
        <r>
          <rPr>
            <b/>
            <sz val="9"/>
            <color indexed="81"/>
            <rFont val="Tahoma"/>
            <family val="2"/>
          </rPr>
          <t>95%: 2.16 to 2.71, n = 253</t>
        </r>
      </text>
    </comment>
    <comment ref="G31" authorId="1" shapeId="0" xr:uid="{00000000-0006-0000-0C00-00001F000000}">
      <text>
        <r>
          <rPr>
            <b/>
            <sz val="9"/>
            <color indexed="81"/>
            <rFont val="Tahoma"/>
            <family val="2"/>
          </rPr>
          <t>95%: 1.57 to 2.14, and n = 167</t>
        </r>
      </text>
    </comment>
    <comment ref="B32" authorId="1" shapeId="0" xr:uid="{6011C9B4-A367-471D-8F35-C92B21ABE4D1}">
      <text>
        <r>
          <rPr>
            <b/>
            <sz val="9"/>
            <color indexed="81"/>
            <rFont val="Tahoma"/>
            <family val="2"/>
          </rPr>
          <t>n = 86, 95% CL = 1.72 to 2.56 hares per ha</t>
        </r>
      </text>
    </comment>
    <comment ref="C32" authorId="1" shapeId="0" xr:uid="{5664C130-A503-4ADE-A306-08829D1BF761}">
      <text>
        <r>
          <rPr>
            <b/>
            <sz val="9"/>
            <color indexed="81"/>
            <rFont val="Tahoma"/>
            <family val="2"/>
          </rPr>
          <t>n= 86, 95% CL 1.33 to 2.82</t>
        </r>
      </text>
    </comment>
    <comment ref="D32" authorId="1" shapeId="0" xr:uid="{BAC6FD74-5F62-4846-8DEF-520E1EE8D1D1}">
      <text>
        <r>
          <rPr>
            <b/>
            <sz val="9"/>
            <color indexed="81"/>
            <rFont val="Tahoma"/>
            <family val="2"/>
          </rPr>
          <t>n = 86, 95% CL 1.81 to 2.63</t>
        </r>
      </text>
    </comment>
    <comment ref="F32" authorId="1" shapeId="0" xr:uid="{FE15165F-270F-401B-8A06-FC349CAA0269}">
      <text>
        <r>
          <rPr>
            <b/>
            <sz val="9"/>
            <color indexed="81"/>
            <rFont val="Tahoma"/>
            <family val="2"/>
          </rPr>
          <t>n = 258, 95% CL 1.80 to 2.46</t>
        </r>
      </text>
    </comment>
    <comment ref="G32" authorId="1" shapeId="0" xr:uid="{76E03DCC-9A49-46DE-B85F-55578764A866}">
      <text>
        <r>
          <rPr>
            <b/>
            <sz val="9"/>
            <color indexed="81"/>
            <rFont val="Tahoma"/>
            <family val="2"/>
          </rPr>
          <t>n = 172, 95% CL 1.70 to 2.56</t>
        </r>
      </text>
    </comment>
    <comment ref="B33" authorId="1" shapeId="0" xr:uid="{CB4E595A-8778-4014-97DE-393F3EE0946B}">
      <text>
        <r>
          <rPr>
            <b/>
            <sz val="9"/>
            <color indexed="81"/>
            <rFont val="Tahoma"/>
            <family val="2"/>
          </rPr>
          <t>n=86, 95% 1.55 to 2.46</t>
        </r>
      </text>
    </comment>
    <comment ref="C33" authorId="1" shapeId="0" xr:uid="{CFE47921-D307-49D6-A52D-485C20C22B88}">
      <text>
        <r>
          <rPr>
            <b/>
            <sz val="9"/>
            <color indexed="81"/>
            <rFont val="Tahoma"/>
            <family val="2"/>
          </rPr>
          <t>n = 86, 95% density 1.42 to 2.37</t>
        </r>
      </text>
    </comment>
    <comment ref="D33" authorId="1" shapeId="0" xr:uid="{8AB89C8F-DF42-4CAA-99B4-7F0EEAE4DD78}">
      <text>
        <r>
          <rPr>
            <b/>
            <sz val="9"/>
            <color indexed="81"/>
            <rFont val="Tahoma"/>
            <family val="2"/>
          </rPr>
          <t>n = 86, 95% 1,13 to 1.60</t>
        </r>
      </text>
    </comment>
    <comment ref="F33" authorId="1" shapeId="0" xr:uid="{208D2BB0-2047-4ED5-8D26-FA05B0A850A3}">
      <text>
        <r>
          <rPr>
            <b/>
            <sz val="9"/>
            <color indexed="81"/>
            <rFont val="Tahoma"/>
            <family val="2"/>
          </rPr>
          <t>n=258, 95% 1.54 to 2.02</t>
        </r>
      </text>
    </comment>
    <comment ref="G33" authorId="1" shapeId="0" xr:uid="{4EE552DC-4AF0-4074-ADD6-66BCB9A08A94}">
      <text>
        <r>
          <rPr>
            <b/>
            <sz val="9"/>
            <color indexed="81"/>
            <rFont val="Tahoma"/>
            <family val="2"/>
          </rPr>
          <t>n = 172, 95% CL 1.38 to 1.95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Krebs</author>
    <author>Dr. Charles J. Krebs</author>
    <author>Charles J. Krebs</author>
    <author>Any User</author>
    <author>krebs@zoology.ubc.ca</author>
    <author>Ainsley Sykes</author>
  </authors>
  <commentList>
    <comment ref="E2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no data for this year ??</t>
        </r>
      </text>
    </comment>
    <comment ref="F2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No data for this year?</t>
        </r>
      </text>
    </comment>
    <comment ref="E33" authorId="1" shapeId="0" xr:uid="{00000000-0006-0000-0D00-000003000000}">
      <text>
        <r>
          <rPr>
            <b/>
            <sz val="8"/>
            <color indexed="81"/>
            <rFont val="Tahoma"/>
            <family val="2"/>
          </rPr>
          <t>67.57% adults, rest are juveniles, so estimate corrected for adults only</t>
        </r>
      </text>
    </comment>
    <comment ref="C35" authorId="2" shapeId="0" xr:uid="{00000000-0006-0000-0D00-000004000000}">
      <text>
        <r>
          <rPr>
            <b/>
            <sz val="8"/>
            <color indexed="81"/>
            <rFont val="Tahoma"/>
            <family val="2"/>
          </rPr>
          <t>No data for Lloyd in 2000</t>
        </r>
      </text>
    </comment>
    <comment ref="E35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>MNA 33, Capture 36 (33.5-52.3)</t>
        </r>
      </text>
    </comment>
    <comment ref="F35" authorId="0" shapeId="0" xr:uid="{00000000-0006-0000-0D00-000006000000}">
      <text>
        <r>
          <rPr>
            <b/>
            <sz val="8"/>
            <color indexed="81"/>
            <rFont val="Tahoma"/>
            <family val="2"/>
          </rPr>
          <t>MNA 37, Capture 44.2 (39.2-60)</t>
        </r>
      </text>
    </comment>
    <comment ref="E36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>MNA 21, Capture 39 (29.4 to 59.7)</t>
        </r>
      </text>
    </comment>
    <comment ref="F36" authorId="0" shapeId="0" xr:uid="{00000000-0006-0000-0D00-000008000000}">
      <text>
        <r>
          <rPr>
            <b/>
            <sz val="8"/>
            <color indexed="81"/>
            <rFont val="Tahoma"/>
            <family val="2"/>
          </rPr>
          <t>MNA 16 Capture 23.9 (18.5-40.9)</t>
        </r>
      </text>
    </comment>
    <comment ref="E37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MNA 23, Capture 49.1 (33.3-89.4)</t>
        </r>
      </text>
    </comment>
    <comment ref="F37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MNA 25 Capture 28.7 (25.7-43.8)</t>
        </r>
      </text>
    </comment>
    <comment ref="E38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MNA 33, Capture 36.6 (33.7-51.9)</t>
        </r>
      </text>
    </comment>
    <comment ref="F38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>MNA 32 Capture 43.7 (35.5-70.6)</t>
        </r>
      </text>
    </comment>
    <comment ref="E39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>MNA 27, Capture 34.4 (29.5-48.8)</t>
        </r>
      </text>
    </comment>
    <comment ref="F39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MNA 23, Capture 31.2 (26-45.7)</t>
        </r>
      </text>
    </comment>
    <comment ref="E40" authorId="0" shapeId="0" xr:uid="{00000000-0006-0000-0D00-00000F000000}">
      <text>
        <r>
          <rPr>
            <b/>
            <sz val="8"/>
            <color indexed="81"/>
            <rFont val="Tahoma"/>
            <family val="2"/>
          </rPr>
          <t>MNA 34, Capture 34.7 (34-55.7)</t>
        </r>
      </text>
    </comment>
    <comment ref="F40" authorId="0" shapeId="0" xr:uid="{00000000-0006-0000-0D00-000010000000}">
      <text>
        <r>
          <rPr>
            <b/>
            <sz val="8"/>
            <color indexed="81"/>
            <rFont val="Tahoma"/>
            <family val="2"/>
          </rPr>
          <t>Capture 32.6 MNA = 28  95% 29 to 49.2</t>
        </r>
      </text>
    </comment>
    <comment ref="E41" authorId="0" shapeId="0" xr:uid="{00000000-0006-0000-0D00-000011000000}">
      <text>
        <r>
          <rPr>
            <b/>
            <sz val="8"/>
            <color indexed="81"/>
            <rFont val="Tahoma"/>
            <family val="2"/>
          </rPr>
          <t>MNA 26, Capture 32.4 (27.4-54.9)</t>
        </r>
      </text>
    </comment>
    <comment ref="F41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MNA 22 Capture 38.7 (28.4-65.9)</t>
        </r>
      </text>
    </comment>
    <comment ref="E42" authorId="0" shapeId="0" xr:uid="{00000000-0006-0000-0D00-000013000000}">
      <text>
        <r>
          <rPr>
            <b/>
            <sz val="8"/>
            <color indexed="81"/>
            <rFont val="Tahoma"/>
            <family val="2"/>
          </rPr>
          <t>MNA = 31, Capture 37 (32.7-51.8)</t>
        </r>
      </text>
    </comment>
    <comment ref="F42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MNA 22 Capture 28.8 (24.1-43.3)</t>
        </r>
      </text>
    </comment>
    <comment ref="C43" authorId="2" shapeId="0" xr:uid="{00000000-0006-0000-0D00-000015000000}">
      <text>
        <r>
          <rPr>
            <b/>
            <sz val="8"/>
            <color indexed="81"/>
            <rFont val="Tahoma"/>
            <family val="2"/>
          </rPr>
          <t>No spring census</t>
        </r>
      </text>
    </comment>
    <comment ref="E43" authorId="0" shapeId="0" xr:uid="{00000000-0006-0000-0D00-000016000000}">
      <text>
        <r>
          <rPr>
            <b/>
            <sz val="8"/>
            <color indexed="81"/>
            <rFont val="Tahoma"/>
            <family val="2"/>
          </rPr>
          <t>MNA 28, Capture 32.7 (29.2-46.9)</t>
        </r>
      </text>
    </comment>
    <comment ref="F43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MNA 13, Capture 14.0 (13.1-30.4)</t>
        </r>
      </text>
    </comment>
    <comment ref="E44" authorId="0" shapeId="0" xr:uid="{00000000-0006-0000-0D00-000018000000}">
      <text>
        <r>
          <rPr>
            <b/>
            <sz val="8"/>
            <color indexed="81"/>
            <rFont val="Tahoma"/>
            <family val="2"/>
          </rPr>
          <t>MNA = 25, Capture 27.8 (25.4-42.7)</t>
        </r>
      </text>
    </comment>
    <comment ref="F44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MNA =24 Capture 45.3 (32.6-76.6)</t>
        </r>
      </text>
    </comment>
    <comment ref="E45" authorId="0" shapeId="0" xr:uid="{00000000-0006-0000-0D00-00001A000000}">
      <text>
        <r>
          <rPr>
            <b/>
            <sz val="8"/>
            <color indexed="81"/>
            <rFont val="Tahoma"/>
            <family val="2"/>
          </rPr>
          <t>MNA = 28, Capture 50.3 (37.2, 81.7)</t>
        </r>
      </text>
    </comment>
    <comment ref="F45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MNA = 27 Capture 46.3 (34.2-78.9)</t>
        </r>
      </text>
    </comment>
    <comment ref="E46" authorId="0" shapeId="0" xr:uid="{00000000-0006-0000-0D00-00001C000000}">
      <text>
        <r>
          <rPr>
            <b/>
            <sz val="8"/>
            <color indexed="81"/>
            <rFont val="Tahoma"/>
            <family val="2"/>
          </rPr>
          <t>Capture 33.3, MNA 22, 95% 25.6-57.1</t>
        </r>
      </text>
    </comment>
    <comment ref="F46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MNA = 39 Capture 69.4 (52.8-106.1)</t>
        </r>
      </text>
    </comment>
    <comment ref="E47" authorId="2" shapeId="0" xr:uid="{00000000-0006-0000-0D00-00001E000000}">
      <text>
        <r>
          <rPr>
            <b/>
            <sz val="8"/>
            <color indexed="81"/>
            <rFont val="Tahoma"/>
            <family val="2"/>
          </rPr>
          <t>Capture 23, 95%: 20-37 MNA = 19</t>
        </r>
      </text>
    </comment>
    <comment ref="F47" authorId="2" shapeId="0" xr:uid="{00000000-0006-0000-0D00-00001F000000}">
      <text>
        <r>
          <rPr>
            <b/>
            <sz val="8"/>
            <color indexed="81"/>
            <rFont val="Tahoma"/>
            <family val="2"/>
          </rPr>
          <t>Capture 62.2 95%: 55.2-78.9 MNA=50 60% adults so corrected density to adults only</t>
        </r>
      </text>
    </comment>
    <comment ref="E48" authorId="2" shapeId="0" xr:uid="{00000000-0006-0000-0D00-000020000000}">
      <text>
        <r>
          <rPr>
            <b/>
            <sz val="8"/>
            <color indexed="81"/>
            <rFont val="Tahoma"/>
            <family val="2"/>
          </rPr>
          <t>Capture 40.5, 95%: 33-62.3, MNA=29</t>
        </r>
      </text>
    </comment>
    <comment ref="F48" authorId="2" shapeId="0" xr:uid="{00000000-0006-0000-0D00-000021000000}">
      <text>
        <r>
          <rPr>
            <b/>
            <sz val="8"/>
            <color indexed="81"/>
            <rFont val="Tahoma"/>
            <family val="2"/>
          </rPr>
          <t>Capture 41.0 95%: 38.4-58.4 MNA=38</t>
        </r>
      </text>
    </comment>
    <comment ref="E49" authorId="0" shapeId="0" xr:uid="{00000000-0006-0000-0D00-000022000000}">
      <text>
        <r>
          <rPr>
            <b/>
            <sz val="8"/>
            <color indexed="81"/>
            <rFont val="Tahoma"/>
            <family val="2"/>
          </rPr>
          <t xml:space="preserve"> Capture 23.5, 95% 19-41 MNA=17, all seem to be adults by weight</t>
        </r>
      </text>
    </comment>
    <comment ref="F49" authorId="0" shapeId="0" xr:uid="{00000000-0006-0000-0D00-000023000000}">
      <text>
        <r>
          <rPr>
            <b/>
            <sz val="8"/>
            <color indexed="81"/>
            <rFont val="Tahoma"/>
            <family val="2"/>
          </rPr>
          <t>Capture 30.8 95% 29.2-47 MNA=29</t>
        </r>
      </text>
    </comment>
    <comment ref="E50" authorId="0" shapeId="0" xr:uid="{00000000-0006-0000-0D00-000024000000}">
      <text>
        <r>
          <rPr>
            <b/>
            <sz val="8"/>
            <color indexed="81"/>
            <rFont val="Tahoma"/>
            <family val="2"/>
          </rPr>
          <t>Capture 23 95% 17-43 MNA=14</t>
        </r>
      </text>
    </comment>
    <comment ref="F50" authorId="0" shapeId="0" xr:uid="{00000000-0006-0000-0D00-000025000000}">
      <text>
        <r>
          <rPr>
            <b/>
            <sz val="8"/>
            <color indexed="81"/>
            <rFont val="Tahoma"/>
            <family val="2"/>
          </rPr>
          <t>Capture 39.3 95% 35.4-53.8 MNA=34</t>
        </r>
      </text>
    </comment>
    <comment ref="E51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Capture 70.9  95% CL 65-88 MNA=57  54.39% of these are adults so corrected value, for all data density is 4.61 / ha</t>
        </r>
      </text>
    </comment>
    <comment ref="F51" authorId="0" shapeId="0" xr:uid="{00000000-0006-0000-0D00-000027000000}">
      <text>
        <r>
          <rPr>
            <b/>
            <sz val="8"/>
            <color indexed="81"/>
            <rFont val="Tahoma"/>
            <family val="2"/>
          </rPr>
          <t xml:space="preserve">MNA 34 36.5 95% CL 34.4- 51.8 </t>
        </r>
      </text>
    </comment>
    <comment ref="E52" authorId="1" shapeId="0" xr:uid="{00000000-0006-0000-0D00-000028000000}">
      <text>
        <r>
          <rPr>
            <b/>
            <sz val="8"/>
            <color indexed="81"/>
            <rFont val="Tahoma"/>
            <family val="2"/>
          </rPr>
          <t xml:space="preserve"> Capture 71.2 95% CL 62-97.2  MNA= 57</t>
        </r>
      </text>
    </comment>
    <comment ref="F52" authorId="1" shapeId="0" xr:uid="{00000000-0006-0000-0D00-000029000000}">
      <text>
        <r>
          <rPr>
            <b/>
            <sz val="8"/>
            <color indexed="81"/>
            <rFont val="Tahoma"/>
            <family val="2"/>
          </rPr>
          <t>Capture 33.7 95% CL 32.3-42.1 MNA=32</t>
        </r>
      </text>
    </comment>
    <comment ref="F53" authorId="1" shapeId="0" xr:uid="{00000000-0006-0000-0D00-00002A000000}">
      <text>
        <r>
          <rPr>
            <b/>
            <sz val="8"/>
            <color indexed="81"/>
            <rFont val="Tahoma"/>
            <family val="2"/>
          </rPr>
          <t>Capture 21.7 (21 to 36.7) MNA = 21</t>
        </r>
      </text>
    </comment>
    <comment ref="F54" authorId="3" shapeId="0" xr:uid="{00000000-0006-0000-0D00-00002B000000}">
      <text>
        <r>
          <rPr>
            <b/>
            <sz val="8"/>
            <color indexed="81"/>
            <rFont val="Tahoma"/>
            <family val="2"/>
          </rPr>
          <t>0.39 to 1.45 CL</t>
        </r>
      </text>
    </comment>
    <comment ref="E55" authorId="0" shapeId="0" xr:uid="{00000000-0006-0000-0D00-00002C000000}">
      <text>
        <r>
          <rPr>
            <b/>
            <sz val="9"/>
            <color indexed="81"/>
            <rFont val="Tahoma"/>
            <family val="2"/>
          </rPr>
          <t>Aborted trapping by Liz Hofer so need to check squirrel camp data</t>
        </r>
      </text>
    </comment>
    <comment ref="F55" authorId="1" shapeId="0" xr:uid="{00000000-0006-0000-0D00-00002D000000}">
      <text>
        <r>
          <rPr>
            <b/>
            <sz val="8"/>
            <color indexed="81"/>
            <rFont val="Tahoma"/>
            <family val="2"/>
          </rPr>
          <t>CAPTURE 16.7, 14.5 to 27.8, MNA 14</t>
        </r>
      </text>
    </comment>
    <comment ref="E57" authorId="3" shapeId="0" xr:uid="{00000000-0006-0000-0D00-00002E000000}">
      <text>
        <r>
          <rPr>
            <sz val="8"/>
            <color indexed="81"/>
            <rFont val="Tahoma"/>
            <family val="2"/>
          </rPr>
          <t xml:space="preserve">MNA 21 Capture estimate is 22.7 (21.2 to 37.6)
</t>
        </r>
      </text>
    </comment>
    <comment ref="F57" authorId="1" shapeId="0" xr:uid="{00000000-0006-0000-0D00-00002F000000}">
      <text>
        <r>
          <rPr>
            <b/>
            <sz val="9"/>
            <color indexed="81"/>
            <rFont val="Tahoma"/>
            <family val="2"/>
          </rPr>
          <t>MNA 16, Mh = 37.1, 25.9 to 61.4, 0.69 to 5.63 conf limits ML</t>
        </r>
      </text>
    </comment>
    <comment ref="E59" authorId="0" shapeId="0" xr:uid="{00000000-0006-0000-0D00-000030000000}">
      <text>
        <r>
          <rPr>
            <b/>
            <sz val="9"/>
            <color indexed="81"/>
            <rFont val="Tahoma"/>
            <family val="2"/>
          </rPr>
          <t>n = 23, 31.9 26.2 to 47.6, density 1.8366 to 4.7287</t>
        </r>
      </text>
    </comment>
    <comment ref="F59" authorId="0" shapeId="0" xr:uid="{00000000-0006-0000-0D00-000031000000}">
      <text>
        <r>
          <rPr>
            <b/>
            <sz val="9"/>
            <color indexed="81"/>
            <rFont val="Tahoma"/>
            <family val="2"/>
          </rPr>
          <t>n = 17, 26.3 20 to 45.3 density 1.1987 to 3.7246</t>
        </r>
      </text>
    </comment>
    <comment ref="E61" authorId="3" shapeId="0" xr:uid="{00000000-0006-0000-0D00-000032000000}">
      <text>
        <r>
          <rPr>
            <b/>
            <sz val="8"/>
            <color indexed="81"/>
            <rFont val="Tahoma"/>
            <family val="2"/>
          </rPr>
          <t>June 25 trapping, n = 40 but 1/3 prob/ juveniles, Capture total 96.6, 73-137 CL, actual estimate by ML is 5.46/ha</t>
        </r>
      </text>
    </comment>
    <comment ref="F61" authorId="3" shapeId="0" xr:uid="{00000000-0006-0000-0D00-000033000000}">
      <text>
        <r>
          <rPr>
            <b/>
            <sz val="8"/>
            <color indexed="81"/>
            <rFont val="Tahoma"/>
            <family val="2"/>
          </rPr>
          <t>n = 7 but no prebait and only 3 checks</t>
        </r>
      </text>
    </comment>
    <comment ref="E62" authorId="3" shapeId="0" xr:uid="{00000000-0006-0000-0D00-000034000000}">
      <text>
        <r>
          <rPr>
            <b/>
            <sz val="8"/>
            <color indexed="81"/>
            <rFont val="Tahoma"/>
            <family val="2"/>
          </rPr>
          <t>n = 38, capture 54.6 46 to 76 CL, end of July trapping</t>
        </r>
      </text>
    </comment>
    <comment ref="E63" authorId="4" shapeId="0" xr:uid="{00000000-0006-0000-0D00-000036000000}">
      <text>
        <r>
          <rPr>
            <b/>
            <sz val="9"/>
            <color indexed="81"/>
            <rFont val="Tahoma"/>
            <family val="2"/>
          </rPr>
          <t>June 4, n=30, 47.9, 95% 37.7 to 71.6,</t>
        </r>
      </text>
    </comment>
    <comment ref="F63" authorId="4" shapeId="0" xr:uid="{00000000-0006-0000-0D00-000037000000}">
      <text>
        <r>
          <rPr>
            <b/>
            <sz val="9"/>
            <color indexed="81"/>
            <rFont val="Tahoma"/>
            <family val="2"/>
          </rPr>
          <t>n = 22, Capture 30, (24.7 to 45.6) density 1.087 to 3.095</t>
        </r>
      </text>
    </comment>
    <comment ref="E64" authorId="4" shapeId="0" xr:uid="{00000000-0006-0000-0D00-000038000000}">
      <text>
        <r>
          <rPr>
            <b/>
            <sz val="9"/>
            <color indexed="81"/>
            <rFont val="Tahoma"/>
            <family val="2"/>
          </rPr>
          <t>13 Aug, n = 34, 97.4 95% 73.2 to 136.5, few recaps</t>
        </r>
      </text>
    </comment>
    <comment ref="E65" authorId="0" shapeId="0" xr:uid="{00000000-0006-0000-0D00-00003A000000}">
      <text>
        <r>
          <rPr>
            <b/>
            <sz val="9"/>
            <color indexed="81"/>
            <rFont val="Tahoma"/>
            <family val="2"/>
          </rPr>
          <t>n = 76, 95% CL 4.57 to 7.74</t>
        </r>
      </text>
    </comment>
    <comment ref="F65" authorId="0" shapeId="0" xr:uid="{00000000-0006-0000-0D00-00003B000000}">
      <text>
        <r>
          <rPr>
            <b/>
            <sz val="9"/>
            <color indexed="81"/>
            <rFont val="Tahoma"/>
            <family val="2"/>
          </rPr>
          <t>MNA = 37, Capture 60.3, 47.9 to 87</t>
        </r>
      </text>
    </comment>
    <comment ref="E66" authorId="0" shapeId="0" xr:uid="{00000000-0006-0000-0D00-00003C000000}">
      <text>
        <r>
          <rPr>
            <b/>
            <sz val="9"/>
            <color indexed="81"/>
            <rFont val="Tahoma"/>
            <family val="2"/>
          </rPr>
          <t>n = 56, 95% CL 3.44 to 6.48</t>
        </r>
      </text>
    </comment>
    <comment ref="E67" authorId="0" shapeId="0" xr:uid="{00000000-0006-0000-0D00-00003E000000}">
      <text>
        <r>
          <rPr>
            <b/>
            <sz val="10"/>
            <color indexed="81"/>
            <rFont val="Arial"/>
            <family val="2"/>
          </rPr>
          <t>n = 69, 
4.96 to 8.15 CL</t>
        </r>
      </text>
    </comment>
    <comment ref="F67" authorId="0" shapeId="0" xr:uid="{00000000-0006-0000-0D00-00003F000000}">
      <text>
        <r>
          <rPr>
            <b/>
            <sz val="9"/>
            <color indexed="81"/>
            <rFont val="Tahoma"/>
            <family val="2"/>
          </rPr>
          <t>MNA = 33, 2.18 to 4.58, CAPTURE 48.8, 39.2 to 73.1</t>
        </r>
      </text>
    </comment>
    <comment ref="B68" authorId="0" shapeId="0" xr:uid="{CC10BE39-DD32-46FD-AC63-C5DB18B2314F}">
      <text>
        <r>
          <rPr>
            <b/>
            <sz val="9"/>
            <color indexed="81"/>
            <rFont val="Tahoma"/>
            <family val="2"/>
          </rPr>
          <t>census date Sept 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5" shapeId="0" xr:uid="{A72342F5-3EF7-4401-87A1-029BE09272C7}">
      <text>
        <r>
          <rPr>
            <b/>
            <sz val="9"/>
            <color indexed="81"/>
            <rFont val="Tahoma"/>
            <family val="2"/>
          </rPr>
          <t>Ainsley Sykes:</t>
        </r>
        <r>
          <rPr>
            <sz val="9"/>
            <color indexed="81"/>
            <rFont val="Tahoma"/>
            <family val="2"/>
          </rPr>
          <t xml:space="preserve">
cenus date sept 15</t>
        </r>
      </text>
    </comment>
    <comment ref="E69" authorId="0" shapeId="0" xr:uid="{00000000-0006-0000-0D00-000040000000}">
      <text>
        <r>
          <rPr>
            <sz val="9"/>
            <color indexed="81"/>
            <rFont val="Tahoma"/>
            <family val="2"/>
          </rPr>
          <t>n = 49, 2.87 to 5.16 CL 95%, CAPTURE 58.4 indiv</t>
        </r>
      </text>
    </comment>
    <comment ref="F69" authorId="0" shapeId="0" xr:uid="{00000000-0006-0000-0D00-000041000000}">
      <text>
        <r>
          <rPr>
            <b/>
            <sz val="9"/>
            <color indexed="81"/>
            <rFont val="Tahoma"/>
            <family val="2"/>
          </rPr>
          <t>n=34, 2.43 to 5.05 CL, CAPTURE 45.0</t>
        </r>
      </text>
    </comment>
    <comment ref="E70" authorId="0" shapeId="0" xr:uid="{00000000-0006-0000-0D00-000042000000}">
      <text>
        <r>
          <rPr>
            <b/>
            <sz val="9"/>
            <color indexed="81"/>
            <rFont val="Tahoma"/>
            <family val="2"/>
          </rPr>
          <t>n = 59, CL 4.37 7.96, 
CAPTURE 90</t>
        </r>
      </text>
    </comment>
    <comment ref="F70" authorId="0" shapeId="0" xr:uid="{00000000-0006-0000-0D00-000043000000}">
      <text>
        <r>
          <rPr>
            <b/>
            <sz val="9"/>
            <color indexed="81"/>
            <rFont val="Tahoma"/>
            <family val="2"/>
          </rPr>
          <t>MNA = 33, 2.58 to 5.58, CAPTURE 43</t>
        </r>
      </text>
    </comment>
    <comment ref="E71" authorId="0" shapeId="0" xr:uid="{2CEF719F-39A0-4411-B7B5-798C5694397C}">
      <text>
        <r>
          <rPr>
            <sz val="9"/>
            <color indexed="81"/>
            <rFont val="Tahoma"/>
            <family val="2"/>
          </rPr>
          <t>MNA 40, 95% 2.85 to 5.51, Capture 48.5, 43.1 to 63</t>
        </r>
      </text>
    </comment>
    <comment ref="F71" authorId="0" shapeId="0" xr:uid="{DBBB46A6-24B5-416D-873B-CEF6CF613435}">
      <text>
        <r>
          <rPr>
            <b/>
            <sz val="9"/>
            <color indexed="81"/>
            <rFont val="Tahoma"/>
            <family val="2"/>
          </rPr>
          <t>MNA 26. 95% CL 1.71 to 4.15, Capture 41.1, 31.1 to 64.9</t>
        </r>
      </text>
    </comment>
    <comment ref="E72" authorId="0" shapeId="0" xr:uid="{CE997291-0B40-4604-8209-DAD181600F20}">
      <text>
        <r>
          <rPr>
            <b/>
            <sz val="9"/>
            <color indexed="81"/>
            <rFont val="Tahoma"/>
            <family val="2"/>
          </rPr>
          <t>MNA 53, 4.19 to 7.54, CAPTURE 77.3, 64.6 to 104.1</t>
        </r>
      </text>
    </comment>
    <comment ref="F72" authorId="0" shapeId="0" xr:uid="{9F008F6B-0E97-46F6-8236-4FA5AD60D99D}">
      <text>
        <r>
          <rPr>
            <b/>
            <sz val="9"/>
            <color indexed="81"/>
            <rFont val="Tahoma"/>
            <family val="2"/>
          </rPr>
          <t>MNA 30, Capture 37.6, 32.3 to 54.9, conf. limits 1.46 to 3.11 per ha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krebs@zoology.ubc.ca</author>
    <author>Charles J. Krebs</author>
    <author>Charles Krebs</author>
    <author>s420162</author>
    <author>Dr. Charles J. Krebs</author>
    <author>Any User</author>
  </authors>
  <commentList>
    <comment ref="F20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Average of all density estimates including ML and IP and boundary strip methods for GPC</t>
        </r>
      </text>
    </comment>
    <comment ref="D28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No ground squirrels captured in 2 days trapping.</t>
        </r>
      </text>
    </comment>
    <comment ref="D29" authorId="1" shapeId="0" xr:uid="{00000000-0006-0000-0E00-000003000000}">
      <text>
        <r>
          <rPr>
            <b/>
            <sz val="8"/>
            <color indexed="81"/>
            <rFont val="Tahoma"/>
            <family val="2"/>
          </rPr>
          <t>None caught in 4 days</t>
        </r>
      </text>
    </comment>
    <comment ref="D3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None in 4 days.</t>
        </r>
      </text>
    </comment>
    <comment ref="D31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None caught in 2 days</t>
        </r>
      </text>
    </comment>
    <comment ref="D32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None caught in 3 days</t>
        </r>
      </text>
    </comment>
    <comment ref="D33" authorId="2" shapeId="0" xr:uid="{00000000-0006-0000-0E00-000007000000}">
      <text>
        <r>
          <rPr>
            <b/>
            <sz val="8"/>
            <color indexed="81"/>
            <rFont val="Tahoma"/>
            <family val="2"/>
          </rPr>
          <t>None caught</t>
        </r>
      </text>
    </comment>
    <comment ref="C36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Only 3 caught all juvs</t>
        </r>
      </text>
    </comment>
    <comment ref="D36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3 indiv. caught</t>
        </r>
      </text>
    </comment>
    <comment ref="D37" authorId="2" shapeId="0" xr:uid="{00000000-0006-0000-0E00-00000A000000}">
      <text>
        <r>
          <rPr>
            <b/>
            <sz val="8"/>
            <color indexed="81"/>
            <rFont val="Tahoma"/>
            <family val="2"/>
          </rPr>
          <t>4 caught</t>
        </r>
      </text>
    </comment>
    <comment ref="C38" authorId="2" shapeId="0" xr:uid="{00000000-0006-0000-0E00-00000B000000}">
      <text>
        <r>
          <rPr>
            <b/>
            <sz val="8"/>
            <color indexed="81"/>
            <rFont val="Tahoma"/>
            <family val="2"/>
          </rPr>
          <t>Only 1 caught</t>
        </r>
      </text>
    </comment>
    <comment ref="D38" authorId="2" shapeId="0" xr:uid="{00000000-0006-0000-0E00-00000C000000}">
      <text>
        <r>
          <rPr>
            <b/>
            <sz val="8"/>
            <color indexed="81"/>
            <rFont val="Tahoma"/>
            <family val="2"/>
          </rPr>
          <t>5 caught</t>
        </r>
      </text>
    </comment>
    <comment ref="D39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3 caught</t>
        </r>
      </text>
    </comment>
    <comment ref="C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Nothing caught!</t>
        </r>
      </text>
    </comment>
    <comment ref="D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none caught</t>
        </r>
      </text>
    </comment>
    <comment ref="D41" authorId="2" shapeId="0" xr:uid="{00000000-0006-0000-0E00-000010000000}">
      <text>
        <r>
          <rPr>
            <b/>
            <sz val="8"/>
            <color indexed="81"/>
            <rFont val="Tahoma"/>
            <family val="2"/>
          </rPr>
          <t>3 females caught</t>
        </r>
      </text>
    </comment>
    <comment ref="C45" authorId="3" shapeId="0" xr:uid="{00000000-0006-0000-0E00-000011000000}">
      <text>
        <r>
          <rPr>
            <b/>
            <sz val="8"/>
            <color indexed="81"/>
            <rFont val="Tahoma"/>
            <family val="2"/>
          </rPr>
          <t>6 trap session, extensive search, no animals present on grid</t>
        </r>
      </text>
    </comment>
    <comment ref="D45" authorId="4" shapeId="0" xr:uid="{00000000-0006-0000-0E00-000012000000}">
      <text>
        <r>
          <rPr>
            <b/>
            <sz val="8"/>
            <color indexed="81"/>
            <rFont val="Tahoma"/>
            <family val="2"/>
          </rPr>
          <t>One g s in photo and a guess of 20 ha area and no others seen or caught</t>
        </r>
      </text>
    </comment>
    <comment ref="D47" authorId="4" shapeId="0" xr:uid="{00000000-0006-0000-0E00-000013000000}">
      <text>
        <r>
          <rPr>
            <b/>
            <sz val="8"/>
            <color indexed="81"/>
            <rFont val="Tahoma"/>
            <family val="2"/>
          </rPr>
          <t>One g s in photo and a guess of 20 ha area and no others seen or caught</t>
        </r>
      </text>
    </comment>
    <comment ref="D51" authorId="2" shapeId="0" xr:uid="{00000000-0006-0000-0E00-000014000000}">
      <text>
        <r>
          <rPr>
            <b/>
            <sz val="9"/>
            <color indexed="81"/>
            <rFont val="Tahoma"/>
            <family val="2"/>
          </rPr>
          <t>One seen in a camera on Chitty grid while hare sampling</t>
        </r>
      </text>
    </comment>
    <comment ref="D54" authorId="5" shapeId="0" xr:uid="{00000000-0006-0000-0E00-000015000000}">
      <text>
        <r>
          <rPr>
            <b/>
            <sz val="8"/>
            <color indexed="81"/>
            <rFont val="Tahoma"/>
            <family val="2"/>
          </rPr>
          <t>Red squirrel crew  reported seeing one ags on this grid when trapping in July</t>
        </r>
      </text>
    </comment>
    <comment ref="M62" authorId="2" shapeId="0" xr:uid="{8AE760D8-8396-4190-89A5-60C9E5276189}">
      <text>
        <r>
          <rPr>
            <sz val="9"/>
            <color indexed="81"/>
            <rFont val="Tahoma"/>
            <family val="2"/>
          </rPr>
          <t xml:space="preserve">One ground squirrel caught by red squirrel trappers on one grid in summer 2017
</t>
        </r>
      </text>
    </comment>
  </commentList>
</comments>
</file>

<file path=xl/sharedStrings.xml><?xml version="1.0" encoding="utf-8"?>
<sst xmlns="http://schemas.openxmlformats.org/spreadsheetml/2006/main" count="2149" uniqueCount="743">
  <si>
    <t>GROWTH RATES OF SMALL 5 mm. TWIGS OF WILLOW AND BIRCH AT KLUANE LAKE, YUKON</t>
  </si>
  <si>
    <t>Growth rate is percentage (new growth/total dry weight) of a 5 mm diameter twig.</t>
  </si>
  <si>
    <r>
      <t>WILLOW  (</t>
    </r>
    <r>
      <rPr>
        <b/>
        <i/>
        <sz val="10"/>
        <rFont val="Arial"/>
        <family val="2"/>
      </rPr>
      <t>Salix glauca</t>
    </r>
    <r>
      <rPr>
        <b/>
        <sz val="10"/>
        <rFont val="Arial"/>
        <family val="2"/>
      </rPr>
      <t>)</t>
    </r>
  </si>
  <si>
    <t xml:space="preserve">   95% Confidence Limits</t>
  </si>
  <si>
    <t>YEAR</t>
  </si>
  <si>
    <t>N</t>
  </si>
  <si>
    <t xml:space="preserve">TOTAL </t>
  </si>
  <si>
    <t>ALL</t>
  </si>
  <si>
    <t>AREAS</t>
  </si>
  <si>
    <r>
      <t>BIRCH  (</t>
    </r>
    <r>
      <rPr>
        <b/>
        <i/>
        <sz val="10"/>
        <rFont val="Arial"/>
        <family val="2"/>
      </rPr>
      <t>Betula glandulosa</t>
    </r>
    <r>
      <rPr>
        <b/>
        <sz val="10"/>
        <rFont val="Arial"/>
        <family val="2"/>
      </rPr>
      <t>)</t>
    </r>
  </si>
  <si>
    <t>GROUND BERRY STANDING CROP AT KLUANE LAKE, YUKON</t>
  </si>
  <si>
    <t>All estimates taken in August before berries ripen.  Quadrat size is 40 by 40 cm.</t>
  </si>
  <si>
    <t xml:space="preserve">Quadrats are not randomly situated.  The same quadrats are counted each year.  </t>
  </si>
  <si>
    <r>
      <t xml:space="preserve">          Bearberry -</t>
    </r>
    <r>
      <rPr>
        <b/>
        <i/>
        <sz val="10"/>
        <rFont val="Arial"/>
        <family val="2"/>
      </rPr>
      <t xml:space="preserve"> Arctostaphylos uva-ursi</t>
    </r>
  </si>
  <si>
    <r>
      <t xml:space="preserve">          Red Bearberry -</t>
    </r>
    <r>
      <rPr>
        <b/>
        <i/>
        <sz val="10"/>
        <rFont val="Arial"/>
        <family val="2"/>
      </rPr>
      <t xml:space="preserve"> Arctostaphylos rubra</t>
    </r>
  </si>
  <si>
    <r>
      <t xml:space="preserve">          Crowberry -</t>
    </r>
    <r>
      <rPr>
        <b/>
        <i/>
        <sz val="10"/>
        <rFont val="Arial"/>
        <family val="2"/>
      </rPr>
      <t xml:space="preserve"> Empetrum nigrum</t>
    </r>
  </si>
  <si>
    <t>Year</t>
  </si>
  <si>
    <t>No. Quadrats</t>
  </si>
  <si>
    <t>Mean No. Berries</t>
  </si>
  <si>
    <t>Lower 95% C.L.</t>
  </si>
  <si>
    <t>Upper 95% C.L.</t>
  </si>
  <si>
    <t>SOAPBERRY COUNTS AT KLUANE LAKE, YUKON</t>
  </si>
  <si>
    <t>Counts are of Number of Berries per tagged stem (not of the entire bush!)</t>
  </si>
  <si>
    <t>They are an index of production of soapberries not an absolute estimate per unit area.</t>
  </si>
  <si>
    <t>95% CONFIDENCE LIMITS</t>
  </si>
  <si>
    <t>MEAN BERRIES</t>
  </si>
  <si>
    <t>TOTAL ALL</t>
  </si>
  <si>
    <t>SNOWSHOE HARE DENSITY per ha. ON CONTROL GRIDS AT KLUANE LAKE, YUKON</t>
  </si>
  <si>
    <t xml:space="preserve">All Controls </t>
  </si>
  <si>
    <t>Fall 76</t>
  </si>
  <si>
    <t>Spring 77</t>
  </si>
  <si>
    <t>Fall 77</t>
  </si>
  <si>
    <t>Spring 78</t>
  </si>
  <si>
    <t>Fall 78</t>
  </si>
  <si>
    <t>Spring 79</t>
  </si>
  <si>
    <t>Fall 79</t>
  </si>
  <si>
    <t>Spring 80</t>
  </si>
  <si>
    <t>Fall 80</t>
  </si>
  <si>
    <t>Spring 81</t>
  </si>
  <si>
    <t>Fall 81</t>
  </si>
  <si>
    <t>Spring 82</t>
  </si>
  <si>
    <t>Fall 82</t>
  </si>
  <si>
    <t>Spring 83</t>
  </si>
  <si>
    <t>Fall 83</t>
  </si>
  <si>
    <t>Spring 84</t>
  </si>
  <si>
    <t>Fall 84</t>
  </si>
  <si>
    <t>Spring 85</t>
  </si>
  <si>
    <t>Fall 85</t>
  </si>
  <si>
    <t>Spring 86</t>
  </si>
  <si>
    <t>Fall 86</t>
  </si>
  <si>
    <t>Spring 87</t>
  </si>
  <si>
    <t>Fall 87</t>
  </si>
  <si>
    <t>Spring 88</t>
  </si>
  <si>
    <t>Fall 88</t>
  </si>
  <si>
    <t>Spring 89</t>
  </si>
  <si>
    <t>Fall 89</t>
  </si>
  <si>
    <t>Spring 90</t>
  </si>
  <si>
    <t>Fall 90</t>
  </si>
  <si>
    <t>Spring 91</t>
  </si>
  <si>
    <t>Fall 91</t>
  </si>
  <si>
    <t>Spring 92</t>
  </si>
  <si>
    <t>Fall 92</t>
  </si>
  <si>
    <t>Spring 93</t>
  </si>
  <si>
    <t>Fall 93</t>
  </si>
  <si>
    <t>Spring 94</t>
  </si>
  <si>
    <t>Fall 94</t>
  </si>
  <si>
    <t>Spring 95</t>
  </si>
  <si>
    <t>Fall 95</t>
  </si>
  <si>
    <t>Spring 96</t>
  </si>
  <si>
    <t>Fall 96</t>
  </si>
  <si>
    <t>Spring 97</t>
  </si>
  <si>
    <t>Fall 97</t>
  </si>
  <si>
    <t>Spring 98</t>
  </si>
  <si>
    <t>Fall 98</t>
  </si>
  <si>
    <t>Spring 99</t>
  </si>
  <si>
    <t>Season</t>
  </si>
  <si>
    <t>GPC</t>
  </si>
  <si>
    <t>Chitty</t>
  </si>
  <si>
    <t xml:space="preserve">ARCTIC GROUND SQUIRREL DENSITY </t>
  </si>
  <si>
    <t>AVERAGE</t>
  </si>
  <si>
    <t>Red Squirrel Density Estimates</t>
  </si>
  <si>
    <t>Based on 12 ha grids</t>
  </si>
  <si>
    <t>PERIOD</t>
  </si>
  <si>
    <t>Sulphur Control</t>
  </si>
  <si>
    <t>Lloyd Control</t>
  </si>
  <si>
    <t>Kloo Control</t>
  </si>
  <si>
    <t>Spring 1985</t>
  </si>
  <si>
    <t>Fall 1985</t>
  </si>
  <si>
    <t>Spring 1986</t>
  </si>
  <si>
    <t>Fall 1986</t>
  </si>
  <si>
    <t>Spring 1987</t>
  </si>
  <si>
    <t>Fall 1987</t>
  </si>
  <si>
    <t>Spring 1988</t>
  </si>
  <si>
    <t>Fall 1988</t>
  </si>
  <si>
    <t>Spring 1989</t>
  </si>
  <si>
    <t>Fall 1989</t>
  </si>
  <si>
    <t>Spring 1990</t>
  </si>
  <si>
    <t>Fall 1990</t>
  </si>
  <si>
    <t>Spring 1991</t>
  </si>
  <si>
    <t>Fall 1991</t>
  </si>
  <si>
    <t>Spring 1992</t>
  </si>
  <si>
    <t>Fall 1992</t>
  </si>
  <si>
    <t>Spring 1993</t>
  </si>
  <si>
    <t>Fall 1993</t>
  </si>
  <si>
    <t>Spring 1994</t>
  </si>
  <si>
    <t>Fall 1994</t>
  </si>
  <si>
    <t>Spring 1995</t>
  </si>
  <si>
    <t>Fall 1995</t>
  </si>
  <si>
    <t>Spring 1996</t>
  </si>
  <si>
    <t>Fall 1996</t>
  </si>
  <si>
    <t>Spring 1997</t>
  </si>
  <si>
    <t>Fall 1997</t>
  </si>
  <si>
    <t>AVERAGE per ha.</t>
  </si>
  <si>
    <t>Spring 1998</t>
  </si>
  <si>
    <t>Fall 1998</t>
  </si>
  <si>
    <t>Spring 1999</t>
  </si>
  <si>
    <t>Fall 1999</t>
  </si>
  <si>
    <t>Spring 2000</t>
  </si>
  <si>
    <t>Fall 2000</t>
  </si>
  <si>
    <t>Gravel Pit Control</t>
  </si>
  <si>
    <t>(In 1998 started trapping Chitty and GPC for Kluane Monitoring Program)</t>
  </si>
  <si>
    <t>Sulphur</t>
  </si>
  <si>
    <t>Silver</t>
  </si>
  <si>
    <t>Fall 99</t>
  </si>
  <si>
    <t>MUSHROOM BIOMASS AT KLUANE LAKE</t>
  </si>
  <si>
    <t>Data</t>
  </si>
  <si>
    <t>Flint</t>
  </si>
  <si>
    <t>Grizzly</t>
  </si>
  <si>
    <t>Lloyd</t>
  </si>
  <si>
    <t>n =</t>
  </si>
  <si>
    <t>(assume average</t>
  </si>
  <si>
    <t>Mean =</t>
  </si>
  <si>
    <t>mushroom is 4 cm diameter)</t>
  </si>
  <si>
    <t>Lower CL</t>
  </si>
  <si>
    <t>Upper CL</t>
  </si>
  <si>
    <t>mushroom is 2 cm diameter)</t>
  </si>
  <si>
    <t>(mushrooms measured</t>
  </si>
  <si>
    <t>for first time)</t>
  </si>
  <si>
    <t>very few!</t>
  </si>
  <si>
    <t>WHITE SPRUCE CONE COUNTS - KLUANE MONITORING PROGRAM</t>
  </si>
  <si>
    <t>(Individual trees counted each year in August in standard Boutin manner)</t>
  </si>
  <si>
    <t xml:space="preserve">    95% Conf. Limits</t>
  </si>
  <si>
    <t>BROWSE RATES OF SMALL 5 mm. TAGGED TWIGS OF WILLOW AND BIRCH AT KLUANE LAKE, YUKON</t>
  </si>
  <si>
    <t xml:space="preserve">Percent </t>
  </si>
  <si>
    <t>Partial Browsed</t>
  </si>
  <si>
    <t>Completely Browsed</t>
  </si>
  <si>
    <t>1995-96</t>
  </si>
  <si>
    <t>1996-97</t>
  </si>
  <si>
    <t>1997-98</t>
  </si>
  <si>
    <t>1998-99</t>
  </si>
  <si>
    <t>1999-00</t>
  </si>
  <si>
    <t>2000-01</t>
  </si>
  <si>
    <t>2001-02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</si>
  <si>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</si>
  <si>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</si>
  <si>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</si>
  <si>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</si>
  <si>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</si>
  <si>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</si>
  <si>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</si>
  <si>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</si>
  <si>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</si>
  <si>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(controls)</t>
  </si>
  <si>
    <t>WHITE SPRUCE TREE SEED COUNTS AT KLUANE LAKE</t>
  </si>
  <si>
    <t>NUMBER OF SEEDS PER SQUARE METER</t>
  </si>
  <si>
    <t xml:space="preserve">Mean No.  </t>
  </si>
  <si>
    <t>Note: Year is the year of seed production; i.e. seeds counted in May of following year.</t>
  </si>
  <si>
    <t xml:space="preserve">    (obtained from seed bucket data by multiplying by 16.31)</t>
  </si>
  <si>
    <t>Silver Control</t>
  </si>
  <si>
    <t>Alive</t>
  </si>
  <si>
    <t>Dead</t>
  </si>
  <si>
    <t>(healthy)</t>
  </si>
  <si>
    <t>Green</t>
  </si>
  <si>
    <t>Red</t>
  </si>
  <si>
    <t>Grey</t>
  </si>
  <si>
    <t>(old)</t>
  </si>
  <si>
    <t>Grid</t>
  </si>
  <si>
    <t>Total</t>
  </si>
  <si>
    <t>SPRUCE BARK BEETLE TREE MORTALITY</t>
  </si>
  <si>
    <t>Aug. 1997</t>
  </si>
  <si>
    <t>Aug. 1998</t>
  </si>
  <si>
    <t>Gravel Pit</t>
  </si>
  <si>
    <t>Agnes</t>
  </si>
  <si>
    <t>Hungry Lake</t>
  </si>
  <si>
    <t>Beaver Pond</t>
  </si>
  <si>
    <t>(see protocol for definitions of categories of trees)</t>
  </si>
  <si>
    <t>No. Trees Classified</t>
  </si>
  <si>
    <t>Lynx</t>
  </si>
  <si>
    <t>Winter of</t>
  </si>
  <si>
    <t>Total No.</t>
  </si>
  <si>
    <t>Density /100 sq km</t>
  </si>
  <si>
    <t>PREDATOR DENSITIES - KLUANE MONITORING PROJECT</t>
  </si>
  <si>
    <t>1999-2000</t>
  </si>
  <si>
    <t xml:space="preserve">                  Lynx</t>
  </si>
  <si>
    <t xml:space="preserve">              Coyote</t>
  </si>
  <si>
    <t xml:space="preserve">  Confidence Approximation</t>
  </si>
  <si>
    <t>Coyote</t>
  </si>
  <si>
    <t>18-24</t>
  </si>
  <si>
    <t>28-36</t>
  </si>
  <si>
    <t>14-20</t>
  </si>
  <si>
    <t>10-16</t>
  </si>
  <si>
    <t>Overall Average</t>
  </si>
  <si>
    <t>Total N</t>
  </si>
  <si>
    <t>Lower 95%</t>
  </si>
  <si>
    <t>Upper 95%</t>
  </si>
  <si>
    <t xml:space="preserve">        Confidence Limits</t>
  </si>
  <si>
    <t>ratioxy</t>
  </si>
  <si>
    <t>Production</t>
  </si>
  <si>
    <t>Year of Seed</t>
  </si>
  <si>
    <t>counted in Aug 1997</t>
  </si>
  <si>
    <t xml:space="preserve">Live trapping on 10x10 grids at alternate stations, assumed area = 10 ha on GPC until 1998 </t>
  </si>
  <si>
    <t>Patrick data</t>
  </si>
  <si>
    <t>GREAT-HORNED OWL DENSITIES - KLUANE MONITORING PROJECT</t>
  </si>
  <si>
    <t xml:space="preserve">            Great Horned Owls</t>
  </si>
  <si>
    <t>counted in May 1998</t>
  </si>
  <si>
    <t>Mean Growth Rate %</t>
  </si>
  <si>
    <t xml:space="preserve">   95% Conf. Limits-complete browsing</t>
  </si>
  <si>
    <t>(Mean and confidence limits estimated from bootstrapping)</t>
  </si>
  <si>
    <t>counted in May 1999</t>
  </si>
  <si>
    <t>(i.e. seeds counted in May 1998 are from Production Year of Cones of Summer 1997)</t>
  </si>
  <si>
    <t>Jacquot South</t>
  </si>
  <si>
    <t>Note: Means estimated by bootstrapping program.</t>
  </si>
  <si>
    <t>Spring 2001</t>
  </si>
  <si>
    <t>Kloo</t>
  </si>
  <si>
    <t>Gravel Control</t>
  </si>
  <si>
    <t>Total No. Owls</t>
  </si>
  <si>
    <t>Territory owners</t>
  </si>
  <si>
    <t xml:space="preserve">1987-96 data from Christoph Rohner and Frank Doyle </t>
  </si>
  <si>
    <t>Spring of</t>
  </si>
  <si>
    <t>Strip is 1.5 km wide by 18 km long for 54 sq km.  Original intensive study area was 100 sq km.</t>
  </si>
  <si>
    <t>Estimated from hooting surveys in late in winter by Liz Hofer (i.e. winter 1997-98 data  taken in March 1998). Strip census begun in March 1998.</t>
  </si>
  <si>
    <t>Breeding density per 100 sq km</t>
  </si>
  <si>
    <t>Total Density /100 sq km</t>
  </si>
  <si>
    <t>unknown</t>
  </si>
  <si>
    <t>No floaters are censused in the strip census so that since 1996 we have no estimate of total owls in the area.</t>
  </si>
  <si>
    <t>CK bootstrap</t>
  </si>
  <si>
    <t>mushroom is 1 cm diameter)</t>
  </si>
  <si>
    <t>(means from CK bootstrapping program)</t>
  </si>
  <si>
    <t xml:space="preserve">   95% Conf. Limits-complete browsing (binomial confidence limits)</t>
  </si>
  <si>
    <t>Total wet wt. per 10 sq. m.</t>
  </si>
  <si>
    <t>(all measures in grams wet weight per 10 sq. meter)</t>
  </si>
  <si>
    <t>(area sampled 28.27 sq m)</t>
  </si>
  <si>
    <t>Alsek</t>
  </si>
  <si>
    <t>Donjek</t>
  </si>
  <si>
    <t>4 on each grid</t>
  </si>
  <si>
    <t>bootstrap CK</t>
  </si>
  <si>
    <t>Fall 2001</t>
  </si>
  <si>
    <t>Spring</t>
  </si>
  <si>
    <t>Summer</t>
  </si>
  <si>
    <t>(spring is May, summer is August)</t>
  </si>
  <si>
    <t>Estimated from snow tracking in winter by Liz Hofer on 350 sq km study area</t>
  </si>
  <si>
    <r>
      <t>Note</t>
    </r>
    <r>
      <rPr>
        <sz val="8"/>
        <rFont val="Arial"/>
        <family val="2"/>
      </rPr>
      <t>:  Rohner's conversion equation is: true density per 100 sq km = {(strip density per 100 sq km) + 8.6} / 1.7</t>
    </r>
  </si>
  <si>
    <r>
      <t>(YEAR</t>
    </r>
    <r>
      <rPr>
        <sz val="8"/>
        <rFont val="Arial"/>
        <family val="2"/>
      </rPr>
      <t xml:space="preserve"> is measurement year (e.g. 1996 data from winter 1995-96))</t>
    </r>
  </si>
  <si>
    <r>
      <t>Note: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Year</t>
    </r>
    <r>
      <rPr>
        <sz val="8"/>
        <rFont val="Arial"/>
        <family val="2"/>
      </rPr>
      <t xml:space="preserve"> is the year of cone production; i.e. cones counted in August of that year.</t>
    </r>
  </si>
  <si>
    <t>counted in May 2000</t>
  </si>
  <si>
    <t>counted in May 2001</t>
  </si>
  <si>
    <t>Lower 95% CL</t>
  </si>
  <si>
    <t>Upper 95% CL</t>
  </si>
  <si>
    <t>(estimated from CK bootstrapping)</t>
  </si>
  <si>
    <t>Total all grids</t>
  </si>
  <si>
    <t>Aug. 2000</t>
  </si>
  <si>
    <t>Aug. 1999</t>
  </si>
  <si>
    <t>Paint Mtn.</t>
  </si>
  <si>
    <t>Quill Creek</t>
  </si>
  <si>
    <t>St. Elias Lake</t>
  </si>
  <si>
    <t>39-55</t>
  </si>
  <si>
    <t>18-22</t>
  </si>
  <si>
    <t>1-4</t>
  </si>
  <si>
    <t>20-31</t>
  </si>
  <si>
    <t>11-14</t>
  </si>
  <si>
    <t>2-4</t>
  </si>
  <si>
    <t xml:space="preserve">Live trapping on 10x10 grids at alternate stations, assumed area = 2.81 ha. </t>
  </si>
  <si>
    <t>Density per ha.</t>
  </si>
  <si>
    <t>Guess for C.L.</t>
  </si>
  <si>
    <t>Mean Number of Cones per tree (an index of cone production)</t>
  </si>
  <si>
    <t>Percentage of White Spruce Trees</t>
  </si>
  <si>
    <t xml:space="preserve">                 Beetle Kill</t>
  </si>
  <si>
    <t>Spring 2002</t>
  </si>
  <si>
    <t>Fall 2002</t>
  </si>
  <si>
    <t>Spring 2003</t>
  </si>
  <si>
    <t>Fall 2003</t>
  </si>
  <si>
    <t>Jacquot data not included</t>
  </si>
  <si>
    <t>Bob's Control</t>
  </si>
  <si>
    <t>Aug. 2001</t>
  </si>
  <si>
    <t>Duke</t>
  </si>
  <si>
    <t>repeated data very close to previous year's data</t>
  </si>
  <si>
    <t>Parks changed all dead trees to green ones so these are not a measure of the state of the forest!</t>
  </si>
  <si>
    <t>Sampled in August</t>
  </si>
  <si>
    <t>All estimates are numbers of berries adjusted to an average 50% cover for that species in a 0.4 m by 0.4 m quadrat.  These are indices of berry production.</t>
  </si>
  <si>
    <t>Adjusted by regression to 50% cover</t>
  </si>
  <si>
    <t>All means and confidence intervals are bootstrapped</t>
  </si>
  <si>
    <t>All estimates are adjusted to a standard 10 mm diameter stem.</t>
  </si>
  <si>
    <t>Mean</t>
  </si>
  <si>
    <t>Weight</t>
  </si>
  <si>
    <t>first year for berry weights</t>
  </si>
  <si>
    <t>Lower</t>
  </si>
  <si>
    <t>Upper</t>
  </si>
  <si>
    <t>very low numbers!</t>
  </si>
  <si>
    <t>(Estimates from CAPTURE program except when only a few individuals captured)</t>
  </si>
  <si>
    <t>(data from Stan Boutin for Sulphur, Lloyd, Kloo)</t>
  </si>
  <si>
    <t>counted in May 2002</t>
  </si>
  <si>
    <t>2002-03</t>
  </si>
  <si>
    <t>Mean Biomass</t>
  </si>
  <si>
    <t>per stem (g)</t>
  </si>
  <si>
    <t>Mean Density</t>
  </si>
  <si>
    <t>Density per hectare</t>
  </si>
  <si>
    <t>2003-04</t>
  </si>
  <si>
    <r>
      <t>(YEAR</t>
    </r>
    <r>
      <rPr>
        <sz val="8"/>
        <rFont val="Arial"/>
        <family val="2"/>
      </rPr>
      <t xml:space="preserve"> is growth year (e.g. growth year 2002 measured in May 2003))</t>
    </r>
  </si>
  <si>
    <t>counted in April 2003</t>
  </si>
  <si>
    <t>Bear Problems in Kluane National Park</t>
  </si>
  <si>
    <t>Data from "Kluane National Park and Reserve: 2002 Annual Bear Report" draft report by Scott Stewart, March 30, 2003</t>
  </si>
  <si>
    <t>Days of Closures</t>
  </si>
  <si>
    <t>Grizzly Non-hunting Mortality</t>
  </si>
  <si>
    <t>Incidents</t>
  </si>
  <si>
    <t>Conflicts</t>
  </si>
  <si>
    <t>Grizzly Observations</t>
  </si>
  <si>
    <t>CV =</t>
  </si>
  <si>
    <t>Hi/Low =</t>
  </si>
  <si>
    <t>Seeds counted in 86 seed buckets (28 cm diameter) at hare stations on grids in May</t>
  </si>
  <si>
    <t>counted in August 2004</t>
  </si>
  <si>
    <t>Spring 2004</t>
  </si>
  <si>
    <t>Fall 2004</t>
  </si>
  <si>
    <t>Sum of C.L. and MNA</t>
  </si>
  <si>
    <t>Aug. 2004</t>
  </si>
  <si>
    <t>STATE TRANSITIONS</t>
  </si>
  <si>
    <t>To State</t>
  </si>
  <si>
    <t>From State</t>
  </si>
  <si>
    <t>Unattacked</t>
  </si>
  <si>
    <t>Green Attack</t>
  </si>
  <si>
    <t>Red dead</t>
  </si>
  <si>
    <t>Grey dead</t>
  </si>
  <si>
    <t>(Proportion of trees changing from one category to another)</t>
  </si>
  <si>
    <t>ALSEK</t>
  </si>
  <si>
    <t>DONJEK</t>
  </si>
  <si>
    <t>DUKE</t>
  </si>
  <si>
    <t>PAINT MTN.</t>
  </si>
  <si>
    <t>QUILL CREEK</t>
  </si>
  <si>
    <t>St. ELIAS</t>
  </si>
  <si>
    <t>BOB'S CONTROL</t>
  </si>
  <si>
    <t>JACQUOT SOUTH</t>
  </si>
  <si>
    <t>SILVER</t>
  </si>
  <si>
    <t>SULPHUR</t>
  </si>
  <si>
    <t>LOWER %</t>
  </si>
  <si>
    <t>UPPER %</t>
  </si>
  <si>
    <t>corrected 2004</t>
  </si>
  <si>
    <t>corrected 2005</t>
  </si>
  <si>
    <t>corrected 2006</t>
  </si>
  <si>
    <t>corrected 2007</t>
  </si>
  <si>
    <t>corrected 2008</t>
  </si>
  <si>
    <t>corrected 2009</t>
  </si>
  <si>
    <t>corrected 2010</t>
  </si>
  <si>
    <t>corrected 2011</t>
  </si>
  <si>
    <t>corrected 2012</t>
  </si>
  <si>
    <t>Spring 2005</t>
  </si>
  <si>
    <t>Fall 2005</t>
  </si>
  <si>
    <t>MEAN</t>
  </si>
  <si>
    <t>2004-05</t>
  </si>
  <si>
    <t>2005-06</t>
  </si>
  <si>
    <t>WHITE SPRUCE TREE GROWTH - KLUANE MONITORING PROJECT</t>
  </si>
  <si>
    <t xml:space="preserve">     Ring width (mm)</t>
  </si>
  <si>
    <t>We have previously used extension branch growth but we now think it is unreliable from year to year because some branches do not grow at all.</t>
  </si>
  <si>
    <t>Aug. 2005</t>
  </si>
  <si>
    <t>1997-2001</t>
  </si>
  <si>
    <t>2001-2004</t>
  </si>
  <si>
    <t>2004-2008</t>
  </si>
  <si>
    <t>2000-2004</t>
  </si>
  <si>
    <t>Note: only first sample is</t>
  </si>
  <si>
    <t>a reliable index of initial forest</t>
  </si>
  <si>
    <t>state.  Changes to indiv. trees</t>
  </si>
  <si>
    <t>in transition matrices below.</t>
  </si>
  <si>
    <t>Lower error bars</t>
  </si>
  <si>
    <t>Upper error bars</t>
  </si>
  <si>
    <t xml:space="preserve">Lower </t>
  </si>
  <si>
    <t>C.L.</t>
  </si>
  <si>
    <t xml:space="preserve">Upper </t>
  </si>
  <si>
    <t>Upper cl</t>
  </si>
  <si>
    <t>Lower cl</t>
  </si>
  <si>
    <t>lower cl</t>
  </si>
  <si>
    <t>upper cl</t>
  </si>
  <si>
    <t>Low cl</t>
  </si>
  <si>
    <t xml:space="preserve">Grand Average = </t>
  </si>
  <si>
    <t>grams per 10 sq m</t>
  </si>
  <si>
    <t>Maximum</t>
  </si>
  <si>
    <t>Minimum</t>
  </si>
  <si>
    <t>St. Dev.</t>
  </si>
  <si>
    <t>C.V.</t>
  </si>
  <si>
    <t>Bearberry</t>
  </si>
  <si>
    <t>Red Bearberry</t>
  </si>
  <si>
    <t>Crowberry</t>
  </si>
  <si>
    <t>Cranberry</t>
  </si>
  <si>
    <t>St. Dev. =</t>
  </si>
  <si>
    <t xml:space="preserve">C.V. = </t>
  </si>
  <si>
    <t>St.Dev. =</t>
  </si>
  <si>
    <t>C.V. =</t>
  </si>
  <si>
    <t>(1987-2005)</t>
  </si>
  <si>
    <t>Willow</t>
  </si>
  <si>
    <t>Birch</t>
  </si>
  <si>
    <t>Carrier Data from Thesis</t>
  </si>
  <si>
    <t>Mean of 3 controls</t>
  </si>
  <si>
    <t xml:space="preserve"> upper conf. limits</t>
  </si>
  <si>
    <t>Spring 2006</t>
  </si>
  <si>
    <t>Fall 2006</t>
  </si>
  <si>
    <t>Adjusted berries = observed berries *(50/obs. Cover)</t>
  </si>
  <si>
    <t>Fall</t>
  </si>
  <si>
    <t>CONTROL</t>
  </si>
  <si>
    <t>SD</t>
  </si>
  <si>
    <t>CV</t>
  </si>
  <si>
    <r>
      <t xml:space="preserve">          Toadflax -</t>
    </r>
    <r>
      <rPr>
        <b/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Geocaulon lividum</t>
    </r>
  </si>
  <si>
    <t>All estimates are per hectare</t>
  </si>
  <si>
    <t>Snowshoe Hare Density Estimates from Pellet Plots</t>
  </si>
  <si>
    <t>Quill</t>
  </si>
  <si>
    <t>St. Elias</t>
  </si>
  <si>
    <t>Density regression from Krebs et al. (2001) paper.</t>
  </si>
  <si>
    <t>Mean Hare Density</t>
  </si>
  <si>
    <t>Hare density per hectare</t>
  </si>
  <si>
    <t>counted in May 2006</t>
  </si>
  <si>
    <t>Spring 2007</t>
  </si>
  <si>
    <t>Fall 2007</t>
  </si>
  <si>
    <t>Hare turds counted once a year in 0.155 m-2 quadrats in summer</t>
  </si>
  <si>
    <t>Bootstrap means</t>
  </si>
  <si>
    <t>Total no. of Track Nights</t>
  </si>
  <si>
    <t>Total No. of Transects</t>
  </si>
  <si>
    <t>Total Length (km)</t>
  </si>
  <si>
    <t>Total No. of Tracks</t>
  </si>
  <si>
    <t>Mean No. of Tracks per Track Night per 100 km</t>
  </si>
  <si>
    <t>S.E.</t>
  </si>
  <si>
    <t>Lower 95% CI</t>
  </si>
  <si>
    <t>Upper 95% CI</t>
  </si>
  <si>
    <t>COYOTE TRACKS - KLUANE MONITORING PROJECT</t>
  </si>
  <si>
    <t>Lower 95% for graph</t>
  </si>
  <si>
    <t>Upper 95% for graph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</si>
  <si>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</si>
  <si>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</si>
  <si>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</si>
  <si>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</si>
  <si>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</si>
  <si>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</si>
  <si>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</si>
  <si>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</si>
  <si>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</si>
  <si>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</si>
  <si>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</si>
  <si>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</si>
  <si>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</si>
  <si>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</si>
  <si>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</si>
  <si>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</si>
  <si>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</si>
  <si>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</si>
  <si>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</si>
  <si>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LYNX TRACKS - KLUANE MONITORING PROJECT</t>
  </si>
  <si>
    <t>MARTEN TRACKS - KLUANE MONITORING PROJECT</t>
  </si>
  <si>
    <t>WEASEL TRACKS - KLUANE MONITORING PROJECT</t>
  </si>
  <si>
    <t>Estimated from snow track transects in winter by Liz Hofer on 350 sq km study area</t>
  </si>
  <si>
    <t>Method 2 of Jolly (ratio method) 1969 used to compute means (C. Krebs 1999, pg 149)</t>
  </si>
  <si>
    <t>Data corrected May 14, 2007</t>
  </si>
  <si>
    <t>2006-07</t>
  </si>
  <si>
    <t>assumed zero as no cones on trees in summer 2006</t>
  </si>
  <si>
    <t>White Spruce Small Tree Quadrats</t>
  </si>
  <si>
    <t>Year of Census</t>
  </si>
  <si>
    <t>No. trees</t>
  </si>
  <si>
    <t>Average height (cm)</t>
  </si>
  <si>
    <t>Growth rate (%)</t>
  </si>
  <si>
    <t>Mortality rate from t to t+1 (per year)</t>
  </si>
  <si>
    <t xml:space="preserve">          Living Central Tree</t>
  </si>
  <si>
    <t xml:space="preserve">          Dead Central Tree</t>
  </si>
  <si>
    <t>10 by 10 m quadrats set up in 1997 to measure the recruitment and growth of white spruce under bark beetle killed dead trees and healthy trees by Liz Hofer, Jennifer Ruesink</t>
  </si>
  <si>
    <t>All trees over 10 cm high measured and tagged individually.  Raw data in KEMP_AINA.MDB file.</t>
  </si>
  <si>
    <t xml:space="preserve">Quadrats set up on Silver and Sulphur only. </t>
  </si>
  <si>
    <t>No. small trees</t>
  </si>
  <si>
    <t>Confidence limits</t>
  </si>
  <si>
    <t>Density of trees per m2</t>
  </si>
  <si>
    <t>Spring 2008</t>
  </si>
  <si>
    <t>Fall 2008</t>
  </si>
  <si>
    <t>Pellet counts converted to hare density</t>
  </si>
  <si>
    <t>06/07</t>
  </si>
  <si>
    <t>no Lloyd data yet</t>
  </si>
  <si>
    <t>All Kluane sites, except Kevan grids, combined</t>
  </si>
  <si>
    <t>Upper estimate</t>
  </si>
  <si>
    <t>Upper limit of density per 100 sq km</t>
  </si>
  <si>
    <t>Average for Sulphur, Lloyd and Kloo</t>
  </si>
  <si>
    <t>Toadflax</t>
  </si>
  <si>
    <t>Alice new program</t>
  </si>
  <si>
    <t>Grand Mean</t>
  </si>
  <si>
    <t>All Species Combined</t>
  </si>
  <si>
    <t>Mean No. Berries Summed</t>
  </si>
  <si>
    <t>Ave. N</t>
  </si>
  <si>
    <r>
      <t>The equation is wet weight (g) = 0.83348 cap-area + 0.00033 cap-area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, </t>
    </r>
    <r>
      <rPr>
        <i/>
        <sz val="8"/>
        <rFont val="Arial"/>
        <family val="2"/>
      </rPr>
      <t xml:space="preserve">n </t>
    </r>
    <r>
      <rPr>
        <sz val="8"/>
        <rFont val="Arial"/>
        <family val="2"/>
      </rPr>
      <t xml:space="preserve">= 155, </t>
    </r>
    <r>
      <rPr>
        <i/>
        <sz val="8"/>
        <rFont val="Arial"/>
        <family val="2"/>
      </rPr>
      <t>R</t>
    </r>
    <r>
      <rPr>
        <i/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= 0.91.</t>
    </r>
  </si>
  <si>
    <t>Recalculated all April 2008</t>
  </si>
  <si>
    <t>07/08</t>
  </si>
  <si>
    <t>2007-08</t>
  </si>
  <si>
    <t>counted in May 2008</t>
  </si>
  <si>
    <t>Aug. 2007</t>
  </si>
  <si>
    <t>Beaver Front and Sulphur East added for birch in 1997 and Silver and Sulphur</t>
  </si>
  <si>
    <t>All Kemp</t>
  </si>
  <si>
    <t>Lower %</t>
  </si>
  <si>
    <t>Upper %</t>
  </si>
  <si>
    <t xml:space="preserve">Lower % </t>
  </si>
  <si>
    <t xml:space="preserve">Upper % </t>
  </si>
  <si>
    <t>Growth Year</t>
  </si>
  <si>
    <t>Spring 2009</t>
  </si>
  <si>
    <t>Fall 2009</t>
  </si>
  <si>
    <t>(1988-2007)</t>
  </si>
  <si>
    <t>08/09</t>
  </si>
  <si>
    <t>Need to correct for juveniles caught in June trappings (less than 200 g)</t>
  </si>
  <si>
    <t>Quinn Indices</t>
  </si>
  <si>
    <t>Silver, Sulphur, Bob's Control, Quill, Jacquot</t>
  </si>
  <si>
    <t>except Empetrum</t>
  </si>
  <si>
    <t>Berries</t>
  </si>
  <si>
    <t>Spring 2010</t>
  </si>
  <si>
    <t>Fall 2010</t>
  </si>
  <si>
    <t>09/10</t>
  </si>
  <si>
    <t>2008-09</t>
  </si>
  <si>
    <t>2009-10</t>
  </si>
  <si>
    <t>some large mushrooms came out late in August after rains</t>
  </si>
  <si>
    <t>Lower minus</t>
  </si>
  <si>
    <t>Upper minus</t>
  </si>
  <si>
    <t xml:space="preserve">Live trapping on 10x10 grids at alternate stations, except at all stations on Grid J. </t>
  </si>
  <si>
    <t>Estimates from Efford's ML estimator or from MNA if n&lt;4</t>
  </si>
  <si>
    <t>Average Density per ha</t>
  </si>
  <si>
    <t>Decimal Year</t>
  </si>
  <si>
    <r>
      <t>Clethrionomys rutilus</t>
    </r>
    <r>
      <rPr>
        <b/>
        <sz val="12"/>
        <rFont val="Arial"/>
        <family val="2"/>
      </rPr>
      <t xml:space="preserve"> Population Density Estimates</t>
    </r>
  </si>
  <si>
    <t>Average density from 3 grids (Grid J, Silver, and Chitty/Sulphur)</t>
  </si>
  <si>
    <r>
      <t>Microtus</t>
    </r>
    <r>
      <rPr>
        <b/>
        <sz val="12"/>
        <rFont val="Arial"/>
        <family val="2"/>
      </rPr>
      <t xml:space="preserve"> DENSITY ESTIMATES</t>
    </r>
  </si>
  <si>
    <t>Microtus miurus</t>
  </si>
  <si>
    <t>Microtus oeconomus and M. pennsylvanicus</t>
  </si>
  <si>
    <r>
      <t>Peromyscus maniculatus</t>
    </r>
    <r>
      <rPr>
        <b/>
        <sz val="12"/>
        <rFont val="Arial"/>
        <family val="2"/>
      </rPr>
      <t xml:space="preserve"> Population Density Estimates</t>
    </r>
  </si>
  <si>
    <t>There could be many</t>
  </si>
  <si>
    <t>Microtus in 2002</t>
  </si>
  <si>
    <t>that were not called</t>
  </si>
  <si>
    <t>miurus - check books!!</t>
  </si>
  <si>
    <t>(86 traps on 20 x 20 grids, 30m spacing, Estimates since 1985 using Efford's ML estimator</t>
  </si>
  <si>
    <t xml:space="preserve">red confidence limits </t>
  </si>
  <si>
    <t>are guesses until</t>
  </si>
  <si>
    <t>I can get the old data</t>
  </si>
  <si>
    <t>re-analyzed</t>
  </si>
  <si>
    <t>Efford ML estimates</t>
  </si>
  <si>
    <t>Total of</t>
  </si>
  <si>
    <t>Partial and Complete</t>
  </si>
  <si>
    <t>Finite rate of increase from t to t+1</t>
  </si>
  <si>
    <t>Efford ML estimates for Sulphur</t>
  </si>
  <si>
    <t>Estimates for Chitty and GPC from Efford Density 4 ML estimator</t>
  </si>
  <si>
    <t>Ratio Spring to next spring</t>
  </si>
  <si>
    <t>R(0)</t>
  </si>
  <si>
    <t>I</t>
  </si>
  <si>
    <t>P</t>
  </si>
  <si>
    <t>D</t>
  </si>
  <si>
    <t>L</t>
  </si>
  <si>
    <t>Fall ratio</t>
  </si>
  <si>
    <t>Fall phase</t>
  </si>
  <si>
    <t xml:space="preserve">Average </t>
  </si>
  <si>
    <t>Average</t>
  </si>
  <si>
    <t>Mean Number per year = 518 trees</t>
  </si>
  <si>
    <t>WHITE SPRUCE CONE PRODUCTION PER TREE - KLUANE MONITORING PROGRAM</t>
  </si>
  <si>
    <t>Mean Number of Cones per tree (estimated from the LaMontagne conversion)</t>
  </si>
  <si>
    <t>all KEMP sites data</t>
  </si>
  <si>
    <t>LaMontagne, J.M., Peters, S., and Boutin, S. 2005. A visual index for estimating cone production for individual white spruce trees. Canadian Journal of Forest Research 35(12): 3020-3026.</t>
  </si>
  <si>
    <t>&gt; 10 cm DBH only</t>
  </si>
  <si>
    <t>All data from all areas included</t>
  </si>
  <si>
    <t>all grids, all trees &gt; 10 cm DBH</t>
  </si>
  <si>
    <t>Mean Number per year = 699 trees</t>
  </si>
  <si>
    <t>St Dev</t>
  </si>
  <si>
    <t>CV among years =</t>
  </si>
  <si>
    <t>10/11</t>
  </si>
  <si>
    <t>Spring 2011</t>
  </si>
  <si>
    <t>Fall 2011</t>
  </si>
  <si>
    <t>Spring Density</t>
  </si>
  <si>
    <t>Fall Density</t>
  </si>
  <si>
    <t>Percent conf. limits</t>
  </si>
  <si>
    <t xml:space="preserve">Summer </t>
  </si>
  <si>
    <t>increase</t>
  </si>
  <si>
    <t xml:space="preserve">Winter </t>
  </si>
  <si>
    <t>decline</t>
  </si>
  <si>
    <t>t to t+1</t>
  </si>
  <si>
    <t>t</t>
  </si>
  <si>
    <t>Sumer increase</t>
  </si>
  <si>
    <t>Winter decline</t>
  </si>
  <si>
    <t>year t</t>
  </si>
  <si>
    <t>Conf. Limits difference</t>
  </si>
  <si>
    <t>Low</t>
  </si>
  <si>
    <t>High</t>
  </si>
  <si>
    <t>many large mushrooms coming out by mid-August after rains as we were sampling</t>
  </si>
  <si>
    <t xml:space="preserve">St. Dev. </t>
  </si>
  <si>
    <t>early conf</t>
  </si>
  <si>
    <t>limits</t>
  </si>
  <si>
    <t>are guesses</t>
  </si>
  <si>
    <t>Spring 2012</t>
  </si>
  <si>
    <t>Fall 2012</t>
  </si>
  <si>
    <t>11/12</t>
  </si>
  <si>
    <t>Guesses from MNA</t>
  </si>
  <si>
    <t>Spring 2013</t>
  </si>
  <si>
    <t>Fall 2013</t>
  </si>
  <si>
    <t>12/13</t>
  </si>
  <si>
    <t>Average Silver and Sulphur</t>
  </si>
  <si>
    <t>SE</t>
  </si>
  <si>
    <t>Log(10) Finite rate of increase t to t+1</t>
  </si>
  <si>
    <t>slope</t>
  </si>
  <si>
    <t>1989 cycle</t>
  </si>
  <si>
    <t>1993 cycle</t>
  </si>
  <si>
    <t>2001 cycle</t>
  </si>
  <si>
    <t>Standardized Mean Tracks per 100 km</t>
  </si>
  <si>
    <t>Standardized Lower Conf. Limit</t>
  </si>
  <si>
    <t>Standardized Upper Confidence Limit</t>
  </si>
  <si>
    <t>Standardized</t>
  </si>
  <si>
    <t>Maximum =</t>
  </si>
  <si>
    <t>Max</t>
  </si>
  <si>
    <t>Min</t>
  </si>
  <si>
    <t>Max/Min</t>
  </si>
  <si>
    <t>Spring lower minus CL</t>
  </si>
  <si>
    <t>Spring upper minus CL</t>
  </si>
  <si>
    <t>Fall lower minus CL</t>
  </si>
  <si>
    <t xml:space="preserve">Spring </t>
  </si>
  <si>
    <t>1987-2000</t>
  </si>
  <si>
    <t>Spring 2014</t>
  </si>
  <si>
    <t>Fall 2014</t>
  </si>
  <si>
    <t>Growth 1987</t>
  </si>
  <si>
    <t>Growth 1988</t>
  </si>
  <si>
    <t>Growth 1989</t>
  </si>
  <si>
    <t>Growth 1990</t>
  </si>
  <si>
    <t>Growth 1991</t>
  </si>
  <si>
    <t>Growth 1992</t>
  </si>
  <si>
    <t>Growth 1993</t>
  </si>
  <si>
    <t>Growth 1994</t>
  </si>
  <si>
    <t>Growth 1995</t>
  </si>
  <si>
    <t>Growth 1996</t>
  </si>
  <si>
    <t>Growth 1997</t>
  </si>
  <si>
    <t>Growth 1998</t>
  </si>
  <si>
    <t>Growth 1999</t>
  </si>
  <si>
    <t>Growth 2000</t>
  </si>
  <si>
    <t>Growth 2001</t>
  </si>
  <si>
    <t>Growth 2002</t>
  </si>
  <si>
    <t>Growth 2003</t>
  </si>
  <si>
    <t>Growth 2004</t>
  </si>
  <si>
    <t>Growth 2005</t>
  </si>
  <si>
    <t>Growth 2006</t>
  </si>
  <si>
    <t>Growth 2007</t>
  </si>
  <si>
    <t>Growth 2008</t>
  </si>
  <si>
    <t>Growth 2011</t>
  </si>
  <si>
    <t>Growth 2012</t>
  </si>
  <si>
    <t>Growth 2013</t>
  </si>
  <si>
    <t>13/14</t>
  </si>
  <si>
    <t>Total No. of Segments</t>
  </si>
  <si>
    <t>Total Microtus</t>
  </si>
  <si>
    <t>average 2000-2013 =</t>
  </si>
  <si>
    <t>average 1993-1999 =</t>
  </si>
  <si>
    <t>virtually no large mushrooms</t>
  </si>
  <si>
    <t>these are</t>
  </si>
  <si>
    <t>all the</t>
  </si>
  <si>
    <t>controls</t>
  </si>
  <si>
    <t>trapped</t>
  </si>
  <si>
    <t xml:space="preserve">in 1990 </t>
  </si>
  <si>
    <t>to 1996</t>
  </si>
  <si>
    <t>spring</t>
  </si>
  <si>
    <t>Density 5</t>
  </si>
  <si>
    <t>estimates</t>
  </si>
  <si>
    <t>Confidence Limits GPC</t>
  </si>
  <si>
    <t xml:space="preserve">       Chitty Grid</t>
  </si>
  <si>
    <t xml:space="preserve">     Averaged CL</t>
  </si>
  <si>
    <t>Sum of C.L./2</t>
  </si>
  <si>
    <t>Sum of low+up conf limits/2</t>
  </si>
  <si>
    <t>200 m buffer in DENSITY 5</t>
  </si>
  <si>
    <t>Year ending winter</t>
  </si>
  <si>
    <t>Spring 2015</t>
  </si>
  <si>
    <t>Fall 2015</t>
  </si>
  <si>
    <t>Sqrt no berries</t>
  </si>
  <si>
    <t>Growth 2014</t>
  </si>
  <si>
    <t>Tree rings will be measured in 2014 to estimate tree growth</t>
  </si>
  <si>
    <t>Mean 97-2014</t>
  </si>
  <si>
    <t>14/15</t>
  </si>
  <si>
    <t>Estimated from snow track transects in winter by Liz Hofer and Peter Upton on 350 sq km study area</t>
  </si>
  <si>
    <t>Spring CL</t>
  </si>
  <si>
    <t>Fall CL</t>
  </si>
  <si>
    <t>Sigmaplot values</t>
  </si>
  <si>
    <t>Sigmaplot C.L. values</t>
  </si>
  <si>
    <t>Red bearberry</t>
  </si>
  <si>
    <t>2000-2015</t>
  </si>
  <si>
    <t>2005-2015</t>
  </si>
  <si>
    <t>15/16</t>
  </si>
  <si>
    <t>Present data are from Emily Lomax Directed Study project in 2011</t>
  </si>
  <si>
    <t>average (1987 to 2000)</t>
  </si>
  <si>
    <t>average(2001 to 2015</t>
  </si>
  <si>
    <t>1990-2000</t>
  </si>
  <si>
    <t>2001-2015</t>
  </si>
  <si>
    <t>Mean Density / ha</t>
  </si>
  <si>
    <t>1973-2000</t>
  </si>
  <si>
    <t>Spring 2016</t>
  </si>
  <si>
    <t>Fall 2016</t>
  </si>
  <si>
    <t>2000-15</t>
  </si>
  <si>
    <t>Average 1987 to 1999</t>
  </si>
  <si>
    <t>Average 2000 to 2015</t>
  </si>
  <si>
    <t>Sulphur Kloo Lloyd</t>
  </si>
  <si>
    <t>All Possible Grids</t>
  </si>
  <si>
    <t>Percent change:</t>
  </si>
  <si>
    <t>Average Densities</t>
  </si>
  <si>
    <t>Density</t>
  </si>
  <si>
    <t>Microtus oeconomus and pennsylvanicus</t>
  </si>
  <si>
    <t>All Microtus spp combined</t>
  </si>
  <si>
    <t>Winter decline t to T+1</t>
  </si>
  <si>
    <t>All Mic Winter decline t to t+1</t>
  </si>
  <si>
    <t>all season</t>
  </si>
  <si>
    <t>1976-1986</t>
  </si>
  <si>
    <t>1973-86</t>
  </si>
  <si>
    <t>Growth 2015</t>
  </si>
  <si>
    <t>(1987-2015)</t>
  </si>
  <si>
    <t>2000-2016</t>
  </si>
  <si>
    <t>Growth 2016</t>
  </si>
  <si>
    <t xml:space="preserve">CV = </t>
  </si>
  <si>
    <t>log(e)</t>
  </si>
  <si>
    <t>16/17</t>
  </si>
  <si>
    <t>(1997 to 2016)</t>
  </si>
  <si>
    <t>average per year =</t>
  </si>
  <si>
    <t>number of plots counted =</t>
  </si>
  <si>
    <t>Maximum wet wt per 10 m2 =</t>
  </si>
  <si>
    <t>Minimum wet wt per 10m2=</t>
  </si>
  <si>
    <t>some large mushrooms came out later in August after rains so this estimate is unreliable</t>
  </si>
  <si>
    <t>Spring 2017</t>
  </si>
  <si>
    <t>Fall 2017</t>
  </si>
  <si>
    <r>
      <t xml:space="preserve">          Cranberry -</t>
    </r>
    <r>
      <rPr>
        <b/>
        <i/>
        <sz val="10"/>
        <rFont val="Arial"/>
        <family val="2"/>
      </rPr>
      <t xml:space="preserve"> Vaccinium vitis-idaea</t>
    </r>
  </si>
  <si>
    <t>grams</t>
  </si>
  <si>
    <t>17/18</t>
  </si>
  <si>
    <t>using Rohner's conversion equation given below</t>
  </si>
  <si>
    <t>(spring is May, summer is August/September)</t>
  </si>
  <si>
    <t>Spring 2018</t>
  </si>
  <si>
    <t>Fall 2018</t>
  </si>
  <si>
    <t>2000-2017</t>
  </si>
  <si>
    <t>2005-2017</t>
  </si>
  <si>
    <t>spring 78</t>
  </si>
  <si>
    <t>fall 79</t>
  </si>
  <si>
    <t>`</t>
  </si>
  <si>
    <t>Berry All</t>
  </si>
  <si>
    <t>Species including</t>
  </si>
  <si>
    <t>Empetrum</t>
  </si>
  <si>
    <t>25 years</t>
  </si>
  <si>
    <t>to 2017 data incl</t>
  </si>
  <si>
    <t>All Mic Summer increase t</t>
  </si>
  <si>
    <t>inst rate</t>
  </si>
  <si>
    <t>virtually no mushrooms at all</t>
  </si>
  <si>
    <t>covers summer 2017 to summer 2018</t>
  </si>
  <si>
    <t>18/19</t>
  </si>
  <si>
    <t>Winter survival</t>
  </si>
  <si>
    <t>Berry All for uva ursi</t>
  </si>
  <si>
    <t>rubra and empetrum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</si>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</sst>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0.0000"/>
    <numFmt numFmtId="168" formatCode="#,##0.000"/>
  </numFmts>
  <fonts count="91" x14ac:knownFonts="1">
    <font>
      <sz val="10"/>
      <name val="Arial"/>
    </font>
    <font>
      <sz val="11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6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indexed="56"/>
      <name val="Arial"/>
      <family val="2"/>
    </font>
    <font>
      <sz val="8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i/>
      <sz val="8"/>
      <color indexed="10"/>
      <name val="Arial"/>
      <family val="2"/>
    </font>
    <font>
      <sz val="10"/>
      <color indexed="8"/>
      <name val="Arial"/>
      <family val="2"/>
    </font>
    <font>
      <b/>
      <sz val="8"/>
      <color indexed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color indexed="1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vertAlign val="superscript"/>
      <sz val="8"/>
      <name val="Arial"/>
      <family val="2"/>
    </font>
    <font>
      <i/>
      <vertAlign val="superscript"/>
      <sz val="8"/>
      <name val="Arial"/>
      <family val="2"/>
    </font>
    <font>
      <sz val="8"/>
      <color indexed="12"/>
      <name val="Arial"/>
      <family val="2"/>
    </font>
    <font>
      <b/>
      <sz val="12"/>
      <color indexed="10"/>
      <name val="Arial"/>
      <family val="2"/>
    </font>
    <font>
      <b/>
      <sz val="8"/>
      <color indexed="56"/>
      <name val="Arial"/>
      <family val="2"/>
    </font>
    <font>
      <sz val="10"/>
      <color indexed="8"/>
      <name val="Arial"/>
      <family val="2"/>
    </font>
    <font>
      <b/>
      <i/>
      <sz val="12"/>
      <name val="Arial"/>
      <family val="2"/>
    </font>
    <font>
      <b/>
      <i/>
      <sz val="11"/>
      <color indexed="10"/>
      <name val="Arial"/>
      <family val="2"/>
    </font>
    <font>
      <b/>
      <i/>
      <sz val="12"/>
      <color indexed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10"/>
      <name val="Arial"/>
      <family val="2"/>
    </font>
    <font>
      <sz val="8"/>
      <color indexed="51"/>
      <name val="Arial"/>
      <family val="2"/>
    </font>
    <font>
      <b/>
      <sz val="8"/>
      <color indexed="51"/>
      <name val="Arial"/>
      <family val="2"/>
    </font>
    <font>
      <sz val="10"/>
      <color indexed="10"/>
      <name val="Arial"/>
      <family val="2"/>
    </font>
    <font>
      <sz val="10"/>
      <color indexed="30"/>
      <name val="Arial"/>
      <family val="2"/>
    </font>
    <font>
      <sz val="10"/>
      <color indexed="62"/>
      <name val="Arial"/>
      <family val="2"/>
    </font>
    <font>
      <sz val="8"/>
      <color indexed="10"/>
      <name val="Arial"/>
      <family val="2"/>
    </font>
    <font>
      <sz val="8"/>
      <color indexed="6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9"/>
      <color rgb="FFFF0000"/>
      <name val="Arial"/>
      <family val="2"/>
    </font>
    <font>
      <b/>
      <sz val="8"/>
      <color theme="9" tint="-0.249977111117893"/>
      <name val="Arial"/>
      <family val="2"/>
    </font>
    <font>
      <b/>
      <sz val="10"/>
      <color rgb="FFB05408"/>
      <name val="Arial"/>
      <family val="2"/>
    </font>
    <font>
      <sz val="11"/>
      <color indexed="8"/>
      <name val="Calibri"/>
      <family val="2"/>
    </font>
    <font>
      <b/>
      <sz val="10"/>
      <color rgb="FF005A9E"/>
      <name val="Arial"/>
      <family val="2"/>
    </font>
    <font>
      <sz val="10"/>
      <color rgb="FF3333FF"/>
      <name val="Arial"/>
      <family val="2"/>
    </font>
    <font>
      <sz val="10"/>
      <color rgb="FF00B050"/>
      <name val="Arial"/>
      <family val="2"/>
    </font>
    <font>
      <b/>
      <sz val="10"/>
      <color indexed="81"/>
      <name val="Arial"/>
      <family val="2"/>
    </font>
    <font>
      <sz val="10"/>
      <color rgb="FF0000FF"/>
      <name val="Arial"/>
      <family val="2"/>
    </font>
    <font>
      <b/>
      <sz val="10"/>
      <color theme="9" tint="-0.249977111117893"/>
      <name val="Arial"/>
      <family val="2"/>
    </font>
    <font>
      <sz val="10"/>
      <color theme="1"/>
      <name val="Arial"/>
      <family val="2"/>
    </font>
    <font>
      <sz val="11"/>
      <color rgb="FF9C0006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/>
      <bottom style="hair">
        <color indexed="64"/>
      </bottom>
      <diagonal/>
    </border>
  </borders>
  <cellStyleXfs count="8"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90" fillId="19" borderId="0" applyNumberFormat="0" applyBorder="0" applyAlignment="0" applyProtection="0"/>
  </cellStyleXfs>
  <cellXfs count="644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6" xfId="0" applyFont="1" applyBorder="1"/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/>
    <xf numFmtId="1" fontId="0" fillId="0" borderId="4" xfId="0" applyNumberFormat="1" applyBorder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3" fillId="0" borderId="0" xfId="0" applyFont="1"/>
    <xf numFmtId="0" fontId="8" fillId="0" borderId="0" xfId="0" applyFont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1" fontId="0" fillId="2" borderId="9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5" borderId="9" xfId="0" applyFont="1" applyFill="1" applyBorder="1"/>
    <xf numFmtId="0" fontId="0" fillId="5" borderId="9" xfId="0" applyFill="1" applyBorder="1"/>
    <xf numFmtId="2" fontId="0" fillId="5" borderId="9" xfId="0" applyNumberFormat="1" applyFill="1" applyBorder="1" applyAlignment="1">
      <alignment horizontal="center"/>
    </xf>
    <xf numFmtId="0" fontId="2" fillId="6" borderId="9" xfId="0" applyFont="1" applyFill="1" applyBorder="1"/>
    <xf numFmtId="0" fontId="0" fillId="6" borderId="9" xfId="0" applyFill="1" applyBorder="1"/>
    <xf numFmtId="2" fontId="0" fillId="6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7" xfId="0" applyFill="1" applyBorder="1"/>
    <xf numFmtId="165" fontId="0" fillId="0" borderId="0" xfId="0" applyNumberFormat="1" applyAlignment="1">
      <alignment horizontal="center" vertical="top"/>
    </xf>
    <xf numFmtId="165" fontId="0" fillId="0" borderId="0" xfId="0" applyNumberFormat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6" fillId="7" borderId="17" xfId="0" applyFont="1" applyFill="1" applyBorder="1"/>
    <xf numFmtId="0" fontId="0" fillId="7" borderId="13" xfId="0" applyFill="1" applyBorder="1"/>
    <xf numFmtId="0" fontId="0" fillId="7" borderId="14" xfId="0" applyFill="1" applyBorder="1"/>
    <xf numFmtId="0" fontId="6" fillId="7" borderId="13" xfId="0" applyFont="1" applyFill="1" applyBorder="1"/>
    <xf numFmtId="0" fontId="2" fillId="7" borderId="13" xfId="0" applyFont="1" applyFill="1" applyBorder="1"/>
    <xf numFmtId="165" fontId="0" fillId="2" borderId="9" xfId="0" applyNumberFormat="1" applyFill="1" applyBorder="1" applyAlignment="1">
      <alignment horizontal="center" vertical="top"/>
    </xf>
    <xf numFmtId="0" fontId="0" fillId="2" borderId="18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top"/>
    </xf>
    <xf numFmtId="0" fontId="6" fillId="2" borderId="9" xfId="0" applyFont="1" applyFill="1" applyBorder="1" applyAlignment="1">
      <alignment horizontal="left"/>
    </xf>
    <xf numFmtId="165" fontId="0" fillId="2" borderId="9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 vertical="top"/>
    </xf>
    <xf numFmtId="1" fontId="0" fillId="3" borderId="9" xfId="0" applyNumberFormat="1" applyFill="1" applyBorder="1" applyAlignment="1">
      <alignment horizontal="center" vertical="top"/>
    </xf>
    <xf numFmtId="0" fontId="0" fillId="0" borderId="0" xfId="0" applyFill="1" applyBorder="1"/>
    <xf numFmtId="1" fontId="8" fillId="2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4" fontId="6" fillId="2" borderId="9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2" fillId="3" borderId="17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8" fillId="0" borderId="10" xfId="0" applyFont="1" applyBorder="1"/>
    <xf numFmtId="0" fontId="8" fillId="0" borderId="0" xfId="0" applyFont="1" applyAlignment="1">
      <alignment horizontal="left"/>
    </xf>
    <xf numFmtId="0" fontId="2" fillId="8" borderId="17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2" fillId="2" borderId="17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10" fillId="0" borderId="0" xfId="0" applyFont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1" fontId="8" fillId="0" borderId="0" xfId="0" applyNumberFormat="1" applyFont="1"/>
    <xf numFmtId="0" fontId="9" fillId="0" borderId="0" xfId="0" applyFont="1"/>
    <xf numFmtId="0" fontId="6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" fontId="0" fillId="0" borderId="0" xfId="0" applyNumberFormat="1"/>
    <xf numFmtId="1" fontId="0" fillId="0" borderId="0" xfId="0" quotePrefix="1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quotePrefix="1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8" fillId="0" borderId="31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3" fillId="0" borderId="0" xfId="0" applyFont="1"/>
    <xf numFmtId="0" fontId="0" fillId="3" borderId="0" xfId="0" applyFill="1"/>
    <xf numFmtId="0" fontId="14" fillId="3" borderId="0" xfId="0" applyFont="1" applyFill="1"/>
    <xf numFmtId="164" fontId="0" fillId="2" borderId="7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6" fillId="0" borderId="0" xfId="0" applyFont="1"/>
    <xf numFmtId="0" fontId="7" fillId="3" borderId="13" xfId="0" applyFont="1" applyFill="1" applyBorder="1"/>
    <xf numFmtId="0" fontId="7" fillId="3" borderId="14" xfId="0" applyFont="1" applyFill="1" applyBorder="1"/>
    <xf numFmtId="2" fontId="0" fillId="6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12" borderId="9" xfId="0" applyFont="1" applyFill="1" applyBorder="1"/>
    <xf numFmtId="0" fontId="0" fillId="12" borderId="9" xfId="0" applyFill="1" applyBorder="1"/>
    <xf numFmtId="0" fontId="0" fillId="12" borderId="7" xfId="0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6" fillId="12" borderId="9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164" fontId="6" fillId="12" borderId="8" xfId="0" applyNumberFormat="1" applyFont="1" applyFill="1" applyBorder="1" applyAlignment="1">
      <alignment horizontal="center"/>
    </xf>
    <xf numFmtId="164" fontId="6" fillId="12" borderId="9" xfId="0" applyNumberFormat="1" applyFont="1" applyFill="1" applyBorder="1" applyAlignment="1">
      <alignment horizontal="center"/>
    </xf>
    <xf numFmtId="164" fontId="10" fillId="12" borderId="9" xfId="0" applyNumberFormat="1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9" fillId="0" borderId="0" xfId="0" applyFont="1"/>
    <xf numFmtId="0" fontId="20" fillId="0" borderId="2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/>
    <xf numFmtId="0" fontId="23" fillId="0" borderId="0" xfId="0" applyFont="1"/>
    <xf numFmtId="2" fontId="21" fillId="3" borderId="9" xfId="0" applyNumberFormat="1" applyFont="1" applyFill="1" applyBorder="1" applyAlignment="1">
      <alignment horizontal="center"/>
    </xf>
    <xf numFmtId="0" fontId="14" fillId="0" borderId="0" xfId="0" applyFont="1"/>
    <xf numFmtId="0" fontId="20" fillId="0" borderId="0" xfId="0" applyFont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/>
    <xf numFmtId="165" fontId="0" fillId="0" borderId="4" xfId="0" applyNumberFormat="1" applyBorder="1" applyAlignment="1"/>
    <xf numFmtId="2" fontId="0" fillId="2" borderId="33" xfId="0" applyNumberFormat="1" applyFill="1" applyBorder="1" applyAlignment="1">
      <alignment horizontal="center"/>
    </xf>
    <xf numFmtId="2" fontId="0" fillId="11" borderId="34" xfId="0" applyNumberFormat="1" applyFill="1" applyBorder="1" applyAlignment="1">
      <alignment horizontal="center"/>
    </xf>
    <xf numFmtId="2" fontId="0" fillId="11" borderId="30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18" fillId="2" borderId="36" xfId="0" applyFont="1" applyFill="1" applyBorder="1" applyAlignment="1">
      <alignment horizontal="center"/>
    </xf>
    <xf numFmtId="164" fontId="10" fillId="12" borderId="28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36" xfId="0" applyFont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0" borderId="37" xfId="0" applyBorder="1"/>
    <xf numFmtId="0" fontId="0" fillId="0" borderId="25" xfId="0" applyBorder="1"/>
    <xf numFmtId="0" fontId="6" fillId="0" borderId="21" xfId="0" applyFont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6" fillId="0" borderId="22" xfId="0" applyFont="1" applyBorder="1"/>
    <xf numFmtId="0" fontId="0" fillId="0" borderId="38" xfId="0" applyBorder="1"/>
    <xf numFmtId="0" fontId="0" fillId="0" borderId="16" xfId="0" applyBorder="1"/>
    <xf numFmtId="0" fontId="0" fillId="0" borderId="10" xfId="0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0" fillId="0" borderId="2" xfId="0" applyFill="1" applyBorder="1"/>
    <xf numFmtId="2" fontId="19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12" borderId="7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5" fillId="0" borderId="0" xfId="0" applyFont="1"/>
    <xf numFmtId="0" fontId="14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7" fillId="0" borderId="38" xfId="0" applyNumberFormat="1" applyFont="1" applyBorder="1" applyAlignment="1">
      <alignment horizontal="left"/>
    </xf>
    <xf numFmtId="166" fontId="0" fillId="0" borderId="16" xfId="0" applyNumberFormat="1" applyBorder="1" applyAlignment="1">
      <alignment horizontal="center"/>
    </xf>
    <xf numFmtId="164" fontId="27" fillId="0" borderId="37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165" fontId="0" fillId="0" borderId="16" xfId="0" applyNumberFormat="1" applyBorder="1"/>
    <xf numFmtId="166" fontId="0" fillId="0" borderId="25" xfId="0" applyNumberFormat="1" applyBorder="1"/>
    <xf numFmtId="2" fontId="0" fillId="0" borderId="16" xfId="0" applyNumberFormat="1" applyBorder="1"/>
    <xf numFmtId="0" fontId="27" fillId="0" borderId="38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2" fontId="0" fillId="0" borderId="0" xfId="0" applyNumberFormat="1" applyBorder="1"/>
    <xf numFmtId="10" fontId="29" fillId="0" borderId="2" xfId="0" applyNumberFormat="1" applyFont="1" applyBorder="1"/>
    <xf numFmtId="2" fontId="30" fillId="0" borderId="16" xfId="0" applyNumberFormat="1" applyFont="1" applyBorder="1"/>
    <xf numFmtId="10" fontId="31" fillId="0" borderId="2" xfId="0" applyNumberFormat="1" applyFont="1" applyBorder="1"/>
    <xf numFmtId="0" fontId="26" fillId="0" borderId="14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2" fontId="30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10" fontId="3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14" xfId="0" applyFont="1" applyFill="1" applyBorder="1"/>
    <xf numFmtId="0" fontId="27" fillId="0" borderId="0" xfId="0" applyFont="1"/>
    <xf numFmtId="0" fontId="8" fillId="0" borderId="0" xfId="0" applyFont="1" applyBorder="1"/>
    <xf numFmtId="0" fontId="6" fillId="0" borderId="2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23" fillId="0" borderId="0" xfId="0" applyFont="1" applyAlignment="1">
      <alignment wrapText="1"/>
    </xf>
    <xf numFmtId="0" fontId="28" fillId="0" borderId="0" xfId="0" applyFont="1"/>
    <xf numFmtId="165" fontId="0" fillId="0" borderId="0" xfId="0" applyNumberFormat="1" applyFill="1" applyBorder="1" applyAlignment="1">
      <alignment horizontal="center"/>
    </xf>
    <xf numFmtId="0" fontId="34" fillId="0" borderId="0" xfId="0" applyFont="1"/>
    <xf numFmtId="0" fontId="35" fillId="0" borderId="1" xfId="1" applyFont="1" applyFill="1" applyBorder="1" applyAlignment="1">
      <alignment wrapText="1"/>
    </xf>
    <xf numFmtId="0" fontId="35" fillId="13" borderId="39" xfId="1" applyFont="1" applyFill="1" applyBorder="1" applyAlignment="1">
      <alignment horizontal="center" wrapText="1"/>
    </xf>
    <xf numFmtId="0" fontId="35" fillId="13" borderId="39" xfId="1" applyFont="1" applyFill="1" applyBorder="1" applyAlignment="1">
      <alignment horizontal="left" wrapText="1"/>
    </xf>
    <xf numFmtId="0" fontId="35" fillId="0" borderId="1" xfId="1" applyFont="1" applyFill="1" applyBorder="1" applyAlignment="1">
      <alignment horizontal="center" wrapText="1"/>
    </xf>
    <xf numFmtId="2" fontId="35" fillId="0" borderId="1" xfId="1" applyNumberFormat="1" applyFont="1" applyFill="1" applyBorder="1" applyAlignment="1">
      <alignment horizontal="center" wrapText="1"/>
    </xf>
    <xf numFmtId="0" fontId="35" fillId="0" borderId="1" xfId="1" quotePrefix="1" applyFont="1" applyFill="1" applyBorder="1" applyAlignment="1">
      <alignment wrapText="1"/>
    </xf>
    <xf numFmtId="0" fontId="35" fillId="0" borderId="1" xfId="2" applyFont="1" applyFill="1" applyBorder="1" applyAlignment="1">
      <alignment wrapText="1"/>
    </xf>
    <xf numFmtId="0" fontId="35" fillId="0" borderId="1" xfId="2" applyFont="1" applyFill="1" applyBorder="1" applyAlignment="1">
      <alignment horizontal="center" wrapText="1"/>
    </xf>
    <xf numFmtId="2" fontId="35" fillId="0" borderId="1" xfId="2" applyNumberFormat="1" applyFont="1" applyFill="1" applyBorder="1" applyAlignment="1">
      <alignment horizontal="center" wrapText="1"/>
    </xf>
    <xf numFmtId="0" fontId="35" fillId="13" borderId="40" xfId="1" applyFont="1" applyFill="1" applyBorder="1" applyAlignment="1">
      <alignment horizontal="center" wrapText="1"/>
    </xf>
    <xf numFmtId="0" fontId="35" fillId="13" borderId="41" xfId="1" applyFont="1" applyFill="1" applyBorder="1" applyAlignment="1">
      <alignment horizontal="center" wrapText="1"/>
    </xf>
    <xf numFmtId="0" fontId="35" fillId="13" borderId="42" xfId="1" applyFont="1" applyFill="1" applyBorder="1" applyAlignment="1">
      <alignment horizontal="center" wrapText="1"/>
    </xf>
    <xf numFmtId="0" fontId="35" fillId="0" borderId="1" xfId="3" applyFont="1" applyFill="1" applyBorder="1" applyAlignment="1">
      <alignment wrapText="1"/>
    </xf>
    <xf numFmtId="0" fontId="35" fillId="0" borderId="1" xfId="3" applyFont="1" applyFill="1" applyBorder="1" applyAlignment="1">
      <alignment horizontal="right" wrapText="1"/>
    </xf>
    <xf numFmtId="0" fontId="35" fillId="0" borderId="1" xfId="3" applyFont="1" applyFill="1" applyBorder="1" applyAlignment="1">
      <alignment horizontal="center" wrapText="1"/>
    </xf>
    <xf numFmtId="2" fontId="35" fillId="0" borderId="1" xfId="3" applyNumberFormat="1" applyFont="1" applyFill="1" applyBorder="1" applyAlignment="1">
      <alignment horizontal="center" wrapText="1"/>
    </xf>
    <xf numFmtId="0" fontId="35" fillId="0" borderId="1" xfId="5" applyFont="1" applyFill="1" applyBorder="1" applyAlignment="1">
      <alignment wrapText="1"/>
    </xf>
    <xf numFmtId="0" fontId="35" fillId="0" borderId="1" xfId="5" applyFont="1" applyFill="1" applyBorder="1" applyAlignment="1">
      <alignment horizontal="right" wrapText="1"/>
    </xf>
    <xf numFmtId="0" fontId="35" fillId="0" borderId="1" xfId="5" applyFont="1" applyFill="1" applyBorder="1" applyAlignment="1">
      <alignment horizontal="center" wrapText="1"/>
    </xf>
    <xf numFmtId="2" fontId="35" fillId="0" borderId="1" xfId="5" applyNumberFormat="1" applyFont="1" applyFill="1" applyBorder="1" applyAlignment="1">
      <alignment horizontal="center" wrapText="1"/>
    </xf>
    <xf numFmtId="0" fontId="8" fillId="0" borderId="0" xfId="0" applyFont="1" applyFill="1"/>
    <xf numFmtId="1" fontId="15" fillId="0" borderId="0" xfId="0" applyNumberFormat="1" applyFont="1" applyAlignment="1">
      <alignment horizontal="center"/>
    </xf>
    <xf numFmtId="0" fontId="36" fillId="0" borderId="0" xfId="0" applyFont="1"/>
    <xf numFmtId="2" fontId="6" fillId="12" borderId="28" xfId="0" applyNumberFormat="1" applyFont="1" applyFill="1" applyBorder="1" applyAlignment="1">
      <alignment horizontal="center"/>
    </xf>
    <xf numFmtId="0" fontId="15" fillId="7" borderId="17" xfId="0" applyFont="1" applyFill="1" applyBorder="1"/>
    <xf numFmtId="0" fontId="15" fillId="7" borderId="13" xfId="0" applyFont="1" applyFill="1" applyBorder="1"/>
    <xf numFmtId="0" fontId="16" fillId="7" borderId="14" xfId="0" applyFont="1" applyFill="1" applyBorder="1"/>
    <xf numFmtId="0" fontId="37" fillId="7" borderId="17" xfId="0" applyFont="1" applyFill="1" applyBorder="1"/>
    <xf numFmtId="0" fontId="0" fillId="0" borderId="0" xfId="0" applyAlignment="1">
      <alignment wrapText="1"/>
    </xf>
    <xf numFmtId="0" fontId="29" fillId="0" borderId="36" xfId="0" applyFont="1" applyBorder="1" applyAlignment="1">
      <alignment horizontal="center" wrapText="1"/>
    </xf>
    <xf numFmtId="0" fontId="0" fillId="0" borderId="14" xfId="0" applyBorder="1"/>
    <xf numFmtId="0" fontId="0" fillId="10" borderId="17" xfId="0" applyFill="1" applyBorder="1"/>
    <xf numFmtId="0" fontId="17" fillId="10" borderId="13" xfId="0" applyFont="1" applyFill="1" applyBorder="1"/>
    <xf numFmtId="0" fontId="29" fillId="0" borderId="24" xfId="0" applyFont="1" applyBorder="1" applyAlignment="1">
      <alignment horizontal="center" wrapText="1"/>
    </xf>
    <xf numFmtId="0" fontId="39" fillId="0" borderId="24" xfId="0" applyFont="1" applyBorder="1" applyAlignment="1">
      <alignment horizontal="center" wrapText="1"/>
    </xf>
    <xf numFmtId="0" fontId="33" fillId="0" borderId="24" xfId="0" applyFont="1" applyBorder="1" applyAlignment="1">
      <alignment horizontal="center" wrapText="1"/>
    </xf>
    <xf numFmtId="0" fontId="0" fillId="12" borderId="17" xfId="0" applyFill="1" applyBorder="1"/>
    <xf numFmtId="0" fontId="17" fillId="12" borderId="13" xfId="0" applyFont="1" applyFill="1" applyBorder="1"/>
    <xf numFmtId="0" fontId="0" fillId="12" borderId="14" xfId="0" applyFill="1" applyBorder="1"/>
    <xf numFmtId="0" fontId="38" fillId="0" borderId="0" xfId="0" applyFont="1"/>
    <xf numFmtId="0" fontId="24" fillId="7" borderId="17" xfId="0" applyFont="1" applyFill="1" applyBorder="1"/>
    <xf numFmtId="0" fontId="1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43" xfId="0" applyBorder="1"/>
    <xf numFmtId="0" fontId="0" fillId="0" borderId="3" xfId="0" applyBorder="1"/>
    <xf numFmtId="0" fontId="0" fillId="0" borderId="6" xfId="0" applyBorder="1"/>
    <xf numFmtId="0" fontId="0" fillId="12" borderId="13" xfId="0" applyFill="1" applyBorder="1"/>
    <xf numFmtId="0" fontId="37" fillId="3" borderId="17" xfId="0" applyFont="1" applyFill="1" applyBorder="1"/>
    <xf numFmtId="0" fontId="35" fillId="0" borderId="44" xfId="1" applyFont="1" applyFill="1" applyBorder="1" applyAlignment="1">
      <alignment horizontal="center" wrapText="1"/>
    </xf>
    <xf numFmtId="2" fontId="35" fillId="0" borderId="44" xfId="1" applyNumberFormat="1" applyFont="1" applyFill="1" applyBorder="1" applyAlignment="1">
      <alignment horizontal="center" wrapText="1"/>
    </xf>
    <xf numFmtId="0" fontId="35" fillId="0" borderId="44" xfId="2" applyFont="1" applyFill="1" applyBorder="1" applyAlignment="1">
      <alignment horizontal="center" wrapText="1"/>
    </xf>
    <xf numFmtId="2" fontId="35" fillId="0" borderId="44" xfId="2" applyNumberFormat="1" applyFont="1" applyFill="1" applyBorder="1" applyAlignment="1">
      <alignment horizontal="center" wrapText="1"/>
    </xf>
    <xf numFmtId="0" fontId="35" fillId="0" borderId="44" xfId="3" applyFont="1" applyFill="1" applyBorder="1" applyAlignment="1">
      <alignment horizontal="center" wrapText="1"/>
    </xf>
    <xf numFmtId="2" fontId="35" fillId="0" borderId="44" xfId="3" applyNumberFormat="1" applyFont="1" applyFill="1" applyBorder="1" applyAlignment="1">
      <alignment horizontal="center" wrapText="1"/>
    </xf>
    <xf numFmtId="0" fontId="35" fillId="0" borderId="44" xfId="5" applyFont="1" applyFill="1" applyBorder="1" applyAlignment="1">
      <alignment horizontal="center" wrapText="1"/>
    </xf>
    <xf numFmtId="2" fontId="35" fillId="0" borderId="44" xfId="5" applyNumberFormat="1" applyFont="1" applyFill="1" applyBorder="1" applyAlignment="1">
      <alignment horizontal="center" wrapText="1"/>
    </xf>
    <xf numFmtId="0" fontId="37" fillId="9" borderId="17" xfId="0" applyFont="1" applyFill="1" applyBorder="1"/>
    <xf numFmtId="0" fontId="41" fillId="10" borderId="17" xfId="0" applyFont="1" applyFill="1" applyBorder="1"/>
    <xf numFmtId="0" fontId="41" fillId="3" borderId="17" xfId="0" applyFont="1" applyFill="1" applyBorder="1"/>
    <xf numFmtId="1" fontId="37" fillId="3" borderId="17" xfId="0" applyNumberFormat="1" applyFont="1" applyFill="1" applyBorder="1"/>
    <xf numFmtId="0" fontId="42" fillId="0" borderId="0" xfId="0" applyFont="1"/>
    <xf numFmtId="0" fontId="37" fillId="6" borderId="17" xfId="0" applyFont="1" applyFill="1" applyBorder="1"/>
    <xf numFmtId="0" fontId="41" fillId="7" borderId="17" xfId="0" applyFont="1" applyFill="1" applyBorder="1"/>
    <xf numFmtId="0" fontId="37" fillId="8" borderId="17" xfId="0" applyFont="1" applyFill="1" applyBorder="1"/>
    <xf numFmtId="0" fontId="37" fillId="14" borderId="17" xfId="0" applyFont="1" applyFill="1" applyBorder="1"/>
    <xf numFmtId="0" fontId="0" fillId="14" borderId="13" xfId="0" applyFill="1" applyBorder="1"/>
    <xf numFmtId="0" fontId="0" fillId="14" borderId="14" xfId="0" applyFill="1" applyBorder="1"/>
    <xf numFmtId="0" fontId="43" fillId="0" borderId="0" xfId="0" applyFont="1"/>
    <xf numFmtId="0" fontId="0" fillId="9" borderId="0" xfId="0" applyFill="1" applyBorder="1"/>
    <xf numFmtId="1" fontId="0" fillId="0" borderId="0" xfId="0" applyNumberFormat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46" fillId="0" borderId="0" xfId="0" applyFont="1"/>
    <xf numFmtId="49" fontId="0" fillId="0" borderId="0" xfId="0" applyNumberFormat="1" applyBorder="1" applyAlignment="1">
      <alignment horizontal="center"/>
    </xf>
    <xf numFmtId="165" fontId="0" fillId="3" borderId="45" xfId="0" applyNumberFormat="1" applyFill="1" applyBorder="1" applyAlignment="1">
      <alignment horizontal="center"/>
    </xf>
    <xf numFmtId="165" fontId="0" fillId="4" borderId="45" xfId="0" applyNumberFormat="1" applyFill="1" applyBorder="1" applyAlignment="1">
      <alignment horizontal="center"/>
    </xf>
    <xf numFmtId="165" fontId="0" fillId="5" borderId="45" xfId="0" applyNumberFormat="1" applyFill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0" fontId="47" fillId="0" borderId="17" xfId="0" applyFont="1" applyBorder="1"/>
    <xf numFmtId="0" fontId="48" fillId="0" borderId="0" xfId="0" applyFont="1"/>
    <xf numFmtId="0" fontId="20" fillId="0" borderId="0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9" fontId="0" fillId="0" borderId="0" xfId="0" applyNumberFormat="1"/>
    <xf numFmtId="165" fontId="0" fillId="0" borderId="6" xfId="0" applyNumberFormat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" fontId="7" fillId="2" borderId="9" xfId="0" applyNumberFormat="1" applyFont="1" applyFill="1" applyBorder="1" applyAlignment="1">
      <alignment horizontal="center"/>
    </xf>
    <xf numFmtId="165" fontId="0" fillId="0" borderId="6" xfId="0" applyNumberFormat="1" applyBorder="1"/>
    <xf numFmtId="2" fontId="15" fillId="0" borderId="0" xfId="0" applyNumberFormat="1" applyFont="1" applyAlignment="1">
      <alignment horizontal="center"/>
    </xf>
    <xf numFmtId="4" fontId="0" fillId="0" borderId="0" xfId="0" applyNumberFormat="1"/>
    <xf numFmtId="0" fontId="49" fillId="0" borderId="0" xfId="0" applyFont="1" applyAlignment="1">
      <alignment horizontal="center"/>
    </xf>
    <xf numFmtId="2" fontId="49" fillId="0" borderId="0" xfId="0" applyNumberFormat="1" applyFont="1" applyAlignment="1">
      <alignment horizontal="center"/>
    </xf>
    <xf numFmtId="1" fontId="0" fillId="0" borderId="4" xfId="0" applyNumberFormat="1" applyFill="1" applyBorder="1" applyAlignment="1">
      <alignment horizontal="center"/>
    </xf>
    <xf numFmtId="2" fontId="3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4" fontId="21" fillId="0" borderId="0" xfId="0" applyNumberFormat="1" applyFont="1" applyAlignment="1">
      <alignment horizontal="center"/>
    </xf>
    <xf numFmtId="2" fontId="38" fillId="0" borderId="0" xfId="0" applyNumberFormat="1" applyFont="1" applyBorder="1" applyAlignment="1">
      <alignment horizontal="center"/>
    </xf>
    <xf numFmtId="4" fontId="38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2" fontId="28" fillId="0" borderId="6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36" xfId="0" applyFont="1" applyBorder="1" applyAlignment="1">
      <alignment horizontal="center" wrapText="1"/>
    </xf>
    <xf numFmtId="0" fontId="6" fillId="8" borderId="36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50" fillId="2" borderId="17" xfId="0" applyFont="1" applyFill="1" applyBorder="1"/>
    <xf numFmtId="0" fontId="6" fillId="0" borderId="14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51" fillId="0" borderId="0" xfId="0" applyFont="1"/>
    <xf numFmtId="0" fontId="52" fillId="0" borderId="0" xfId="0" applyFont="1"/>
    <xf numFmtId="0" fontId="0" fillId="15" borderId="0" xfId="0" applyFill="1"/>
    <xf numFmtId="164" fontId="21" fillId="2" borderId="9" xfId="0" applyNumberFormat="1" applyFont="1" applyFill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0" applyNumberFormat="1" applyFont="1"/>
    <xf numFmtId="17" fontId="28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49" fontId="0" fillId="0" borderId="10" xfId="0" applyNumberFormat="1" applyBorder="1"/>
    <xf numFmtId="0" fontId="35" fillId="0" borderId="0" xfId="1" applyFont="1" applyFill="1" applyBorder="1" applyAlignment="1">
      <alignment horizontal="center" wrapText="1"/>
    </xf>
    <xf numFmtId="2" fontId="35" fillId="0" borderId="0" xfId="1" applyNumberFormat="1" applyFont="1" applyFill="1" applyBorder="1" applyAlignment="1">
      <alignment horizontal="center" wrapText="1"/>
    </xf>
    <xf numFmtId="0" fontId="35" fillId="0" borderId="0" xfId="2" applyFont="1" applyFill="1" applyBorder="1" applyAlignment="1">
      <alignment horizontal="center" wrapText="1"/>
    </xf>
    <xf numFmtId="2" fontId="35" fillId="0" borderId="0" xfId="2" applyNumberFormat="1" applyFont="1" applyFill="1" applyBorder="1" applyAlignment="1">
      <alignment horizontal="center" wrapText="1"/>
    </xf>
    <xf numFmtId="2" fontId="25" fillId="0" borderId="0" xfId="0" applyNumberFormat="1" applyFont="1" applyAlignment="1">
      <alignment horizontal="center"/>
    </xf>
    <xf numFmtId="0" fontId="25" fillId="13" borderId="0" xfId="1" applyFont="1" applyFill="1" applyBorder="1" applyAlignment="1">
      <alignment horizontal="center" wrapText="1"/>
    </xf>
    <xf numFmtId="167" fontId="0" fillId="0" borderId="0" xfId="0" applyNumberFormat="1" applyAlignment="1">
      <alignment horizontal="center"/>
    </xf>
    <xf numFmtId="167" fontId="30" fillId="0" borderId="0" xfId="0" applyNumberFormat="1" applyFont="1" applyAlignment="1">
      <alignment horizontal="center"/>
    </xf>
    <xf numFmtId="2" fontId="53" fillId="2" borderId="0" xfId="0" applyNumberFormat="1" applyFont="1" applyFill="1" applyAlignment="1">
      <alignment horizontal="center"/>
    </xf>
    <xf numFmtId="2" fontId="53" fillId="2" borderId="2" xfId="0" applyNumberFormat="1" applyFont="1" applyFill="1" applyBorder="1" applyAlignment="1">
      <alignment horizontal="center"/>
    </xf>
    <xf numFmtId="2" fontId="54" fillId="2" borderId="0" xfId="0" applyNumberFormat="1" applyFont="1" applyFill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2" borderId="2" xfId="0" applyNumberFormat="1" applyFont="1" applyFill="1" applyBorder="1" applyAlignment="1">
      <alignment horizontal="center"/>
    </xf>
    <xf numFmtId="2" fontId="21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6" fillId="0" borderId="5" xfId="0" applyFont="1" applyFill="1" applyBorder="1" applyAlignment="1">
      <alignment horizontal="center" wrapText="1"/>
    </xf>
    <xf numFmtId="0" fontId="17" fillId="7" borderId="17" xfId="0" applyFont="1" applyFill="1" applyBorder="1"/>
    <xf numFmtId="0" fontId="5" fillId="0" borderId="0" xfId="0" applyFont="1" applyAlignment="1">
      <alignment horizontal="center"/>
    </xf>
    <xf numFmtId="164" fontId="55" fillId="0" borderId="0" xfId="0" applyNumberFormat="1" applyFont="1" applyAlignment="1">
      <alignment horizontal="center"/>
    </xf>
    <xf numFmtId="164" fontId="55" fillId="0" borderId="0" xfId="0" applyNumberFormat="1" applyFont="1"/>
    <xf numFmtId="2" fontId="19" fillId="0" borderId="0" xfId="0" applyNumberFormat="1" applyFont="1" applyAlignment="1">
      <alignment horizontal="center"/>
    </xf>
    <xf numFmtId="2" fontId="56" fillId="0" borderId="0" xfId="0" applyNumberFormat="1" applyFont="1" applyAlignment="1">
      <alignment horizontal="center"/>
    </xf>
    <xf numFmtId="0" fontId="58" fillId="0" borderId="0" xfId="0" applyFont="1"/>
    <xf numFmtId="0" fontId="29" fillId="0" borderId="0" xfId="0" applyFont="1"/>
    <xf numFmtId="2" fontId="33" fillId="0" borderId="0" xfId="0" applyNumberFormat="1" applyFont="1" applyAlignment="1">
      <alignment horizontal="center"/>
    </xf>
    <xf numFmtId="0" fontId="15" fillId="0" borderId="0" xfId="0" applyFont="1"/>
    <xf numFmtId="0" fontId="59" fillId="0" borderId="0" xfId="0" applyFont="1"/>
    <xf numFmtId="2" fontId="23" fillId="0" borderId="0" xfId="0" applyNumberFormat="1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166" fontId="0" fillId="0" borderId="0" xfId="0" applyNumberFormat="1" applyBorder="1"/>
    <xf numFmtId="0" fontId="60" fillId="0" borderId="0" xfId="0" applyFont="1"/>
    <xf numFmtId="0" fontId="6" fillId="11" borderId="26" xfId="0" applyFont="1" applyFill="1" applyBorder="1" applyAlignment="1">
      <alignment horizontal="center"/>
    </xf>
    <xf numFmtId="2" fontId="0" fillId="11" borderId="35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2" fontId="0" fillId="11" borderId="33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61" fillId="0" borderId="0" xfId="0" applyFont="1"/>
    <xf numFmtId="1" fontId="0" fillId="0" borderId="16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49" fontId="35" fillId="0" borderId="1" xfId="2" applyNumberFormat="1" applyFont="1" applyFill="1" applyBorder="1" applyAlignment="1">
      <alignment wrapText="1"/>
    </xf>
    <xf numFmtId="164" fontId="0" fillId="0" borderId="0" xfId="0" applyNumberFormat="1" applyFill="1" applyBorder="1" applyAlignment="1">
      <alignment horizontal="center"/>
    </xf>
    <xf numFmtId="2" fontId="63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2" xfId="0" applyFont="1" applyFill="1" applyBorder="1"/>
    <xf numFmtId="2" fontId="63" fillId="2" borderId="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166" fontId="64" fillId="0" borderId="0" xfId="0" applyNumberFormat="1" applyFont="1" applyAlignment="1">
      <alignment horizontal="center"/>
    </xf>
    <xf numFmtId="0" fontId="65" fillId="0" borderId="0" xfId="0" applyFont="1" applyAlignment="1">
      <alignment horizontal="left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164" fontId="66" fillId="0" borderId="0" xfId="0" applyNumberFormat="1" applyFont="1" applyAlignment="1">
      <alignment horizontal="center"/>
    </xf>
    <xf numFmtId="164" fontId="68" fillId="0" borderId="0" xfId="0" applyNumberFormat="1" applyFont="1" applyAlignment="1">
      <alignment horizontal="center"/>
    </xf>
    <xf numFmtId="0" fontId="66" fillId="0" borderId="22" xfId="0" applyFont="1" applyBorder="1" applyAlignment="1">
      <alignment horizontal="center"/>
    </xf>
    <xf numFmtId="0" fontId="66" fillId="0" borderId="23" xfId="0" applyFont="1" applyBorder="1"/>
    <xf numFmtId="0" fontId="67" fillId="0" borderId="22" xfId="0" applyFont="1" applyBorder="1" applyAlignment="1">
      <alignment horizontal="center"/>
    </xf>
    <xf numFmtId="0" fontId="67" fillId="0" borderId="23" xfId="0" applyFont="1" applyBorder="1" applyAlignment="1">
      <alignment horizontal="center"/>
    </xf>
    <xf numFmtId="164" fontId="70" fillId="0" borderId="24" xfId="0" applyNumberFormat="1" applyFont="1" applyBorder="1" applyAlignment="1">
      <alignment horizontal="center"/>
    </xf>
    <xf numFmtId="164" fontId="69" fillId="0" borderId="24" xfId="0" applyNumberFormat="1" applyFont="1" applyBorder="1" applyAlignment="1">
      <alignment horizontal="center"/>
    </xf>
    <xf numFmtId="164" fontId="69" fillId="0" borderId="0" xfId="0" applyNumberFormat="1" applyFont="1" applyAlignment="1">
      <alignment horizontal="center"/>
    </xf>
    <xf numFmtId="0" fontId="69" fillId="0" borderId="0" xfId="0" applyFont="1" applyFill="1" applyBorder="1" applyAlignment="1">
      <alignment horizontal="center" wrapText="1"/>
    </xf>
    <xf numFmtId="0" fontId="70" fillId="0" borderId="0" xfId="0" applyFont="1" applyFill="1" applyBorder="1" applyAlignment="1">
      <alignment horizontal="center" wrapText="1"/>
    </xf>
    <xf numFmtId="164" fontId="70" fillId="0" borderId="0" xfId="0" applyNumberFormat="1" applyFont="1" applyAlignment="1">
      <alignment horizontal="center"/>
    </xf>
    <xf numFmtId="0" fontId="70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69" fillId="0" borderId="0" xfId="0" applyFont="1"/>
    <xf numFmtId="2" fontId="69" fillId="0" borderId="0" xfId="0" applyNumberFormat="1" applyFont="1" applyAlignment="1">
      <alignment horizontal="center"/>
    </xf>
    <xf numFmtId="0" fontId="71" fillId="0" borderId="0" xfId="0" applyFont="1" applyBorder="1" applyAlignment="1">
      <alignment horizontal="center"/>
    </xf>
    <xf numFmtId="165" fontId="62" fillId="0" borderId="0" xfId="0" applyNumberFormat="1" applyFont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0" fillId="12" borderId="9" xfId="0" applyNumberFormat="1" applyFont="1" applyFill="1" applyBorder="1" applyAlignment="1">
      <alignment horizontal="center"/>
    </xf>
    <xf numFmtId="2" fontId="10" fillId="12" borderId="28" xfId="0" applyNumberFormat="1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/>
    </xf>
    <xf numFmtId="2" fontId="8" fillId="5" borderId="28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8" fillId="6" borderId="9" xfId="0" applyNumberFormat="1" applyFont="1" applyFill="1" applyBorder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2" fontId="6" fillId="6" borderId="9" xfId="0" applyNumberFormat="1" applyFont="1" applyFill="1" applyBorder="1" applyAlignment="1">
      <alignment horizontal="center"/>
    </xf>
    <xf numFmtId="2" fontId="6" fillId="6" borderId="28" xfId="0" applyNumberFormat="1" applyFont="1" applyFill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6" fillId="5" borderId="28" xfId="0" applyNumberFormat="1" applyFont="1" applyFill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49" fontId="5" fillId="0" borderId="0" xfId="0" applyNumberFormat="1" applyFont="1"/>
    <xf numFmtId="2" fontId="69" fillId="0" borderId="6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/>
    <xf numFmtId="2" fontId="21" fillId="0" borderId="36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2" fontId="74" fillId="2" borderId="0" xfId="0" applyNumberFormat="1" applyFont="1" applyFill="1" applyBorder="1" applyAlignment="1">
      <alignment horizontal="center"/>
    </xf>
    <xf numFmtId="2" fontId="74" fillId="2" borderId="2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2" xfId="0" applyFont="1" applyFill="1" applyBorder="1"/>
    <xf numFmtId="164" fontId="0" fillId="3" borderId="45" xfId="0" applyNumberFormat="1" applyFill="1" applyBorder="1" applyAlignment="1">
      <alignment horizontal="center"/>
    </xf>
    <xf numFmtId="0" fontId="5" fillId="0" borderId="10" xfId="0" applyFont="1" applyBorder="1"/>
    <xf numFmtId="0" fontId="74" fillId="0" borderId="0" xfId="0" applyFont="1" applyBorder="1" applyAlignment="1">
      <alignment horizontal="center"/>
    </xf>
    <xf numFmtId="2" fontId="74" fillId="0" borderId="0" xfId="0" applyNumberFormat="1" applyFont="1" applyAlignment="1">
      <alignment horizontal="center"/>
    </xf>
    <xf numFmtId="2" fontId="75" fillId="16" borderId="0" xfId="0" applyNumberFormat="1" applyFont="1" applyFill="1" applyBorder="1" applyAlignment="1">
      <alignment horizontal="center"/>
    </xf>
    <xf numFmtId="0" fontId="76" fillId="0" borderId="0" xfId="0" applyFont="1"/>
    <xf numFmtId="164" fontId="19" fillId="0" borderId="21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74" fillId="16" borderId="0" xfId="0" applyNumberFormat="1" applyFont="1" applyFill="1" applyBorder="1" applyAlignment="1">
      <alignment horizontal="center"/>
    </xf>
    <xf numFmtId="2" fontId="19" fillId="0" borderId="6" xfId="0" applyNumberFormat="1" applyFont="1" applyFill="1" applyBorder="1" applyAlignment="1">
      <alignment horizontal="center"/>
    </xf>
    <xf numFmtId="2" fontId="35" fillId="0" borderId="1" xfId="4" applyNumberFormat="1" applyFont="1" applyFill="1" applyBorder="1" applyAlignment="1">
      <alignment horizontal="center" wrapText="1"/>
    </xf>
    <xf numFmtId="2" fontId="35" fillId="0" borderId="0" xfId="4" applyNumberFormat="1" applyFont="1" applyFill="1" applyBorder="1" applyAlignment="1">
      <alignment horizontal="center" wrapText="1"/>
    </xf>
    <xf numFmtId="164" fontId="77" fillId="0" borderId="0" xfId="0" applyNumberFormat="1" applyFont="1" applyAlignment="1">
      <alignment horizontal="center"/>
    </xf>
    <xf numFmtId="164" fontId="77" fillId="0" borderId="47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167" fontId="0" fillId="0" borderId="0" xfId="0" applyNumberFormat="1"/>
    <xf numFmtId="0" fontId="35" fillId="13" borderId="0" xfId="1" applyFont="1" applyFill="1" applyBorder="1" applyAlignment="1">
      <alignment horizontal="center" wrapText="1"/>
    </xf>
    <xf numFmtId="0" fontId="5" fillId="0" borderId="0" xfId="0" applyFont="1" applyAlignment="1">
      <alignment horizontal="right"/>
    </xf>
    <xf numFmtId="2" fontId="78" fillId="0" borderId="1" xfId="2" applyNumberFormat="1" applyFont="1" applyFill="1" applyBorder="1" applyAlignment="1">
      <alignment horizontal="center" wrapText="1"/>
    </xf>
    <xf numFmtId="2" fontId="78" fillId="0" borderId="44" xfId="2" applyNumberFormat="1" applyFont="1" applyFill="1" applyBorder="1" applyAlignment="1">
      <alignment horizontal="center" wrapText="1"/>
    </xf>
    <xf numFmtId="2" fontId="78" fillId="0" borderId="0" xfId="0" applyNumberFormat="1" applyFont="1" applyAlignment="1">
      <alignment horizontal="center"/>
    </xf>
    <xf numFmtId="2" fontId="78" fillId="0" borderId="0" xfId="2" applyNumberFormat="1" applyFont="1" applyFill="1" applyBorder="1" applyAlignment="1">
      <alignment horizontal="center" wrapText="1"/>
    </xf>
    <xf numFmtId="0" fontId="79" fillId="0" borderId="0" xfId="0" applyFont="1"/>
    <xf numFmtId="0" fontId="35" fillId="13" borderId="48" xfId="1" applyFont="1" applyFill="1" applyBorder="1" applyAlignment="1">
      <alignment horizontal="center" wrapText="1"/>
    </xf>
    <xf numFmtId="167" fontId="25" fillId="0" borderId="36" xfId="0" applyNumberFormat="1" applyFont="1" applyBorder="1" applyAlignment="1">
      <alignment horizontal="center" wrapText="1"/>
    </xf>
    <xf numFmtId="2" fontId="75" fillId="0" borderId="0" xfId="0" applyNumberFormat="1" applyFont="1" applyAlignment="1">
      <alignment horizontal="left"/>
    </xf>
    <xf numFmtId="10" fontId="80" fillId="0" borderId="0" xfId="0" applyNumberFormat="1" applyFont="1" applyAlignment="1">
      <alignment horizontal="center"/>
    </xf>
    <xf numFmtId="10" fontId="81" fillId="0" borderId="0" xfId="0" applyNumberFormat="1" applyFont="1" applyAlignment="1">
      <alignment horizontal="center"/>
    </xf>
    <xf numFmtId="0" fontId="35" fillId="17" borderId="36" xfId="1" applyFont="1" applyFill="1" applyBorder="1" applyAlignment="1">
      <alignment horizontal="center" wrapText="1"/>
    </xf>
    <xf numFmtId="0" fontId="35" fillId="17" borderId="41" xfId="1" applyFont="1" applyFill="1" applyBorder="1" applyAlignment="1">
      <alignment horizontal="center" wrapText="1"/>
    </xf>
    <xf numFmtId="0" fontId="35" fillId="17" borderId="4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8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2" fillId="18" borderId="1" xfId="4" applyFont="1" applyFill="1" applyBorder="1" applyAlignment="1">
      <alignment horizontal="right" wrapText="1"/>
    </xf>
    <xf numFmtId="0" fontId="82" fillId="0" borderId="1" xfId="4" applyFont="1" applyFill="1" applyBorder="1" applyAlignment="1">
      <alignment horizontal="center" wrapText="1"/>
    </xf>
    <xf numFmtId="2" fontId="82" fillId="0" borderId="1" xfId="4" applyNumberFormat="1" applyFont="1" applyFill="1" applyBorder="1" applyAlignment="1">
      <alignment horizontal="center" wrapText="1"/>
    </xf>
    <xf numFmtId="2" fontId="78" fillId="0" borderId="1" xfId="3" applyNumberFormat="1" applyFont="1" applyFill="1" applyBorder="1" applyAlignment="1">
      <alignment horizontal="center" wrapText="1"/>
    </xf>
    <xf numFmtId="2" fontId="78" fillId="0" borderId="44" xfId="3" applyNumberFormat="1" applyFont="1" applyFill="1" applyBorder="1" applyAlignment="1">
      <alignment horizontal="center" wrapText="1"/>
    </xf>
    <xf numFmtId="0" fontId="74" fillId="0" borderId="1" xfId="1" applyFont="1" applyFill="1" applyBorder="1" applyAlignment="1">
      <alignment horizontal="center" wrapText="1"/>
    </xf>
    <xf numFmtId="0" fontId="74" fillId="0" borderId="1" xfId="1" quotePrefix="1" applyFont="1" applyFill="1" applyBorder="1" applyAlignment="1">
      <alignment horizontal="center" wrapText="1"/>
    </xf>
    <xf numFmtId="49" fontId="74" fillId="0" borderId="0" xfId="0" applyNumberFormat="1" applyFont="1" applyAlignment="1">
      <alignment horizontal="center"/>
    </xf>
    <xf numFmtId="49" fontId="74" fillId="0" borderId="1" xfId="3" applyNumberFormat="1" applyFont="1" applyFill="1" applyBorder="1" applyAlignment="1">
      <alignment horizontal="center" wrapText="1"/>
    </xf>
    <xf numFmtId="2" fontId="75" fillId="0" borderId="1" xfId="5" applyNumberFormat="1" applyFont="1" applyFill="1" applyBorder="1" applyAlignment="1">
      <alignment horizontal="center" wrapText="1"/>
    </xf>
    <xf numFmtId="2" fontId="75" fillId="0" borderId="44" xfId="5" applyNumberFormat="1" applyFont="1" applyFill="1" applyBorder="1" applyAlignment="1">
      <alignment horizontal="center" wrapText="1"/>
    </xf>
    <xf numFmtId="2" fontId="75" fillId="0" borderId="1" xfId="3" applyNumberFormat="1" applyFont="1" applyFill="1" applyBorder="1" applyAlignment="1">
      <alignment horizontal="center" wrapText="1"/>
    </xf>
    <xf numFmtId="2" fontId="75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35" fillId="0" borderId="0" xfId="5" applyFont="1" applyFill="1" applyBorder="1" applyAlignment="1">
      <alignment horizontal="center" wrapText="1"/>
    </xf>
    <xf numFmtId="2" fontId="75" fillId="0" borderId="1" xfId="4" applyNumberFormat="1" applyFont="1" applyFill="1" applyBorder="1" applyAlignment="1">
      <alignment horizontal="center" wrapText="1"/>
    </xf>
    <xf numFmtId="165" fontId="74" fillId="0" borderId="0" xfId="0" applyNumberFormat="1" applyFont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60" fillId="0" borderId="6" xfId="0" applyFont="1" applyBorder="1"/>
    <xf numFmtId="164" fontId="2" fillId="2" borderId="9" xfId="0" applyNumberFormat="1" applyFont="1" applyFill="1" applyBorder="1" applyAlignment="1">
      <alignment horizontal="center"/>
    </xf>
    <xf numFmtId="2" fontId="2" fillId="7" borderId="9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2" fontId="83" fillId="0" borderId="0" xfId="0" applyNumberFormat="1" applyFont="1" applyBorder="1" applyAlignment="1">
      <alignment horizontal="center"/>
    </xf>
    <xf numFmtId="2" fontId="75" fillId="16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/>
    <xf numFmtId="0" fontId="74" fillId="0" borderId="1" xfId="3" applyFont="1" applyFill="1" applyBorder="1" applyAlignment="1">
      <alignment horizontal="center" wrapText="1"/>
    </xf>
    <xf numFmtId="49" fontId="74" fillId="0" borderId="1" xfId="5" applyNumberFormat="1" applyFont="1" applyFill="1" applyBorder="1" applyAlignment="1">
      <alignment horizontal="center" wrapText="1"/>
    </xf>
    <xf numFmtId="167" fontId="10" fillId="0" borderId="0" xfId="0" applyNumberFormat="1" applyFont="1" applyFill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8" fillId="0" borderId="0" xfId="0" applyFont="1" applyFill="1" applyBorder="1"/>
    <xf numFmtId="0" fontId="59" fillId="0" borderId="9" xfId="0" applyFont="1" applyBorder="1"/>
    <xf numFmtId="0" fontId="29" fillId="0" borderId="9" xfId="0" applyFont="1" applyBorder="1"/>
    <xf numFmtId="0" fontId="0" fillId="0" borderId="9" xfId="0" applyBorder="1"/>
    <xf numFmtId="0" fontId="58" fillId="0" borderId="9" xfId="0" applyFont="1" applyBorder="1"/>
    <xf numFmtId="0" fontId="2" fillId="0" borderId="2" xfId="0" applyFont="1" applyBorder="1" applyAlignment="1">
      <alignment horizontal="center" wrapText="1"/>
    </xf>
    <xf numFmtId="0" fontId="60" fillId="0" borderId="0" xfId="0" applyFont="1" applyBorder="1"/>
    <xf numFmtId="164" fontId="0" fillId="3" borderId="28" xfId="0" applyNumberFormat="1" applyFill="1" applyBorder="1" applyAlignment="1">
      <alignment horizontal="center"/>
    </xf>
    <xf numFmtId="0" fontId="78" fillId="0" borderId="1" xfId="3" applyFont="1" applyFill="1" applyBorder="1" applyAlignment="1">
      <alignment horizontal="center" wrapText="1"/>
    </xf>
    <xf numFmtId="2" fontId="61" fillId="0" borderId="6" xfId="0" applyNumberFormat="1" applyFont="1" applyBorder="1" applyAlignment="1">
      <alignment horizontal="center"/>
    </xf>
    <xf numFmtId="2" fontId="2" fillId="16" borderId="0" xfId="0" applyNumberFormat="1" applyFont="1" applyFill="1" applyBorder="1" applyAlignment="1">
      <alignment horizontal="center"/>
    </xf>
    <xf numFmtId="164" fontId="0" fillId="16" borderId="9" xfId="0" applyNumberFormat="1" applyFill="1" applyBorder="1" applyAlignment="1">
      <alignment horizontal="center"/>
    </xf>
    <xf numFmtId="0" fontId="0" fillId="16" borderId="9" xfId="0" applyFill="1" applyBorder="1"/>
    <xf numFmtId="164" fontId="84" fillId="0" borderId="0" xfId="0" applyNumberFormat="1" applyFont="1" applyAlignment="1">
      <alignment horizontal="center"/>
    </xf>
    <xf numFmtId="0" fontId="2" fillId="0" borderId="20" xfId="0" applyFont="1" applyBorder="1"/>
    <xf numFmtId="0" fontId="21" fillId="0" borderId="38" xfId="0" applyFont="1" applyBorder="1"/>
    <xf numFmtId="2" fontId="21" fillId="0" borderId="16" xfId="0" applyNumberFormat="1" applyFont="1" applyBorder="1" applyAlignment="1">
      <alignment horizontal="center"/>
    </xf>
    <xf numFmtId="0" fontId="75" fillId="0" borderId="37" xfId="0" applyFont="1" applyBorder="1"/>
    <xf numFmtId="2" fontId="75" fillId="0" borderId="2" xfId="0" applyNumberFormat="1" applyFont="1" applyBorder="1" applyAlignment="1">
      <alignment horizontal="center"/>
    </xf>
    <xf numFmtId="2" fontId="75" fillId="0" borderId="25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5" fontId="74" fillId="0" borderId="0" xfId="0" applyNumberFormat="1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right" wrapText="1"/>
    </xf>
    <xf numFmtId="165" fontId="8" fillId="0" borderId="0" xfId="0" applyNumberFormat="1" applyFont="1" applyFill="1" applyBorder="1" applyAlignment="1">
      <alignment horizontal="center" wrapText="1"/>
    </xf>
    <xf numFmtId="2" fontId="0" fillId="3" borderId="9" xfId="0" applyNumberFormat="1" applyFill="1" applyBorder="1" applyAlignment="1">
      <alignment horizontal="center"/>
    </xf>
    <xf numFmtId="10" fontId="0" fillId="0" borderId="0" xfId="0" applyNumberFormat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77" fillId="0" borderId="9" xfId="0" applyNumberFormat="1" applyFont="1" applyBorder="1" applyAlignment="1">
      <alignment horizontal="center"/>
    </xf>
    <xf numFmtId="0" fontId="77" fillId="0" borderId="0" xfId="0" applyFont="1"/>
    <xf numFmtId="0" fontId="85" fillId="0" borderId="0" xfId="0" applyFont="1" applyAlignment="1">
      <alignment horizontal="center"/>
    </xf>
    <xf numFmtId="2" fontId="85" fillId="0" borderId="0" xfId="0" applyNumberFormat="1" applyFont="1" applyAlignment="1">
      <alignment horizontal="center"/>
    </xf>
    <xf numFmtId="0" fontId="8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9" fillId="0" borderId="20" xfId="0" applyFont="1" applyBorder="1" applyAlignment="1">
      <alignment horizontal="center"/>
    </xf>
    <xf numFmtId="1" fontId="35" fillId="0" borderId="0" xfId="1" applyNumberFormat="1" applyFont="1" applyFill="1" applyBorder="1" applyAlignment="1">
      <alignment horizontal="center" wrapText="1"/>
    </xf>
    <xf numFmtId="1" fontId="35" fillId="0" borderId="1" xfId="3" applyNumberFormat="1" applyFont="1" applyFill="1" applyBorder="1" applyAlignment="1">
      <alignment horizontal="center" wrapText="1"/>
    </xf>
    <xf numFmtId="2" fontId="28" fillId="0" borderId="0" xfId="0" applyNumberFormat="1" applyFont="1" applyBorder="1" applyAlignment="1">
      <alignment horizontal="center"/>
    </xf>
    <xf numFmtId="0" fontId="5" fillId="0" borderId="0" xfId="0" applyFont="1" applyBorder="1"/>
    <xf numFmtId="1" fontId="72" fillId="0" borderId="0" xfId="0" applyNumberFormat="1" applyFont="1" applyAlignment="1">
      <alignment horizontal="center"/>
    </xf>
    <xf numFmtId="0" fontId="72" fillId="0" borderId="0" xfId="0" applyFont="1" applyAlignment="1">
      <alignment horizontal="right"/>
    </xf>
    <xf numFmtId="164" fontId="77" fillId="0" borderId="0" xfId="0" applyNumberFormat="1" applyFont="1"/>
    <xf numFmtId="0" fontId="77" fillId="0" borderId="0" xfId="0" applyFont="1" applyAlignment="1">
      <alignment horizontal="right"/>
    </xf>
    <xf numFmtId="0" fontId="87" fillId="0" borderId="0" xfId="0" applyFont="1"/>
    <xf numFmtId="0" fontId="8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1" fontId="88" fillId="0" borderId="0" xfId="0" applyNumberFormat="1" applyFont="1" applyAlignment="1">
      <alignment horizontal="center"/>
    </xf>
    <xf numFmtId="164" fontId="21" fillId="2" borderId="8" xfId="0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74" fillId="0" borderId="1" xfId="5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left"/>
    </xf>
    <xf numFmtId="2" fontId="0" fillId="2" borderId="0" xfId="0" applyNumberFormat="1" applyFill="1" applyBorder="1" applyAlignment="1">
      <alignment horizontal="center"/>
    </xf>
    <xf numFmtId="2" fontId="2" fillId="16" borderId="2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47" xfId="0" applyBorder="1" applyAlignment="1">
      <alignment horizontal="center"/>
    </xf>
    <xf numFmtId="2" fontId="89" fillId="0" borderId="0" xfId="6" applyNumberFormat="1" applyFont="1" applyBorder="1" applyAlignment="1">
      <alignment horizontal="center"/>
    </xf>
    <xf numFmtId="2" fontId="89" fillId="0" borderId="2" xfId="6" applyNumberFormat="1" applyFont="1" applyBorder="1" applyAlignment="1">
      <alignment horizontal="center"/>
    </xf>
    <xf numFmtId="0" fontId="74" fillId="0" borderId="0" xfId="0" applyFont="1" applyAlignment="1">
      <alignment horizontal="center"/>
    </xf>
    <xf numFmtId="2" fontId="90" fillId="19" borderId="9" xfId="7" applyNumberFormat="1" applyBorder="1" applyAlignment="1">
      <alignment horizontal="center"/>
    </xf>
    <xf numFmtId="2" fontId="5" fillId="0" borderId="0" xfId="0" applyNumberFormat="1" applyFont="1" applyBorder="1" applyAlignment="1">
      <alignment horizontal="left"/>
    </xf>
    <xf numFmtId="2" fontId="2" fillId="16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75" fillId="0" borderId="1" xfId="5" applyFont="1" applyFill="1" applyBorder="1" applyAlignment="1">
      <alignment horizontal="center" wrapText="1"/>
    </xf>
    <xf numFmtId="0" fontId="87" fillId="0" borderId="0" xfId="0" applyFont="1" applyAlignment="1">
      <alignment horizontal="center"/>
    </xf>
    <xf numFmtId="2" fontId="87" fillId="0" borderId="0" xfId="0" applyNumberFormat="1" applyFont="1" applyAlignment="1">
      <alignment horizontal="center"/>
    </xf>
  </cellXfs>
  <cellStyles count="8">
    <cellStyle name="Bad" xfId="7" builtinId="27"/>
    <cellStyle name="Normal" xfId="0" builtinId="0"/>
    <cellStyle name="Normal 2" xfId="6" xr:uid="{00000000-0005-0000-0000-000034000000}"/>
    <cellStyle name="Normal_Coyote" xfId="1" xr:uid="{00000000-0005-0000-0000-000001000000}"/>
    <cellStyle name="Normal_Lynx Tracks" xfId="2" xr:uid="{00000000-0005-0000-0000-000002000000}"/>
    <cellStyle name="Normal_Marten Tracks" xfId="3" xr:uid="{00000000-0005-0000-0000-000003000000}"/>
    <cellStyle name="Normal_Sheet1" xfId="4" xr:uid="{00000000-0005-0000-0000-000004000000}"/>
    <cellStyle name="Normal_Weasel Tracks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999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B7D4F3"/>
      <rgbColor rgb="00E09D88"/>
      <rgbColor rgb="00CC99FF"/>
      <rgbColor rgb="00E3E3E3"/>
      <rgbColor rgb="003366FF"/>
      <rgbColor rgb="0033CCCC"/>
      <rgbColor rgb="00339933"/>
      <rgbColor rgb="00999933"/>
      <rgbColor rgb="0099FF33"/>
      <rgbColor rgb="0023E7A1"/>
      <rgbColor rgb="00666699"/>
      <rgbColor rgb="00969696"/>
      <rgbColor rgb="003333CC"/>
      <rgbColor rgb="00336666"/>
      <rgbColor rgb="00003300"/>
      <rgbColor rgb="00333300"/>
      <rgbColor rgb="00663300"/>
      <rgbColor rgb="00FF9933"/>
      <rgbColor rgb="00333399"/>
      <rgbColor rgb="00424242"/>
    </indexedColors>
    <mruColors>
      <color rgb="FF0000FF"/>
      <color rgb="FFFFFF99"/>
      <color rgb="FF005A9E"/>
      <color rgb="FFB054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Willow Complete Browse</a:t>
            </a:r>
          </a:p>
        </c:rich>
      </c:tx>
      <c:layout>
        <c:manualLayout>
          <c:xMode val="edge"/>
          <c:yMode val="edge"/>
          <c:x val="0.35228330597648305"/>
          <c:y val="3.3651184906234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504593951272"/>
          <c:y val="0.14125595333727753"/>
          <c:w val="0.63361603878385464"/>
          <c:h val="0.58968755123339223"/>
        </c:manualLayout>
      </c:layout>
      <c:lineChart>
        <c:grouping val="standard"/>
        <c:varyColors val="0"/>
        <c:ser>
          <c:idx val="0"/>
          <c:order val="0"/>
          <c:tx>
            <c:v>Complete Browse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Browse!$T$8:$T$27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2.5</c:v>
                  </c:pt>
                  <c:pt idx="2">
                    <c:v>2.7</c:v>
                  </c:pt>
                  <c:pt idx="3">
                    <c:v>2.3999999999999986</c:v>
                  </c:pt>
                  <c:pt idx="4">
                    <c:v>3.0999999999999996</c:v>
                  </c:pt>
                  <c:pt idx="5">
                    <c:v>0.89999999999999991</c:v>
                  </c:pt>
                  <c:pt idx="6">
                    <c:v>0.5</c:v>
                  </c:pt>
                  <c:pt idx="7">
                    <c:v>1</c:v>
                  </c:pt>
                  <c:pt idx="8">
                    <c:v>1.4</c:v>
                  </c:pt>
                  <c:pt idx="9">
                    <c:v>1.2000000000000002</c:v>
                  </c:pt>
                  <c:pt idx="10">
                    <c:v>1.7800000000000002</c:v>
                  </c:pt>
                  <c:pt idx="11">
                    <c:v>2.160000000000001</c:v>
                  </c:pt>
                  <c:pt idx="12">
                    <c:v>2.7100000000000009</c:v>
                  </c:pt>
                  <c:pt idx="13">
                    <c:v>1</c:v>
                  </c:pt>
                  <c:pt idx="14">
                    <c:v>0.56999999999999995</c:v>
                  </c:pt>
                  <c:pt idx="15">
                    <c:v>0</c:v>
                  </c:pt>
                  <c:pt idx="16">
                    <c:v>0.64999999999999991</c:v>
                  </c:pt>
                  <c:pt idx="17">
                    <c:v>0.83099999999999996</c:v>
                  </c:pt>
                  <c:pt idx="18">
                    <c:v>0.77999999999999992</c:v>
                  </c:pt>
                  <c:pt idx="19">
                    <c:v>1.3600000000000003</c:v>
                  </c:pt>
                </c:numCache>
              </c:numRef>
            </c:plus>
            <c:minus>
              <c:numRef>
                <c:f>Browse!$S$8:$S$27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1.5</c:v>
                  </c:pt>
                  <c:pt idx="2">
                    <c:v>2.2999999999999998</c:v>
                  </c:pt>
                  <c:pt idx="3">
                    <c:v>1.6000000000000014</c:v>
                  </c:pt>
                  <c:pt idx="4">
                    <c:v>1.9000000000000004</c:v>
                  </c:pt>
                  <c:pt idx="5">
                    <c:v>1.1000000000000001</c:v>
                  </c:pt>
                  <c:pt idx="6">
                    <c:v>0.5</c:v>
                  </c:pt>
                  <c:pt idx="7">
                    <c:v>0</c:v>
                  </c:pt>
                  <c:pt idx="8">
                    <c:v>0.6</c:v>
                  </c:pt>
                  <c:pt idx="9">
                    <c:v>0.79999999999999982</c:v>
                  </c:pt>
                  <c:pt idx="10">
                    <c:v>1.46</c:v>
                  </c:pt>
                  <c:pt idx="11">
                    <c:v>1.7999999999999998</c:v>
                  </c:pt>
                  <c:pt idx="12">
                    <c:v>2.3599999999999994</c:v>
                  </c:pt>
                  <c:pt idx="13">
                    <c:v>0.65000000000000013</c:v>
                  </c:pt>
                  <c:pt idx="14">
                    <c:v>0.13999999999999999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0.46500000000000002</c:v>
                  </c:pt>
                  <c:pt idx="18">
                    <c:v>0.41000000000000003</c:v>
                  </c:pt>
                  <c:pt idx="19">
                    <c:v>0.97999999999999976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Browse!$B$8:$B$28</c:f>
              <c:strCache>
                <c:ptCount val="21"/>
                <c:pt idx="0">
                  <c:v>1986-87</c:v>
                </c:pt>
                <c:pt idx="1">
                  <c:v>1987-88</c:v>
                </c:pt>
                <c:pt idx="2">
                  <c:v>1988-89</c:v>
                </c:pt>
                <c:pt idx="3">
                  <c:v>1989-90</c:v>
                </c:pt>
                <c:pt idx="4">
                  <c:v>1990-91</c:v>
                </c:pt>
                <c:pt idx="5">
                  <c:v>1991-92</c:v>
                </c:pt>
                <c:pt idx="6">
                  <c:v>1992-93</c:v>
                </c:pt>
                <c:pt idx="7">
                  <c:v>1993-94</c:v>
                </c:pt>
                <c:pt idx="8">
                  <c:v>1994-95</c:v>
                </c:pt>
                <c:pt idx="9">
                  <c:v>1995-96</c:v>
                </c:pt>
                <c:pt idx="10">
                  <c:v>1996-97</c:v>
                </c:pt>
                <c:pt idx="11">
                  <c:v>1997-98</c:v>
                </c:pt>
                <c:pt idx="12">
                  <c:v>1998-99</c:v>
                </c:pt>
                <c:pt idx="13">
                  <c:v>1999-00</c:v>
                </c:pt>
                <c:pt idx="14">
                  <c:v>2000-01</c:v>
                </c:pt>
                <c:pt idx="15">
                  <c:v>2001-02</c:v>
                </c:pt>
                <c:pt idx="16">
                  <c:v>2002-03</c:v>
                </c:pt>
                <c:pt idx="17">
                  <c:v>2003-04</c:v>
                </c:pt>
                <c:pt idx="18">
                  <c:v>2004-05</c:v>
                </c:pt>
                <c:pt idx="19">
                  <c:v>2005-06</c:v>
                </c:pt>
                <c:pt idx="20">
                  <c:v>2006-07</c:v>
                </c:pt>
              </c:strCache>
            </c:strRef>
          </c:cat>
          <c:val>
            <c:numRef>
              <c:f>Browse!$C$8:$C$28</c:f>
              <c:numCache>
                <c:formatCode>0.00</c:formatCode>
                <c:ptCount val="21"/>
                <c:pt idx="0">
                  <c:v>2</c:v>
                </c:pt>
                <c:pt idx="1">
                  <c:v>7.5</c:v>
                </c:pt>
                <c:pt idx="2">
                  <c:v>7.3</c:v>
                </c:pt>
                <c:pt idx="3">
                  <c:v>18.600000000000001</c:v>
                </c:pt>
                <c:pt idx="4">
                  <c:v>12.9</c:v>
                </c:pt>
                <c:pt idx="5">
                  <c:v>2.1</c:v>
                </c:pt>
                <c:pt idx="6">
                  <c:v>0.5</c:v>
                </c:pt>
                <c:pt idx="7">
                  <c:v>0</c:v>
                </c:pt>
                <c:pt idx="8">
                  <c:v>0.6</c:v>
                </c:pt>
                <c:pt idx="9">
                  <c:v>2.8</c:v>
                </c:pt>
                <c:pt idx="10">
                  <c:v>5.37</c:v>
                </c:pt>
                <c:pt idx="11">
                  <c:v>6.72</c:v>
                </c:pt>
                <c:pt idx="12">
                  <c:v>8.9499999999999993</c:v>
                </c:pt>
                <c:pt idx="13">
                  <c:v>1.37</c:v>
                </c:pt>
                <c:pt idx="14">
                  <c:v>0.15</c:v>
                </c:pt>
                <c:pt idx="15">
                  <c:v>0</c:v>
                </c:pt>
                <c:pt idx="16">
                  <c:v>0.3</c:v>
                </c:pt>
                <c:pt idx="17">
                  <c:v>0.76800000000000002</c:v>
                </c:pt>
                <c:pt idx="18">
                  <c:v>0.62</c:v>
                </c:pt>
                <c:pt idx="19">
                  <c:v>2.59</c:v>
                </c:pt>
                <c:pt idx="2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D-40FB-BCD2-C7A41F28A7A3}"/>
            </c:ext>
          </c:extLst>
        </c:ser>
        <c:ser>
          <c:idx val="1"/>
          <c:order val="1"/>
          <c:tx>
            <c:v>Partial browse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Browse!$D$8:$D$28</c:f>
              <c:numCache>
                <c:formatCode>0.0</c:formatCode>
                <c:ptCount val="21"/>
                <c:pt idx="1">
                  <c:v>3.55</c:v>
                </c:pt>
                <c:pt idx="2">
                  <c:v>5.25</c:v>
                </c:pt>
                <c:pt idx="3">
                  <c:v>12.25</c:v>
                </c:pt>
                <c:pt idx="4">
                  <c:v>8.25</c:v>
                </c:pt>
                <c:pt idx="5">
                  <c:v>2.14</c:v>
                </c:pt>
                <c:pt idx="6">
                  <c:v>0.32</c:v>
                </c:pt>
                <c:pt idx="7">
                  <c:v>0.2</c:v>
                </c:pt>
                <c:pt idx="8">
                  <c:v>0.3</c:v>
                </c:pt>
                <c:pt idx="9">
                  <c:v>5.3</c:v>
                </c:pt>
                <c:pt idx="10" formatCode="0.00">
                  <c:v>1.84</c:v>
                </c:pt>
                <c:pt idx="11" formatCode="0.00">
                  <c:v>2.2999999999999998</c:v>
                </c:pt>
                <c:pt idx="12" formatCode="0.00">
                  <c:v>11.27</c:v>
                </c:pt>
                <c:pt idx="13" formatCode="0.00">
                  <c:v>1.67</c:v>
                </c:pt>
                <c:pt idx="14" formatCode="0.00">
                  <c:v>0.3</c:v>
                </c:pt>
                <c:pt idx="15" formatCode="0.00">
                  <c:v>0.15</c:v>
                </c:pt>
                <c:pt idx="16" formatCode="0.00">
                  <c:v>1.21</c:v>
                </c:pt>
                <c:pt idx="17" formatCode="0.00">
                  <c:v>2.9186000000000001</c:v>
                </c:pt>
                <c:pt idx="18" formatCode="0.00">
                  <c:v>2.93</c:v>
                </c:pt>
                <c:pt idx="19" formatCode="0.00">
                  <c:v>5.79</c:v>
                </c:pt>
                <c:pt idx="20" formatCode="0.00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D-40FB-BCD2-C7A41F28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4872"/>
        <c:axId val="349596440"/>
      </c:lineChart>
      <c:catAx>
        <c:axId val="34959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</a:t>
                </a:r>
              </a:p>
            </c:rich>
          </c:tx>
          <c:layout>
            <c:manualLayout>
              <c:xMode val="edge"/>
              <c:yMode val="edge"/>
              <c:x val="0.40822529359056708"/>
              <c:y val="0.891757617254365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5964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4959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Percent browsed</a:t>
                </a:r>
              </a:p>
            </c:rich>
          </c:tx>
          <c:layout>
            <c:manualLayout>
              <c:xMode val="edge"/>
              <c:yMode val="edge"/>
              <c:x val="2.4191069771867638E-2"/>
              <c:y val="0.274818517250565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59487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41389728096677"/>
          <c:y val="0.36811594202898551"/>
          <c:w val="0.20996978851963902"/>
          <c:h val="0.115942028985507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Bearberry - </a:t>
            </a:r>
            <a:r>
              <a:rPr lang="en-CA" sz="1200" b="1" i="1" u="none" strike="noStrike" baseline="0">
                <a:solidFill>
                  <a:srgbClr val="0000FF"/>
                </a:solidFill>
                <a:latin typeface="Arial"/>
                <a:cs typeface="Arial"/>
              </a:rPr>
              <a:t>Arctostaphylos uva-ursi</a:t>
            </a:r>
          </a:p>
        </c:rich>
      </c:tx>
      <c:layout>
        <c:manualLayout>
          <c:xMode val="edge"/>
          <c:yMode val="edge"/>
          <c:x val="0.24381266029959184"/>
          <c:y val="3.34262527528886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430485299439"/>
          <c:y val="0.19599109131403228"/>
          <c:w val="0.82717962458560512"/>
          <c:h val="0.60801781737193761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339933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Berry!$E$85:$E$107</c:f>
                <c:numCache>
                  <c:formatCode>General</c:formatCode>
                  <c:ptCount val="23"/>
                  <c:pt idx="0">
                    <c:v>6.0465</c:v>
                  </c:pt>
                  <c:pt idx="1">
                    <c:v>4.2234099999999994</c:v>
                  </c:pt>
                  <c:pt idx="2">
                    <c:v>2.0700000000000003</c:v>
                  </c:pt>
                  <c:pt idx="3">
                    <c:v>0.87999999999999989</c:v>
                  </c:pt>
                  <c:pt idx="4">
                    <c:v>1.8599999999999994</c:v>
                  </c:pt>
                  <c:pt idx="5">
                    <c:v>0.79</c:v>
                  </c:pt>
                  <c:pt idx="6">
                    <c:v>2.34</c:v>
                  </c:pt>
                  <c:pt idx="7">
                    <c:v>1.9100000000000001</c:v>
                  </c:pt>
                  <c:pt idx="8">
                    <c:v>2.870000000000001</c:v>
                  </c:pt>
                  <c:pt idx="9">
                    <c:v>1.9199999999999982</c:v>
                  </c:pt>
                  <c:pt idx="10">
                    <c:v>2.7000000000000011</c:v>
                  </c:pt>
                  <c:pt idx="11">
                    <c:v>3.1699999999999982</c:v>
                  </c:pt>
                  <c:pt idx="12">
                    <c:v>2.9699999999999989</c:v>
                  </c:pt>
                  <c:pt idx="13">
                    <c:v>2.3499999999999996</c:v>
                  </c:pt>
                  <c:pt idx="14">
                    <c:v>1.4099999999999993</c:v>
                  </c:pt>
                  <c:pt idx="15">
                    <c:v>2.2699999999999996</c:v>
                  </c:pt>
                  <c:pt idx="16">
                    <c:v>14.149999999999999</c:v>
                  </c:pt>
                  <c:pt idx="17">
                    <c:v>2.879999999999999</c:v>
                  </c:pt>
                  <c:pt idx="18">
                    <c:v>1.9399999999999995</c:v>
                  </c:pt>
                  <c:pt idx="19">
                    <c:v>2.5899999999999981</c:v>
                  </c:pt>
                  <c:pt idx="20">
                    <c:v>1.8200000000000003</c:v>
                  </c:pt>
                  <c:pt idx="21">
                    <c:v>2.2799999999999994</c:v>
                  </c:pt>
                  <c:pt idx="22">
                    <c:v>1.7500000000000009</c:v>
                  </c:pt>
                </c:numCache>
              </c:numRef>
            </c:plus>
            <c:minus>
              <c:numRef>
                <c:f>Berry!$D$85:$D$107</c:f>
                <c:numCache>
                  <c:formatCode>General</c:formatCode>
                  <c:ptCount val="23"/>
                  <c:pt idx="0">
                    <c:v>4.4584999999999999</c:v>
                  </c:pt>
                  <c:pt idx="1">
                    <c:v>2.6637899999999997</c:v>
                  </c:pt>
                  <c:pt idx="2">
                    <c:v>1.67</c:v>
                  </c:pt>
                  <c:pt idx="3">
                    <c:v>0.80000000000000027</c:v>
                  </c:pt>
                  <c:pt idx="4">
                    <c:v>1.62</c:v>
                  </c:pt>
                  <c:pt idx="5">
                    <c:v>0.78000000000000025</c:v>
                  </c:pt>
                  <c:pt idx="6">
                    <c:v>2.1400000000000006</c:v>
                  </c:pt>
                  <c:pt idx="7">
                    <c:v>1.7199999999999989</c:v>
                  </c:pt>
                  <c:pt idx="8">
                    <c:v>2.5799999999999983</c:v>
                  </c:pt>
                  <c:pt idx="9">
                    <c:v>1.75</c:v>
                  </c:pt>
                  <c:pt idx="10">
                    <c:v>2.4899999999999984</c:v>
                  </c:pt>
                  <c:pt idx="11">
                    <c:v>3.0200000000000031</c:v>
                  </c:pt>
                  <c:pt idx="12">
                    <c:v>2.75</c:v>
                  </c:pt>
                  <c:pt idx="13">
                    <c:v>2.2600000000000016</c:v>
                  </c:pt>
                  <c:pt idx="14">
                    <c:v>1.25</c:v>
                  </c:pt>
                  <c:pt idx="15">
                    <c:v>2.1099999999999994</c:v>
                  </c:pt>
                  <c:pt idx="16">
                    <c:v>7.4200000000000017</c:v>
                  </c:pt>
                  <c:pt idx="17">
                    <c:v>2.5</c:v>
                  </c:pt>
                  <c:pt idx="18">
                    <c:v>2.2599999999999998</c:v>
                  </c:pt>
                  <c:pt idx="19">
                    <c:v>2.4400000000000013</c:v>
                  </c:pt>
                  <c:pt idx="20">
                    <c:v>1.83</c:v>
                  </c:pt>
                  <c:pt idx="21">
                    <c:v>2.08</c:v>
                  </c:pt>
                  <c:pt idx="22">
                    <c:v>1.5599999999999996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Berry!$A$9:$A$32</c:f>
              <c:numCache>
                <c:formatCode>0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Berry!$C$9:$C$32</c:f>
              <c:numCache>
                <c:formatCode>0.00</c:formatCode>
                <c:ptCount val="24"/>
                <c:pt idx="0">
                  <c:v>8.1875</c:v>
                </c:pt>
                <c:pt idx="1">
                  <c:v>3.74769</c:v>
                </c:pt>
                <c:pt idx="2">
                  <c:v>4.71</c:v>
                </c:pt>
                <c:pt idx="3">
                  <c:v>3.58</c:v>
                </c:pt>
                <c:pt idx="4">
                  <c:v>6.11</c:v>
                </c:pt>
                <c:pt idx="5">
                  <c:v>4.54</c:v>
                </c:pt>
                <c:pt idx="6">
                  <c:v>14.5</c:v>
                </c:pt>
                <c:pt idx="7">
                  <c:v>11.68</c:v>
                </c:pt>
                <c:pt idx="8">
                  <c:v>18.77</c:v>
                </c:pt>
                <c:pt idx="9">
                  <c:v>14.57</c:v>
                </c:pt>
                <c:pt idx="10">
                  <c:v>14.12</c:v>
                </c:pt>
                <c:pt idx="11">
                  <c:v>22.1</c:v>
                </c:pt>
                <c:pt idx="12">
                  <c:v>16.27</c:v>
                </c:pt>
                <c:pt idx="13">
                  <c:v>14.63</c:v>
                </c:pt>
                <c:pt idx="14">
                  <c:v>7.04</c:v>
                </c:pt>
                <c:pt idx="15">
                  <c:v>16.82</c:v>
                </c:pt>
                <c:pt idx="16">
                  <c:v>27.53</c:v>
                </c:pt>
                <c:pt idx="17">
                  <c:v>13.21</c:v>
                </c:pt>
                <c:pt idx="18">
                  <c:v>10.35</c:v>
                </c:pt>
                <c:pt idx="19">
                  <c:v>14.56</c:v>
                </c:pt>
                <c:pt idx="20">
                  <c:v>13.41</c:v>
                </c:pt>
                <c:pt idx="21">
                  <c:v>11.81</c:v>
                </c:pt>
                <c:pt idx="22">
                  <c:v>7.8</c:v>
                </c:pt>
                <c:pt idx="23">
                  <c:v>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5-44D2-8EC0-96F0CB59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5496"/>
        <c:axId val="520083928"/>
      </c:scatterChart>
      <c:valAx>
        <c:axId val="520085496"/>
        <c:scaling>
          <c:orientation val="minMax"/>
          <c:max val="2018"/>
          <c:min val="199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</a:t>
                </a:r>
              </a:p>
            </c:rich>
          </c:tx>
          <c:layout>
            <c:manualLayout>
              <c:xMode val="edge"/>
              <c:yMode val="edge"/>
              <c:x val="0.47100166661676796"/>
              <c:y val="0.891364829396322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dash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3928"/>
        <c:crosses val="autoZero"/>
        <c:crossBetween val="midCat"/>
        <c:majorUnit val="2"/>
      </c:valAx>
      <c:valAx>
        <c:axId val="52008392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no. berries</a:t>
                </a:r>
              </a:p>
            </c:rich>
          </c:tx>
          <c:layout>
            <c:manualLayout>
              <c:xMode val="edge"/>
              <c:yMode val="edge"/>
              <c:x val="2.9553007394988173E-2"/>
              <c:y val="0.323119739342930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5496"/>
        <c:crosses val="autoZero"/>
        <c:crossBetween val="midCat"/>
      </c:valAx>
      <c:spPr>
        <a:solidFill>
          <a:srgbClr val="CCFFCC"/>
        </a:solidFill>
        <a:ln w="3175">
          <a:solidFill>
            <a:srgbClr val="000000"/>
          </a:solidFill>
          <a:prstDash val="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 Bearberry - </a:t>
            </a:r>
            <a:r>
              <a:rPr lang="en-CA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Arctostaphylos rubra</a:t>
            </a:r>
          </a:p>
        </c:rich>
      </c:tx>
      <c:layout>
        <c:manualLayout>
          <c:xMode val="edge"/>
          <c:yMode val="edge"/>
          <c:x val="0.23054261481071983"/>
          <c:y val="3.3277831675052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3181651033428"/>
          <c:y val="0.1973395569321148"/>
          <c:w val="0.83333453363312548"/>
          <c:h val="0.6075394604215679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Berry!$H$87:$H$107</c:f>
                <c:numCache>
                  <c:formatCode>General</c:formatCode>
                  <c:ptCount val="21"/>
                  <c:pt idx="0">
                    <c:v>1.5200000000000005</c:v>
                  </c:pt>
                  <c:pt idx="1">
                    <c:v>0.96</c:v>
                  </c:pt>
                  <c:pt idx="2">
                    <c:v>1.04</c:v>
                  </c:pt>
                  <c:pt idx="3">
                    <c:v>0.87999999999999989</c:v>
                  </c:pt>
                  <c:pt idx="4">
                    <c:v>1.2599999999999998</c:v>
                  </c:pt>
                  <c:pt idx="5">
                    <c:v>1.8399999999999999</c:v>
                  </c:pt>
                  <c:pt idx="6">
                    <c:v>1.42</c:v>
                  </c:pt>
                  <c:pt idx="7">
                    <c:v>1.2999999999999998</c:v>
                  </c:pt>
                  <c:pt idx="8">
                    <c:v>1.1500000000000004</c:v>
                  </c:pt>
                  <c:pt idx="9">
                    <c:v>1.3600000000000012</c:v>
                  </c:pt>
                  <c:pt idx="10">
                    <c:v>1.7699999999999996</c:v>
                  </c:pt>
                  <c:pt idx="11">
                    <c:v>1.9299999999999997</c:v>
                  </c:pt>
                  <c:pt idx="12">
                    <c:v>1.0499999999999998</c:v>
                  </c:pt>
                  <c:pt idx="13">
                    <c:v>1.83</c:v>
                  </c:pt>
                  <c:pt idx="14">
                    <c:v>1.5199999999999996</c:v>
                  </c:pt>
                  <c:pt idx="15">
                    <c:v>1.7299999999999986</c:v>
                  </c:pt>
                  <c:pt idx="16">
                    <c:v>1.7599999999999998</c:v>
                  </c:pt>
                  <c:pt idx="17">
                    <c:v>1.3600000000000003</c:v>
                  </c:pt>
                  <c:pt idx="18">
                    <c:v>0.86000000000000032</c:v>
                  </c:pt>
                  <c:pt idx="19">
                    <c:v>1.21</c:v>
                  </c:pt>
                  <c:pt idx="20">
                    <c:v>1.3599999999999994</c:v>
                  </c:pt>
                </c:numCache>
              </c:numRef>
            </c:plus>
            <c:minus>
              <c:numRef>
                <c:f>Berry!$G$87:$G$107</c:f>
                <c:numCache>
                  <c:formatCode>General</c:formatCode>
                  <c:ptCount val="21"/>
                  <c:pt idx="0">
                    <c:v>1.3599999999999999</c:v>
                  </c:pt>
                  <c:pt idx="1">
                    <c:v>0.87000000000000011</c:v>
                  </c:pt>
                  <c:pt idx="2">
                    <c:v>0.91999999999999993</c:v>
                  </c:pt>
                  <c:pt idx="3">
                    <c:v>0.75</c:v>
                  </c:pt>
                  <c:pt idx="4">
                    <c:v>1.1799999999999997</c:v>
                  </c:pt>
                  <c:pt idx="5">
                    <c:v>1.6999999999999993</c:v>
                  </c:pt>
                  <c:pt idx="6">
                    <c:v>1.2100000000000004</c:v>
                  </c:pt>
                  <c:pt idx="7">
                    <c:v>1.2000000000000002</c:v>
                  </c:pt>
                  <c:pt idx="8">
                    <c:v>1.0699999999999994</c:v>
                  </c:pt>
                  <c:pt idx="9">
                    <c:v>1.3299999999999992</c:v>
                  </c:pt>
                  <c:pt idx="10">
                    <c:v>1.6600000000000001</c:v>
                  </c:pt>
                  <c:pt idx="11">
                    <c:v>1.83</c:v>
                  </c:pt>
                  <c:pt idx="12">
                    <c:v>0.99000000000000021</c:v>
                  </c:pt>
                  <c:pt idx="13">
                    <c:v>1.6999999999999993</c:v>
                  </c:pt>
                  <c:pt idx="14">
                    <c:v>1.4600000000000009</c:v>
                  </c:pt>
                  <c:pt idx="15">
                    <c:v>1.6000000000000005</c:v>
                  </c:pt>
                  <c:pt idx="16">
                    <c:v>1.6900000000000013</c:v>
                  </c:pt>
                  <c:pt idx="17">
                    <c:v>1.2400000000000002</c:v>
                  </c:pt>
                  <c:pt idx="18">
                    <c:v>0.74999999999999956</c:v>
                  </c:pt>
                  <c:pt idx="19">
                    <c:v>1.0699999999999994</c:v>
                  </c:pt>
                  <c:pt idx="20">
                    <c:v>1.2699999999999996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Berry!$A$11:$A$32</c:f>
              <c:numCache>
                <c:formatCode>0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Berry!$F$11:$F$32</c:f>
              <c:numCache>
                <c:formatCode>0.00</c:formatCode>
                <c:ptCount val="22"/>
                <c:pt idx="0">
                  <c:v>3.8</c:v>
                </c:pt>
                <c:pt idx="1">
                  <c:v>4.83</c:v>
                </c:pt>
                <c:pt idx="2">
                  <c:v>4.43</c:v>
                </c:pt>
                <c:pt idx="3">
                  <c:v>2.95</c:v>
                </c:pt>
                <c:pt idx="4">
                  <c:v>7.27</c:v>
                </c:pt>
                <c:pt idx="5">
                  <c:v>10.44</c:v>
                </c:pt>
                <c:pt idx="6">
                  <c:v>4.8600000000000003</c:v>
                </c:pt>
                <c:pt idx="7">
                  <c:v>7.88</c:v>
                </c:pt>
                <c:pt idx="8">
                  <c:v>5.6</c:v>
                </c:pt>
                <c:pt idx="9">
                  <c:v>8.5399999999999991</c:v>
                </c:pt>
                <c:pt idx="10">
                  <c:v>9.48</c:v>
                </c:pt>
                <c:pt idx="11">
                  <c:v>12.44</c:v>
                </c:pt>
                <c:pt idx="12">
                  <c:v>5.16</c:v>
                </c:pt>
                <c:pt idx="13">
                  <c:v>11.67</c:v>
                </c:pt>
                <c:pt idx="14">
                  <c:v>12.24</c:v>
                </c:pt>
                <c:pt idx="15">
                  <c:v>8.56</c:v>
                </c:pt>
                <c:pt idx="16">
                  <c:v>11.39</c:v>
                </c:pt>
                <c:pt idx="17">
                  <c:v>6.79</c:v>
                </c:pt>
                <c:pt idx="18">
                  <c:v>4.3499999999999996</c:v>
                </c:pt>
                <c:pt idx="19">
                  <c:v>5.81</c:v>
                </c:pt>
                <c:pt idx="20">
                  <c:v>9.09</c:v>
                </c:pt>
                <c:pt idx="21">
                  <c:v>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47F-B8BB-E260808A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6672"/>
        <c:axId val="520084320"/>
      </c:scatterChart>
      <c:valAx>
        <c:axId val="520086672"/>
        <c:scaling>
          <c:orientation val="minMax"/>
          <c:max val="2018"/>
        </c:scaling>
        <c:delete val="0"/>
        <c:axPos val="b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</a:t>
                </a:r>
              </a:p>
            </c:rich>
          </c:tx>
          <c:layout>
            <c:manualLayout>
              <c:xMode val="edge"/>
              <c:yMode val="edge"/>
              <c:x val="0.46846240045421467"/>
              <c:y val="0.892957005016206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4320"/>
        <c:crosses val="autoZero"/>
        <c:crossBetween val="midCat"/>
        <c:majorUnit val="2"/>
        <c:minorUnit val="1"/>
      </c:valAx>
      <c:valAx>
        <c:axId val="52008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no. berries</a:t>
                </a:r>
              </a:p>
            </c:rich>
          </c:tx>
          <c:layout>
            <c:manualLayout>
              <c:xMode val="edge"/>
              <c:yMode val="edge"/>
              <c:x val="2.9509480195430968E-2"/>
              <c:y val="0.360510795749388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6672"/>
        <c:crosses val="autoZero"/>
        <c:crossBetween val="midCat"/>
      </c:valAx>
      <c:spPr>
        <a:solidFill>
          <a:srgbClr val="FF99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Crowberry - </a:t>
            </a:r>
            <a:r>
              <a:rPr lang="en-CA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Empetrum nigrum</a:t>
            </a:r>
          </a:p>
        </c:rich>
      </c:tx>
      <c:layout>
        <c:manualLayout>
          <c:xMode val="edge"/>
          <c:yMode val="edge"/>
          <c:x val="0.28135409210212381"/>
          <c:y val="3.3426066698435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500049905324"/>
          <c:y val="0.15812917594654788"/>
          <c:w val="0.80588408896216257"/>
          <c:h val="0.6659242761692735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Berry!$K$85:$K$107</c:f>
                <c:numCache>
                  <c:formatCode>General</c:formatCode>
                  <c:ptCount val="23"/>
                  <c:pt idx="2">
                    <c:v>16.93</c:v>
                  </c:pt>
                  <c:pt idx="3">
                    <c:v>5.92</c:v>
                  </c:pt>
                  <c:pt idx="4">
                    <c:v>10.399999999999999</c:v>
                  </c:pt>
                  <c:pt idx="5">
                    <c:v>5.3900000000000006</c:v>
                  </c:pt>
                  <c:pt idx="6">
                    <c:v>10.54</c:v>
                  </c:pt>
                  <c:pt idx="7">
                    <c:v>7.4600000000000009</c:v>
                  </c:pt>
                  <c:pt idx="8">
                    <c:v>8.8400000000000034</c:v>
                  </c:pt>
                  <c:pt idx="9">
                    <c:v>11.969999999999999</c:v>
                  </c:pt>
                  <c:pt idx="10">
                    <c:v>4.5299999999999976</c:v>
                  </c:pt>
                  <c:pt idx="11">
                    <c:v>4.009999999999998</c:v>
                  </c:pt>
                  <c:pt idx="12">
                    <c:v>8.0600000000000023</c:v>
                  </c:pt>
                  <c:pt idx="13">
                    <c:v>11.450000000000003</c:v>
                  </c:pt>
                  <c:pt idx="14">
                    <c:v>5.6199999999999974</c:v>
                  </c:pt>
                  <c:pt idx="15">
                    <c:v>8.519999999999996</c:v>
                  </c:pt>
                  <c:pt idx="16">
                    <c:v>4.9899999999999984</c:v>
                  </c:pt>
                  <c:pt idx="17">
                    <c:v>7.0300000000000011</c:v>
                  </c:pt>
                  <c:pt idx="18">
                    <c:v>4.7699999999999996</c:v>
                  </c:pt>
                  <c:pt idx="19">
                    <c:v>6.5400000000000027</c:v>
                  </c:pt>
                  <c:pt idx="20">
                    <c:v>2.0500000000000007</c:v>
                  </c:pt>
                  <c:pt idx="21">
                    <c:v>2.3099999999999996</c:v>
                  </c:pt>
                  <c:pt idx="22">
                    <c:v>4.1400000000000006</c:v>
                  </c:pt>
                </c:numCache>
              </c:numRef>
            </c:plus>
            <c:minus>
              <c:numRef>
                <c:f>Berry!$J$85:$J$107</c:f>
                <c:numCache>
                  <c:formatCode>General</c:formatCode>
                  <c:ptCount val="23"/>
                  <c:pt idx="2">
                    <c:v>14.370000000000001</c:v>
                  </c:pt>
                  <c:pt idx="3">
                    <c:v>5.1099999999999994</c:v>
                  </c:pt>
                  <c:pt idx="4">
                    <c:v>9.56</c:v>
                  </c:pt>
                  <c:pt idx="5">
                    <c:v>4.49</c:v>
                  </c:pt>
                  <c:pt idx="6">
                    <c:v>9.6899999999999977</c:v>
                  </c:pt>
                  <c:pt idx="7">
                    <c:v>6.8499999999999979</c:v>
                  </c:pt>
                  <c:pt idx="8">
                    <c:v>7.8900000000000006</c:v>
                  </c:pt>
                  <c:pt idx="9">
                    <c:v>10.11</c:v>
                  </c:pt>
                  <c:pt idx="10">
                    <c:v>4.0600000000000005</c:v>
                  </c:pt>
                  <c:pt idx="11">
                    <c:v>4.0300000000000011</c:v>
                  </c:pt>
                  <c:pt idx="12">
                    <c:v>7.4899999999999949</c:v>
                  </c:pt>
                  <c:pt idx="13">
                    <c:v>11.030000000000001</c:v>
                  </c:pt>
                  <c:pt idx="14">
                    <c:v>5.2700000000000031</c:v>
                  </c:pt>
                  <c:pt idx="15">
                    <c:v>7.370000000000001</c:v>
                  </c:pt>
                  <c:pt idx="16">
                    <c:v>4.610000000000003</c:v>
                  </c:pt>
                  <c:pt idx="17">
                    <c:v>6.25</c:v>
                  </c:pt>
                  <c:pt idx="18">
                    <c:v>4.1400000000000006</c:v>
                  </c:pt>
                  <c:pt idx="19">
                    <c:v>6.0399999999999991</c:v>
                  </c:pt>
                  <c:pt idx="20">
                    <c:v>1.8999999999999995</c:v>
                  </c:pt>
                  <c:pt idx="21">
                    <c:v>1.88</c:v>
                  </c:pt>
                  <c:pt idx="22">
                    <c:v>3.6999999999999993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Berry!$A$9:$A$32</c:f>
              <c:numCache>
                <c:formatCode>0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Berry!$I$9:$I$32</c:f>
              <c:numCache>
                <c:formatCode>0.00</c:formatCode>
                <c:ptCount val="24"/>
                <c:pt idx="2">
                  <c:v>34.25</c:v>
                </c:pt>
                <c:pt idx="3">
                  <c:v>13.42</c:v>
                </c:pt>
                <c:pt idx="4">
                  <c:v>24.03</c:v>
                </c:pt>
                <c:pt idx="5">
                  <c:v>13.43</c:v>
                </c:pt>
                <c:pt idx="6">
                  <c:v>51.87</c:v>
                </c:pt>
                <c:pt idx="7">
                  <c:v>30.22</c:v>
                </c:pt>
                <c:pt idx="8">
                  <c:v>30.25</c:v>
                </c:pt>
                <c:pt idx="9">
                  <c:v>47.42</c:v>
                </c:pt>
                <c:pt idx="10">
                  <c:v>17.940000000000001</c:v>
                </c:pt>
                <c:pt idx="11">
                  <c:v>17.260000000000002</c:v>
                </c:pt>
                <c:pt idx="12">
                  <c:v>43.12</c:v>
                </c:pt>
                <c:pt idx="13">
                  <c:v>74.33</c:v>
                </c:pt>
                <c:pt idx="14">
                  <c:v>38.840000000000003</c:v>
                </c:pt>
                <c:pt idx="15">
                  <c:v>38.880000000000003</c:v>
                </c:pt>
                <c:pt idx="16">
                  <c:v>25.92</c:v>
                </c:pt>
                <c:pt idx="17">
                  <c:v>35.67</c:v>
                </c:pt>
                <c:pt idx="18">
                  <c:v>24.5</c:v>
                </c:pt>
                <c:pt idx="19">
                  <c:v>28.31</c:v>
                </c:pt>
                <c:pt idx="20">
                  <c:v>9.6</c:v>
                </c:pt>
                <c:pt idx="21">
                  <c:v>7.14</c:v>
                </c:pt>
                <c:pt idx="22">
                  <c:v>17.16</c:v>
                </c:pt>
                <c:pt idx="23">
                  <c:v>27.02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8-4DDF-B564-74BB8C61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3536"/>
        <c:axId val="520081184"/>
      </c:scatterChart>
      <c:valAx>
        <c:axId val="520083536"/>
        <c:scaling>
          <c:orientation val="minMax"/>
          <c:max val="2018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</a:t>
                </a:r>
              </a:p>
            </c:rich>
          </c:tx>
          <c:layout>
            <c:manualLayout>
              <c:xMode val="edge"/>
              <c:yMode val="edge"/>
              <c:x val="0.48363477292611151"/>
              <c:y val="0.910863418729719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1184"/>
        <c:crosses val="autoZero"/>
        <c:crossBetween val="midCat"/>
        <c:majorUnit val="2"/>
        <c:minorUnit val="1"/>
      </c:valAx>
      <c:valAx>
        <c:axId val="52008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no. berries</a:t>
                </a:r>
              </a:p>
            </c:rich>
          </c:tx>
          <c:layout>
            <c:manualLayout>
              <c:xMode val="edge"/>
              <c:yMode val="edge"/>
              <c:x val="4.5972918157957517E-2"/>
              <c:y val="0.35097506183485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3536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Cranberry - </a:t>
            </a:r>
            <a:r>
              <a:rPr lang="en-CA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Vaccinium vitis-idea</a:t>
            </a:r>
          </a:p>
        </c:rich>
      </c:tx>
      <c:layout>
        <c:manualLayout>
          <c:xMode val="edge"/>
          <c:yMode val="edge"/>
          <c:x val="0.27215952448288011"/>
          <c:y val="3.3351736205388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26927332825"/>
          <c:y val="0.16000008680560271"/>
          <c:w val="0.81764882018789531"/>
          <c:h val="0.6644448049288281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Berry!$N$87:$N$108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2.58</c:v>
                  </c:pt>
                  <c:pt idx="2">
                    <c:v>3.0999999999999996</c:v>
                  </c:pt>
                  <c:pt idx="3">
                    <c:v>5.870000000000001</c:v>
                  </c:pt>
                  <c:pt idx="4">
                    <c:v>7.82</c:v>
                  </c:pt>
                  <c:pt idx="5">
                    <c:v>6.3599999999999994</c:v>
                  </c:pt>
                  <c:pt idx="6">
                    <c:v>4.3000000000000007</c:v>
                  </c:pt>
                  <c:pt idx="7">
                    <c:v>5.3099999999999987</c:v>
                  </c:pt>
                  <c:pt idx="8">
                    <c:v>6.1700000000000017</c:v>
                  </c:pt>
                  <c:pt idx="9">
                    <c:v>6.34</c:v>
                  </c:pt>
                  <c:pt idx="10">
                    <c:v>5.879999999999999</c:v>
                  </c:pt>
                  <c:pt idx="11">
                    <c:v>4.7200000000000024</c:v>
                  </c:pt>
                  <c:pt idx="12">
                    <c:v>3.3299999999999983</c:v>
                  </c:pt>
                  <c:pt idx="13">
                    <c:v>11.680000000000007</c:v>
                  </c:pt>
                  <c:pt idx="14">
                    <c:v>6.6200000000000045</c:v>
                  </c:pt>
                  <c:pt idx="15">
                    <c:v>3.4099999999999984</c:v>
                  </c:pt>
                  <c:pt idx="16">
                    <c:v>8.3500000000000014</c:v>
                  </c:pt>
                  <c:pt idx="17">
                    <c:v>5.2100000000000009</c:v>
                  </c:pt>
                  <c:pt idx="18">
                    <c:v>6.259999999999998</c:v>
                  </c:pt>
                  <c:pt idx="19">
                    <c:v>5.7899999999999991</c:v>
                  </c:pt>
                  <c:pt idx="20">
                    <c:v>5.84</c:v>
                  </c:pt>
                  <c:pt idx="21">
                    <c:v>5.6900000000000013</c:v>
                  </c:pt>
                </c:numCache>
              </c:numRef>
            </c:plus>
            <c:minus>
              <c:numRef>
                <c:f>Berry!$M$87:$M$108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0.75</c:v>
                  </c:pt>
                  <c:pt idx="2">
                    <c:v>2.1800000000000002</c:v>
                  </c:pt>
                  <c:pt idx="3">
                    <c:v>5.2299999999999986</c:v>
                  </c:pt>
                  <c:pt idx="4">
                    <c:v>7.0900000000000034</c:v>
                  </c:pt>
                  <c:pt idx="5">
                    <c:v>5.9499999999999993</c:v>
                  </c:pt>
                  <c:pt idx="6">
                    <c:v>4.0799999999999983</c:v>
                  </c:pt>
                  <c:pt idx="7">
                    <c:v>4.3000000000000007</c:v>
                  </c:pt>
                  <c:pt idx="8">
                    <c:v>5.7100000000000009</c:v>
                  </c:pt>
                  <c:pt idx="9">
                    <c:v>5.7899999999999991</c:v>
                  </c:pt>
                  <c:pt idx="10">
                    <c:v>5.7800000000000011</c:v>
                  </c:pt>
                  <c:pt idx="11">
                    <c:v>4.2399999999999984</c:v>
                  </c:pt>
                  <c:pt idx="12">
                    <c:v>2.99</c:v>
                  </c:pt>
                  <c:pt idx="13">
                    <c:v>11.119999999999997</c:v>
                  </c:pt>
                  <c:pt idx="14">
                    <c:v>6.1199999999999974</c:v>
                  </c:pt>
                  <c:pt idx="15">
                    <c:v>3.0400000000000009</c:v>
                  </c:pt>
                  <c:pt idx="16">
                    <c:v>7.5600000000000023</c:v>
                  </c:pt>
                  <c:pt idx="17">
                    <c:v>4.9699999999999989</c:v>
                  </c:pt>
                  <c:pt idx="18">
                    <c:v>5.91</c:v>
                  </c:pt>
                  <c:pt idx="19">
                    <c:v>5.0500000000000007</c:v>
                  </c:pt>
                  <c:pt idx="20">
                    <c:v>5.41</c:v>
                  </c:pt>
                  <c:pt idx="21">
                    <c:v>5.09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Berry!$A$11:$A$32</c:f>
              <c:numCache>
                <c:formatCode>0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Berry!$L$11:$L$32</c:f>
              <c:numCache>
                <c:formatCode>0.00</c:formatCode>
                <c:ptCount val="22"/>
                <c:pt idx="0">
                  <c:v>0</c:v>
                </c:pt>
                <c:pt idx="1">
                  <c:v>0.75</c:v>
                </c:pt>
                <c:pt idx="2">
                  <c:v>2.29</c:v>
                </c:pt>
                <c:pt idx="3">
                  <c:v>16.13</c:v>
                </c:pt>
                <c:pt idx="4">
                  <c:v>48.39</c:v>
                </c:pt>
                <c:pt idx="5">
                  <c:v>29.36</c:v>
                </c:pt>
                <c:pt idx="6">
                  <c:v>17.739999999999998</c:v>
                </c:pt>
                <c:pt idx="7">
                  <c:v>15</c:v>
                </c:pt>
                <c:pt idx="8">
                  <c:v>22.79</c:v>
                </c:pt>
                <c:pt idx="9">
                  <c:v>24.27</c:v>
                </c:pt>
                <c:pt idx="10">
                  <c:v>20.010000000000002</c:v>
                </c:pt>
                <c:pt idx="11">
                  <c:v>17.79</c:v>
                </c:pt>
                <c:pt idx="12">
                  <c:v>14.46</c:v>
                </c:pt>
                <c:pt idx="13">
                  <c:v>54.16</c:v>
                </c:pt>
                <c:pt idx="14">
                  <c:v>34.659999999999997</c:v>
                </c:pt>
                <c:pt idx="15">
                  <c:v>14.74</c:v>
                </c:pt>
                <c:pt idx="16">
                  <c:v>31.6</c:v>
                </c:pt>
                <c:pt idx="17">
                  <c:v>24.27</c:v>
                </c:pt>
                <c:pt idx="18">
                  <c:v>26.89</c:v>
                </c:pt>
                <c:pt idx="19">
                  <c:v>23.89</c:v>
                </c:pt>
                <c:pt idx="20">
                  <c:v>28.55</c:v>
                </c:pt>
                <c:pt idx="21">
                  <c:v>23.08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A-47D8-A027-AD5D5B14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79224"/>
        <c:axId val="520084712"/>
      </c:scatterChart>
      <c:valAx>
        <c:axId val="52007922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</a:t>
                </a:r>
              </a:p>
            </c:rich>
          </c:tx>
          <c:layout>
            <c:manualLayout>
              <c:xMode val="edge"/>
              <c:yMode val="edge"/>
              <c:x val="0.47811797627376212"/>
              <c:y val="0.91161794430868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4712"/>
        <c:crosses val="autoZero"/>
        <c:crossBetween val="midCat"/>
        <c:majorUnit val="2"/>
        <c:minorUnit val="1"/>
      </c:valAx>
      <c:valAx>
        <c:axId val="5200847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no. berries</a:t>
                </a:r>
              </a:p>
            </c:rich>
          </c:tx>
          <c:layout>
            <c:manualLayout>
              <c:xMode val="edge"/>
              <c:yMode val="edge"/>
              <c:x val="4.5972939582930333E-2"/>
              <c:y val="0.350194889431924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79224"/>
        <c:crosses val="autoZero"/>
        <c:crossBetween val="midCat"/>
      </c:valAx>
      <c:spPr>
        <a:solidFill>
          <a:srgbClr val="69FFFF"/>
        </a:solidFill>
        <a:ln w="12700">
          <a:solidFill>
            <a:srgbClr val="808080"/>
          </a:solidFill>
          <a:prstDash val="dash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Toadflax - </a:t>
            </a:r>
            <a:r>
              <a:rPr lang="en-CA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Geocaulon lividum</a:t>
            </a:r>
          </a:p>
        </c:rich>
      </c:tx>
      <c:layout>
        <c:manualLayout>
          <c:xMode val="edge"/>
          <c:yMode val="edge"/>
          <c:x val="0.32841286405465098"/>
          <c:y val="3.3204130286006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95355084048103E-2"/>
          <c:y val="0.16592947241233652"/>
          <c:w val="0.85060391084556963"/>
          <c:h val="0.6327443881323698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Berry!$Q$87:$Q$107</c:f>
                <c:numCache>
                  <c:formatCode>General</c:formatCode>
                  <c:ptCount val="21"/>
                  <c:pt idx="0">
                    <c:v>5.34</c:v>
                  </c:pt>
                  <c:pt idx="1">
                    <c:v>9.7600000000000016</c:v>
                  </c:pt>
                  <c:pt idx="2">
                    <c:v>5.6600000000000019</c:v>
                  </c:pt>
                  <c:pt idx="3">
                    <c:v>3.75</c:v>
                  </c:pt>
                  <c:pt idx="4">
                    <c:v>2.8999999999999986</c:v>
                  </c:pt>
                  <c:pt idx="5">
                    <c:v>3.6100000000000012</c:v>
                  </c:pt>
                  <c:pt idx="6">
                    <c:v>5.3499999999999979</c:v>
                  </c:pt>
                  <c:pt idx="7">
                    <c:v>3.1100000000000012</c:v>
                  </c:pt>
                  <c:pt idx="8">
                    <c:v>5.93</c:v>
                  </c:pt>
                  <c:pt idx="9">
                    <c:v>4</c:v>
                  </c:pt>
                  <c:pt idx="10">
                    <c:v>4</c:v>
                  </c:pt>
                  <c:pt idx="11">
                    <c:v>3.37</c:v>
                  </c:pt>
                  <c:pt idx="12">
                    <c:v>5.3500000000000014</c:v>
                  </c:pt>
                  <c:pt idx="13">
                    <c:v>9.9699999999999989</c:v>
                  </c:pt>
                  <c:pt idx="14">
                    <c:v>6.0800000000000018</c:v>
                  </c:pt>
                  <c:pt idx="15">
                    <c:v>3.49</c:v>
                  </c:pt>
                  <c:pt idx="16">
                    <c:v>5.3999999999999986</c:v>
                  </c:pt>
                  <c:pt idx="17">
                    <c:v>5.5799999999999983</c:v>
                  </c:pt>
                  <c:pt idx="18">
                    <c:v>4.9800000000000004</c:v>
                  </c:pt>
                  <c:pt idx="19">
                    <c:v>2.09</c:v>
                  </c:pt>
                  <c:pt idx="20">
                    <c:v>3.1100000000000012</c:v>
                  </c:pt>
                </c:numCache>
              </c:numRef>
            </c:plus>
            <c:minus>
              <c:numRef>
                <c:f>Berry!$P$87:$P$107</c:f>
                <c:numCache>
                  <c:formatCode>General</c:formatCode>
                  <c:ptCount val="21"/>
                  <c:pt idx="0">
                    <c:v>3.9399999999999995</c:v>
                  </c:pt>
                  <c:pt idx="1">
                    <c:v>8.1099999999999977</c:v>
                  </c:pt>
                  <c:pt idx="2">
                    <c:v>4.9499999999999993</c:v>
                  </c:pt>
                  <c:pt idx="3">
                    <c:v>3.3800000000000008</c:v>
                  </c:pt>
                  <c:pt idx="4">
                    <c:v>2.7300000000000004</c:v>
                  </c:pt>
                  <c:pt idx="5">
                    <c:v>3.25</c:v>
                  </c:pt>
                  <c:pt idx="6">
                    <c:v>4.7199999999999989</c:v>
                  </c:pt>
                  <c:pt idx="7">
                    <c:v>2.7699999999999996</c:v>
                  </c:pt>
                  <c:pt idx="8">
                    <c:v>5.4500000000000028</c:v>
                  </c:pt>
                  <c:pt idx="9">
                    <c:v>3.6899999999999977</c:v>
                  </c:pt>
                  <c:pt idx="10">
                    <c:v>3.8200000000000003</c:v>
                  </c:pt>
                  <c:pt idx="11">
                    <c:v>2.8800000000000008</c:v>
                  </c:pt>
                  <c:pt idx="12">
                    <c:v>4.1899999999999995</c:v>
                  </c:pt>
                  <c:pt idx="13">
                    <c:v>9.0699999999999967</c:v>
                  </c:pt>
                  <c:pt idx="14">
                    <c:v>4.9399999999999995</c:v>
                  </c:pt>
                  <c:pt idx="15">
                    <c:v>2.9000000000000004</c:v>
                  </c:pt>
                  <c:pt idx="16">
                    <c:v>4.7200000000000024</c:v>
                  </c:pt>
                  <c:pt idx="17">
                    <c:v>5.2800000000000011</c:v>
                  </c:pt>
                  <c:pt idx="18">
                    <c:v>4.2899999999999991</c:v>
                  </c:pt>
                  <c:pt idx="19">
                    <c:v>1.9499999999999993</c:v>
                  </c:pt>
                  <c:pt idx="20">
                    <c:v>2.99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Berry!$A$11:$A$32</c:f>
              <c:numCache>
                <c:formatCode>0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xVal>
          <c:yVal>
            <c:numRef>
              <c:f>Berry!$O$11:$O$32</c:f>
              <c:numCache>
                <c:formatCode>0.00</c:formatCode>
                <c:ptCount val="22"/>
                <c:pt idx="0">
                  <c:v>7.27</c:v>
                </c:pt>
                <c:pt idx="1">
                  <c:v>21.24</c:v>
                </c:pt>
                <c:pt idx="2">
                  <c:v>13.1</c:v>
                </c:pt>
                <c:pt idx="3">
                  <c:v>18.57</c:v>
                </c:pt>
                <c:pt idx="4">
                  <c:v>14.25</c:v>
                </c:pt>
                <c:pt idx="5">
                  <c:v>15.26</c:v>
                </c:pt>
                <c:pt idx="6">
                  <c:v>27.77</c:v>
                </c:pt>
                <c:pt idx="7">
                  <c:v>15.37</c:v>
                </c:pt>
                <c:pt idx="8">
                  <c:v>33.880000000000003</c:v>
                </c:pt>
                <c:pt idx="9">
                  <c:v>25.72</c:v>
                </c:pt>
                <c:pt idx="10">
                  <c:v>18.59</c:v>
                </c:pt>
                <c:pt idx="11">
                  <c:v>7.69</c:v>
                </c:pt>
                <c:pt idx="12">
                  <c:v>8.4499999999999993</c:v>
                </c:pt>
                <c:pt idx="13">
                  <c:v>36.33</c:v>
                </c:pt>
                <c:pt idx="14">
                  <c:v>19.309999999999999</c:v>
                </c:pt>
                <c:pt idx="15">
                  <c:v>10.5</c:v>
                </c:pt>
                <c:pt idx="16">
                  <c:v>19.170000000000002</c:v>
                </c:pt>
                <c:pt idx="17">
                  <c:v>30.35</c:v>
                </c:pt>
                <c:pt idx="18">
                  <c:v>16.02</c:v>
                </c:pt>
                <c:pt idx="19">
                  <c:v>10.86</c:v>
                </c:pt>
                <c:pt idx="20">
                  <c:v>14.49</c:v>
                </c:pt>
                <c:pt idx="21">
                  <c:v>22.22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C-446D-BA13-621484E3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5888"/>
        <c:axId val="520086280"/>
      </c:scatterChart>
      <c:valAx>
        <c:axId val="520085888"/>
        <c:scaling>
          <c:orientation val="minMax"/>
          <c:max val="2018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</a:t>
                </a:r>
              </a:p>
            </c:rich>
          </c:tx>
          <c:layout>
            <c:manualLayout>
              <c:xMode val="edge"/>
              <c:yMode val="edge"/>
              <c:x val="0.47906071981966558"/>
              <c:y val="0.89098090532379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6280"/>
        <c:crosses val="autoZero"/>
        <c:crossBetween val="midCat"/>
        <c:majorUnit val="2"/>
        <c:minorUnit val="1"/>
      </c:valAx>
      <c:valAx>
        <c:axId val="520086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no. berries</a:t>
                </a:r>
              </a:p>
            </c:rich>
          </c:tx>
          <c:layout>
            <c:manualLayout>
              <c:xMode val="edge"/>
              <c:yMode val="edge"/>
              <c:x val="3.3142604162431477E-2"/>
              <c:y val="0.343110649850717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paperSize="9"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Soapberry Production</a:t>
            </a:r>
          </a:p>
        </c:rich>
      </c:tx>
      <c:layout>
        <c:manualLayout>
          <c:xMode val="edge"/>
          <c:yMode val="edge"/>
          <c:x val="0.36488169067362453"/>
          <c:y val="5.258353344129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17529880478225E-2"/>
          <c:y val="0.16819016550461802"/>
          <c:w val="0.81573705179282852"/>
          <c:h val="0.66727620009984789"/>
        </c:manualLayout>
      </c:layout>
      <c:barChart>
        <c:barDir val="col"/>
        <c:grouping val="clustered"/>
        <c:varyColors val="0"/>
        <c:ser>
          <c:idx val="1"/>
          <c:order val="0"/>
          <c:tx>
            <c:v>Biomass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Soapberry!$B$10:$B$31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Soapberry!$H$10:$H$31</c:f>
              <c:numCache>
                <c:formatCode>0.0</c:formatCode>
                <c:ptCount val="22"/>
                <c:pt idx="3">
                  <c:v>6.5623064000000007</c:v>
                </c:pt>
                <c:pt idx="4">
                  <c:v>31.051020000000001</c:v>
                </c:pt>
                <c:pt idx="5">
                  <c:v>15.9584964</c:v>
                </c:pt>
                <c:pt idx="6">
                  <c:v>6.1055279999999996</c:v>
                </c:pt>
                <c:pt idx="7">
                  <c:v>7.3695959999999996</c:v>
                </c:pt>
                <c:pt idx="8">
                  <c:v>2.984632</c:v>
                </c:pt>
                <c:pt idx="9">
                  <c:v>3.3473660000000001</c:v>
                </c:pt>
                <c:pt idx="10">
                  <c:v>9.6399170000000005</c:v>
                </c:pt>
                <c:pt idx="11">
                  <c:v>15.72648</c:v>
                </c:pt>
                <c:pt idx="12">
                  <c:v>4.2648099999999998</c:v>
                </c:pt>
                <c:pt idx="13">
                  <c:v>13.72</c:v>
                </c:pt>
                <c:pt idx="14">
                  <c:v>5.72</c:v>
                </c:pt>
                <c:pt idx="15">
                  <c:v>5.6</c:v>
                </c:pt>
                <c:pt idx="16">
                  <c:v>13.79</c:v>
                </c:pt>
                <c:pt idx="17">
                  <c:v>9.2100000000000009</c:v>
                </c:pt>
                <c:pt idx="18">
                  <c:v>2.27</c:v>
                </c:pt>
                <c:pt idx="19">
                  <c:v>3.47</c:v>
                </c:pt>
                <c:pt idx="20">
                  <c:v>4.28</c:v>
                </c:pt>
                <c:pt idx="21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2B9-9478-BBA39536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080400"/>
        <c:axId val="520080792"/>
      </c:barChart>
      <c:lineChart>
        <c:grouping val="standard"/>
        <c:varyColors val="0"/>
        <c:ser>
          <c:idx val="0"/>
          <c:order val="1"/>
          <c:tx>
            <c:v>Number berries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plus"/>
            <c:size val="6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Soapberry!$F$69:$F$89</c:f>
                <c:numCache>
                  <c:formatCode>General</c:formatCode>
                  <c:ptCount val="21"/>
                  <c:pt idx="0">
                    <c:v>7.360000000000003</c:v>
                  </c:pt>
                  <c:pt idx="1">
                    <c:v>19.5</c:v>
                  </c:pt>
                  <c:pt idx="2">
                    <c:v>8.769999999999996</c:v>
                  </c:pt>
                  <c:pt idx="3">
                    <c:v>4.9000000000000021</c:v>
                  </c:pt>
                  <c:pt idx="4">
                    <c:v>18.77000000000001</c:v>
                  </c:pt>
                  <c:pt idx="5">
                    <c:v>10.439999999999998</c:v>
                  </c:pt>
                  <c:pt idx="6">
                    <c:v>5.1400000000000006</c:v>
                  </c:pt>
                  <c:pt idx="7">
                    <c:v>7.5599999999999952</c:v>
                  </c:pt>
                  <c:pt idx="8">
                    <c:v>4.34</c:v>
                  </c:pt>
                  <c:pt idx="9">
                    <c:v>3.740000000000002</c:v>
                  </c:pt>
                  <c:pt idx="10">
                    <c:v>7.8800000000000026</c:v>
                  </c:pt>
                  <c:pt idx="11">
                    <c:v>10.319999999999993</c:v>
                  </c:pt>
                  <c:pt idx="12">
                    <c:v>7.0900000000000034</c:v>
                  </c:pt>
                  <c:pt idx="13">
                    <c:v>13.11999999999999</c:v>
                  </c:pt>
                  <c:pt idx="14">
                    <c:v>6.740000000000002</c:v>
                  </c:pt>
                  <c:pt idx="15">
                    <c:v>5.8999999999999986</c:v>
                  </c:pt>
                  <c:pt idx="16">
                    <c:v>9.61</c:v>
                  </c:pt>
                  <c:pt idx="17">
                    <c:v>10.910000000000004</c:v>
                  </c:pt>
                  <c:pt idx="18">
                    <c:v>3.4200000000000017</c:v>
                  </c:pt>
                  <c:pt idx="19">
                    <c:v>6.1899999999999977</c:v>
                  </c:pt>
                  <c:pt idx="20">
                    <c:v>5.5399999999999991</c:v>
                  </c:pt>
                </c:numCache>
              </c:numRef>
            </c:plus>
            <c:minus>
              <c:numRef>
                <c:f>Soapberry!$E$69:$E$88</c:f>
                <c:numCache>
                  <c:formatCode>General</c:formatCode>
                  <c:ptCount val="20"/>
                  <c:pt idx="0">
                    <c:v>6.1099999999999994</c:v>
                  </c:pt>
                  <c:pt idx="1">
                    <c:v>18.279999999999987</c:v>
                  </c:pt>
                  <c:pt idx="2">
                    <c:v>8.25</c:v>
                  </c:pt>
                  <c:pt idx="3">
                    <c:v>4.5</c:v>
                  </c:pt>
                  <c:pt idx="4">
                    <c:v>17.480000000000004</c:v>
                  </c:pt>
                  <c:pt idx="5">
                    <c:v>9.9699999999999989</c:v>
                  </c:pt>
                  <c:pt idx="6">
                    <c:v>4.8999999999999986</c:v>
                  </c:pt>
                  <c:pt idx="7">
                    <c:v>7.3100000000000023</c:v>
                  </c:pt>
                  <c:pt idx="8">
                    <c:v>4.0000000000000018</c:v>
                  </c:pt>
                  <c:pt idx="9">
                    <c:v>3.5199999999999996</c:v>
                  </c:pt>
                  <c:pt idx="10">
                    <c:v>7.0499999999999972</c:v>
                  </c:pt>
                  <c:pt idx="11">
                    <c:v>10.200000000000003</c:v>
                  </c:pt>
                  <c:pt idx="12">
                    <c:v>6.1499999999999986</c:v>
                  </c:pt>
                  <c:pt idx="13">
                    <c:v>12.440000000000012</c:v>
                  </c:pt>
                  <c:pt idx="14">
                    <c:v>6.23</c:v>
                  </c:pt>
                  <c:pt idx="15">
                    <c:v>5.5</c:v>
                  </c:pt>
                  <c:pt idx="16">
                    <c:v>9.289999999999992</c:v>
                  </c:pt>
                  <c:pt idx="17">
                    <c:v>9.68</c:v>
                  </c:pt>
                  <c:pt idx="18">
                    <c:v>3.0600000000000005</c:v>
                  </c:pt>
                  <c:pt idx="19">
                    <c:v>4.9000000000000021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Soapberry!$B$10:$B$31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Soapberry!$C$10:$C$31</c:f>
              <c:numCache>
                <c:formatCode>0.00</c:formatCode>
                <c:ptCount val="22"/>
                <c:pt idx="0">
                  <c:v>25.77</c:v>
                </c:pt>
                <c:pt idx="1">
                  <c:v>138.51</c:v>
                </c:pt>
                <c:pt idx="2">
                  <c:v>50.24</c:v>
                </c:pt>
                <c:pt idx="3">
                  <c:v>25.61</c:v>
                </c:pt>
                <c:pt idx="4">
                  <c:v>141</c:v>
                </c:pt>
                <c:pt idx="5">
                  <c:v>89.72</c:v>
                </c:pt>
                <c:pt idx="6">
                  <c:v>35.58</c:v>
                </c:pt>
                <c:pt idx="7">
                  <c:v>45.24</c:v>
                </c:pt>
                <c:pt idx="8">
                  <c:v>19.12</c:v>
                </c:pt>
                <c:pt idx="9">
                  <c:v>21.43</c:v>
                </c:pt>
                <c:pt idx="10">
                  <c:v>55.37</c:v>
                </c:pt>
                <c:pt idx="11">
                  <c:v>92.4</c:v>
                </c:pt>
                <c:pt idx="12">
                  <c:v>27.4</c:v>
                </c:pt>
                <c:pt idx="13">
                  <c:v>88.4</c:v>
                </c:pt>
                <c:pt idx="14">
                  <c:v>37.28</c:v>
                </c:pt>
                <c:pt idx="15">
                  <c:v>33.4</c:v>
                </c:pt>
                <c:pt idx="16">
                  <c:v>80.8</c:v>
                </c:pt>
                <c:pt idx="17">
                  <c:v>58.65</c:v>
                </c:pt>
                <c:pt idx="18">
                  <c:v>15.84</c:v>
                </c:pt>
                <c:pt idx="19">
                  <c:v>20.440000000000001</c:v>
                </c:pt>
                <c:pt idx="20">
                  <c:v>24.04</c:v>
                </c:pt>
                <c:pt idx="21">
                  <c:v>16.11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F-42B9-9478-BBA39536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19200"/>
        <c:axId val="518519984"/>
      </c:lineChart>
      <c:catAx>
        <c:axId val="52008040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Years</a:t>
                </a:r>
              </a:p>
            </c:rich>
          </c:tx>
          <c:layout>
            <c:manualLayout>
              <c:xMode val="edge"/>
              <c:yMode val="edge"/>
              <c:x val="0.47447073540586543"/>
              <c:y val="0.91220863349528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07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20080792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Biomass per 10 mm stem</a:t>
                </a:r>
              </a:p>
            </c:rich>
          </c:tx>
          <c:layout>
            <c:manualLayout>
              <c:xMode val="edge"/>
              <c:yMode val="edge"/>
              <c:x val="1.2453354835070395E-2"/>
              <c:y val="0.269776065225892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0400"/>
        <c:crosses val="autoZero"/>
        <c:crossBetween val="between"/>
      </c:valAx>
      <c:catAx>
        <c:axId val="5185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8519984"/>
        <c:crosses val="autoZero"/>
        <c:auto val="0"/>
        <c:lblAlgn val="ctr"/>
        <c:lblOffset val="100"/>
        <c:noMultiLvlLbl val="0"/>
      </c:catAx>
      <c:valAx>
        <c:axId val="518519984"/>
        <c:scaling>
          <c:orientation val="minMax"/>
          <c:max val="18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berries per 10 mm stem</a:t>
                </a:r>
              </a:p>
            </c:rich>
          </c:tx>
          <c:layout>
            <c:manualLayout>
              <c:xMode val="edge"/>
              <c:yMode val="edge"/>
              <c:x val="0.95392283929111032"/>
              <c:y val="0.25148601105712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9200"/>
        <c:crosses val="max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402444163506113"/>
          <c:y val="0.17494089834515394"/>
          <c:w val="0.21196797302991993"/>
          <c:h val="9.69267139479905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411" r="0.75000000000000411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Snowshoe Hare Density</a:t>
            </a:r>
            <a:endParaRPr lang="en-CA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850" b="1" i="0" u="none" strike="noStrike" baseline="0">
                <a:solidFill>
                  <a:srgbClr val="3333CC"/>
                </a:solidFill>
                <a:latin typeface="Arial"/>
                <a:cs typeface="Arial"/>
              </a:rPr>
              <a:t>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33706159969440885"/>
          <c:y val="3.4808682333731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4359825449881"/>
          <c:y val="0.2007953748180169"/>
          <c:w val="0.83851020683282096"/>
          <c:h val="0.6779328991380576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89-4F02-A8D5-DC5924B6E268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89-4F02-A8D5-DC5924B6E268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89-4F02-A8D5-DC5924B6E268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89-4F02-A8D5-DC5924B6E268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89-4F02-A8D5-DC5924B6E268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89-4F02-A8D5-DC5924B6E268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89-4F02-A8D5-DC5924B6E268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89-4F02-A8D5-DC5924B6E268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89-4F02-A8D5-DC5924B6E268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89-4F02-A8D5-DC5924B6E268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89-4F02-A8D5-DC5924B6E268}"/>
              </c:ext>
            </c:extLst>
          </c:dPt>
          <c:dPt>
            <c:idx val="2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89-4F02-A8D5-DC5924B6E268}"/>
              </c:ext>
            </c:extLst>
          </c:dPt>
          <c:dPt>
            <c:idx val="2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89-4F02-A8D5-DC5924B6E268}"/>
              </c:ext>
            </c:extLst>
          </c:dPt>
          <c:dPt>
            <c:idx val="2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89-4F02-A8D5-DC5924B6E268}"/>
              </c:ext>
            </c:extLst>
          </c:dPt>
          <c:dPt>
            <c:idx val="2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89-4F02-A8D5-DC5924B6E268}"/>
              </c:ext>
            </c:extLst>
          </c:dPt>
          <c:dPt>
            <c:idx val="3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89-4F02-A8D5-DC5924B6E268}"/>
              </c:ext>
            </c:extLst>
          </c:dPt>
          <c:dPt>
            <c:idx val="3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989-4F02-A8D5-DC5924B6E268}"/>
              </c:ext>
            </c:extLst>
          </c:dPt>
          <c:dPt>
            <c:idx val="3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989-4F02-A8D5-DC5924B6E268}"/>
              </c:ext>
            </c:extLst>
          </c:dPt>
          <c:dPt>
            <c:idx val="3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989-4F02-A8D5-DC5924B6E268}"/>
              </c:ext>
            </c:extLst>
          </c:dPt>
          <c:dPt>
            <c:idx val="3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989-4F02-A8D5-DC5924B6E268}"/>
              </c:ext>
            </c:extLst>
          </c:dPt>
          <c:dPt>
            <c:idx val="4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989-4F02-A8D5-DC5924B6E268}"/>
              </c:ext>
            </c:extLst>
          </c:dPt>
          <c:dPt>
            <c:idx val="4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989-4F02-A8D5-DC5924B6E268}"/>
              </c:ext>
            </c:extLst>
          </c:dPt>
          <c:dPt>
            <c:idx val="4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989-4F02-A8D5-DC5924B6E268}"/>
              </c:ext>
            </c:extLst>
          </c:dPt>
          <c:dPt>
            <c:idx val="4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989-4F02-A8D5-DC5924B6E268}"/>
              </c:ext>
            </c:extLst>
          </c:dPt>
          <c:dPt>
            <c:idx val="4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989-4F02-A8D5-DC5924B6E268}"/>
              </c:ext>
            </c:extLst>
          </c:dPt>
          <c:dPt>
            <c:idx val="5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989-4F02-A8D5-DC5924B6E268}"/>
              </c:ext>
            </c:extLst>
          </c:dPt>
          <c:dPt>
            <c:idx val="5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989-4F02-A8D5-DC5924B6E268}"/>
              </c:ext>
            </c:extLst>
          </c:dPt>
          <c:dPt>
            <c:idx val="5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989-4F02-A8D5-DC5924B6E268}"/>
              </c:ext>
            </c:extLst>
          </c:dPt>
          <c:dPt>
            <c:idx val="5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989-4F02-A8D5-DC5924B6E268}"/>
              </c:ext>
            </c:extLst>
          </c:dPt>
          <c:dPt>
            <c:idx val="5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989-4F02-A8D5-DC5924B6E268}"/>
              </c:ext>
            </c:extLst>
          </c:dPt>
          <c:dPt>
            <c:idx val="6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989-4F02-A8D5-DC5924B6E268}"/>
              </c:ext>
            </c:extLst>
          </c:dPt>
          <c:dPt>
            <c:idx val="63"/>
            <c:marker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989-4F02-A8D5-DC5924B6E268}"/>
              </c:ext>
            </c:extLst>
          </c:dPt>
          <c:dPt>
            <c:idx val="65"/>
            <c:marker>
              <c:spPr>
                <a:solidFill>
                  <a:srgbClr val="FF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89-4F02-A8D5-DC5924B6E268}"/>
              </c:ext>
            </c:extLst>
          </c:dPt>
          <c:dPt>
            <c:idx val="67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989-4F02-A8D5-DC5924B6E268}"/>
              </c:ext>
            </c:extLst>
          </c:dPt>
          <c:dPt>
            <c:idx val="6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989-4F02-A8D5-DC5924B6E268}"/>
              </c:ext>
            </c:extLst>
          </c:dPt>
          <c:dPt>
            <c:idx val="71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989-4F02-A8D5-DC5924B6E268}"/>
              </c:ext>
            </c:extLst>
          </c:dPt>
          <c:dPt>
            <c:idx val="73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989-4F02-A8D5-DC5924B6E268}"/>
              </c:ext>
            </c:extLst>
          </c:dPt>
          <c:dPt>
            <c:idx val="75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989-4F02-A8D5-DC5924B6E268}"/>
              </c:ext>
            </c:extLst>
          </c:dPt>
          <c:dPt>
            <c:idx val="77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2989-4F02-A8D5-DC5924B6E268}"/>
              </c:ext>
            </c:extLst>
          </c:dPt>
          <c:dPt>
            <c:idx val="79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>
                    <a:alpha val="92000"/>
                  </a:srgb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AA2-477B-9CC5-5D9C6BFC0C03}"/>
              </c:ext>
            </c:extLst>
          </c:dPt>
          <c:dPt>
            <c:idx val="81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B3A-4495-9476-2D53CF8151D5}"/>
              </c:ext>
            </c:extLst>
          </c:dPt>
          <c:xVal>
            <c:numRef>
              <c:f>Hares!$Q$5:$Q$95</c:f>
              <c:numCache>
                <c:formatCode>General</c:formatCode>
                <c:ptCount val="91"/>
                <c:pt idx="0">
                  <c:v>1976.25</c:v>
                </c:pt>
                <c:pt idx="1">
                  <c:v>1976.75</c:v>
                </c:pt>
                <c:pt idx="2">
                  <c:v>1977.75</c:v>
                </c:pt>
                <c:pt idx="3">
                  <c:v>1978.25</c:v>
                </c:pt>
                <c:pt idx="4">
                  <c:v>1978.75</c:v>
                </c:pt>
                <c:pt idx="5">
                  <c:v>1979.25</c:v>
                </c:pt>
                <c:pt idx="6">
                  <c:v>1979.75</c:v>
                </c:pt>
                <c:pt idx="7">
                  <c:v>1980.25</c:v>
                </c:pt>
                <c:pt idx="8">
                  <c:v>1980.75</c:v>
                </c:pt>
                <c:pt idx="9">
                  <c:v>1981.25</c:v>
                </c:pt>
                <c:pt idx="10">
                  <c:v>1981.75</c:v>
                </c:pt>
                <c:pt idx="11">
                  <c:v>1982.25</c:v>
                </c:pt>
                <c:pt idx="12">
                  <c:v>1982.75</c:v>
                </c:pt>
                <c:pt idx="13">
                  <c:v>1983.25</c:v>
                </c:pt>
                <c:pt idx="14">
                  <c:v>1983.75</c:v>
                </c:pt>
                <c:pt idx="15">
                  <c:v>1984.25</c:v>
                </c:pt>
                <c:pt idx="16">
                  <c:v>1984.75</c:v>
                </c:pt>
                <c:pt idx="17">
                  <c:v>1985.25</c:v>
                </c:pt>
                <c:pt idx="18">
                  <c:v>1985.75</c:v>
                </c:pt>
                <c:pt idx="19">
                  <c:v>1986.25</c:v>
                </c:pt>
                <c:pt idx="20">
                  <c:v>1986.75</c:v>
                </c:pt>
                <c:pt idx="21">
                  <c:v>1987.25</c:v>
                </c:pt>
                <c:pt idx="22">
                  <c:v>1987.75</c:v>
                </c:pt>
                <c:pt idx="23">
                  <c:v>1988.25</c:v>
                </c:pt>
                <c:pt idx="24">
                  <c:v>1988.75</c:v>
                </c:pt>
                <c:pt idx="25">
                  <c:v>1989.25</c:v>
                </c:pt>
                <c:pt idx="26">
                  <c:v>1989.75</c:v>
                </c:pt>
                <c:pt idx="27">
                  <c:v>1990.25</c:v>
                </c:pt>
                <c:pt idx="28">
                  <c:v>1990.75</c:v>
                </c:pt>
                <c:pt idx="29">
                  <c:v>1991.25</c:v>
                </c:pt>
                <c:pt idx="30">
                  <c:v>1991.75</c:v>
                </c:pt>
                <c:pt idx="31">
                  <c:v>1992.25</c:v>
                </c:pt>
                <c:pt idx="32">
                  <c:v>1992.75</c:v>
                </c:pt>
                <c:pt idx="33">
                  <c:v>1993.25</c:v>
                </c:pt>
                <c:pt idx="34">
                  <c:v>1993.75</c:v>
                </c:pt>
                <c:pt idx="35">
                  <c:v>1994.25</c:v>
                </c:pt>
                <c:pt idx="36">
                  <c:v>1994.75</c:v>
                </c:pt>
                <c:pt idx="37">
                  <c:v>1995.25</c:v>
                </c:pt>
                <c:pt idx="38">
                  <c:v>1995.75</c:v>
                </c:pt>
                <c:pt idx="39">
                  <c:v>1996.25</c:v>
                </c:pt>
                <c:pt idx="40">
                  <c:v>1996.75</c:v>
                </c:pt>
                <c:pt idx="41">
                  <c:v>1997.25</c:v>
                </c:pt>
                <c:pt idx="42">
                  <c:v>1997.75</c:v>
                </c:pt>
                <c:pt idx="43">
                  <c:v>1998.25</c:v>
                </c:pt>
                <c:pt idx="44">
                  <c:v>1998.75</c:v>
                </c:pt>
                <c:pt idx="45">
                  <c:v>1999.25</c:v>
                </c:pt>
                <c:pt idx="46">
                  <c:v>1999.75</c:v>
                </c:pt>
                <c:pt idx="47">
                  <c:v>2000.25</c:v>
                </c:pt>
                <c:pt idx="48">
                  <c:v>2000.75</c:v>
                </c:pt>
                <c:pt idx="49">
                  <c:v>2001.25</c:v>
                </c:pt>
                <c:pt idx="50">
                  <c:v>2001.75</c:v>
                </c:pt>
                <c:pt idx="51">
                  <c:v>2002.25</c:v>
                </c:pt>
                <c:pt idx="52">
                  <c:v>2002.75</c:v>
                </c:pt>
                <c:pt idx="53">
                  <c:v>2003.25</c:v>
                </c:pt>
                <c:pt idx="54">
                  <c:v>2003.75</c:v>
                </c:pt>
                <c:pt idx="55">
                  <c:v>2004.25</c:v>
                </c:pt>
                <c:pt idx="56">
                  <c:v>2004.75</c:v>
                </c:pt>
                <c:pt idx="57">
                  <c:v>2005.25</c:v>
                </c:pt>
                <c:pt idx="58">
                  <c:v>2005.75</c:v>
                </c:pt>
                <c:pt idx="59">
                  <c:v>2006.25</c:v>
                </c:pt>
                <c:pt idx="60">
                  <c:v>2006.75</c:v>
                </c:pt>
                <c:pt idx="61">
                  <c:v>2007.25</c:v>
                </c:pt>
                <c:pt idx="62">
                  <c:v>2007.75</c:v>
                </c:pt>
                <c:pt idx="63">
                  <c:v>2008.25</c:v>
                </c:pt>
                <c:pt idx="64">
                  <c:v>2008.75</c:v>
                </c:pt>
                <c:pt idx="65">
                  <c:v>2009.25</c:v>
                </c:pt>
                <c:pt idx="66">
                  <c:v>2009.75</c:v>
                </c:pt>
                <c:pt idx="67">
                  <c:v>2010.25</c:v>
                </c:pt>
                <c:pt idx="68">
                  <c:v>2010.75</c:v>
                </c:pt>
                <c:pt idx="69">
                  <c:v>2011.25</c:v>
                </c:pt>
                <c:pt idx="70">
                  <c:v>2011.75</c:v>
                </c:pt>
                <c:pt idx="71">
                  <c:v>2012.25</c:v>
                </c:pt>
                <c:pt idx="72">
                  <c:v>2012.75</c:v>
                </c:pt>
                <c:pt idx="73">
                  <c:v>2013.25</c:v>
                </c:pt>
                <c:pt idx="74">
                  <c:v>2013.75</c:v>
                </c:pt>
                <c:pt idx="75">
                  <c:v>2014.25</c:v>
                </c:pt>
                <c:pt idx="76">
                  <c:v>2014.75</c:v>
                </c:pt>
                <c:pt idx="77">
                  <c:v>2015.25</c:v>
                </c:pt>
                <c:pt idx="78">
                  <c:v>2015.75</c:v>
                </c:pt>
                <c:pt idx="79">
                  <c:v>2016.25</c:v>
                </c:pt>
                <c:pt idx="80">
                  <c:v>2016.75</c:v>
                </c:pt>
                <c:pt idx="81">
                  <c:v>2017.25</c:v>
                </c:pt>
                <c:pt idx="82">
                  <c:v>2017.75</c:v>
                </c:pt>
                <c:pt idx="83">
                  <c:v>2018.25</c:v>
                </c:pt>
                <c:pt idx="84">
                  <c:v>2018.75</c:v>
                </c:pt>
              </c:numCache>
            </c:numRef>
          </c:xVal>
          <c:yVal>
            <c:numRef>
              <c:f>Hares!$D$5:$D$95</c:f>
              <c:numCache>
                <c:formatCode>0.000</c:formatCode>
                <c:ptCount val="91"/>
                <c:pt idx="0">
                  <c:v>0.04</c:v>
                </c:pt>
                <c:pt idx="1">
                  <c:v>0.04</c:v>
                </c:pt>
                <c:pt idx="2">
                  <c:v>0.26</c:v>
                </c:pt>
                <c:pt idx="3">
                  <c:v>0.3</c:v>
                </c:pt>
                <c:pt idx="4">
                  <c:v>1.1359999999999999</c:v>
                </c:pt>
                <c:pt idx="5">
                  <c:v>0.73</c:v>
                </c:pt>
                <c:pt idx="6">
                  <c:v>3.6120000000000001</c:v>
                </c:pt>
                <c:pt idx="7">
                  <c:v>1.952</c:v>
                </c:pt>
                <c:pt idx="8">
                  <c:v>3.4</c:v>
                </c:pt>
                <c:pt idx="9">
                  <c:v>2.8815999999999997</c:v>
                </c:pt>
                <c:pt idx="10">
                  <c:v>4.43</c:v>
                </c:pt>
                <c:pt idx="11">
                  <c:v>0.74979999999999991</c:v>
                </c:pt>
                <c:pt idx="12">
                  <c:v>0.3</c:v>
                </c:pt>
                <c:pt idx="13">
                  <c:v>0.14000000000000001</c:v>
                </c:pt>
                <c:pt idx="14">
                  <c:v>0.27780000000000005</c:v>
                </c:pt>
                <c:pt idx="15">
                  <c:v>0.16</c:v>
                </c:pt>
                <c:pt idx="16">
                  <c:v>0.26</c:v>
                </c:pt>
                <c:pt idx="17">
                  <c:v>0.16</c:v>
                </c:pt>
                <c:pt idx="18">
                  <c:v>0.28299999999999997</c:v>
                </c:pt>
                <c:pt idx="19">
                  <c:v>0.11700000000000001</c:v>
                </c:pt>
                <c:pt idx="20">
                  <c:v>0.2</c:v>
                </c:pt>
                <c:pt idx="21">
                  <c:v>0.17779166666666668</c:v>
                </c:pt>
                <c:pt idx="22">
                  <c:v>0.44545000000000001</c:v>
                </c:pt>
                <c:pt idx="23">
                  <c:v>0.52166666666666672</c:v>
                </c:pt>
                <c:pt idx="24">
                  <c:v>1.17</c:v>
                </c:pt>
                <c:pt idx="25">
                  <c:v>0.93125000000000002</c:v>
                </c:pt>
                <c:pt idx="26">
                  <c:v>1.6019000000000001</c:v>
                </c:pt>
                <c:pt idx="27">
                  <c:v>1.5137499999999999</c:v>
                </c:pt>
                <c:pt idx="28">
                  <c:v>2.645</c:v>
                </c:pt>
                <c:pt idx="29">
                  <c:v>1.01875</c:v>
                </c:pt>
                <c:pt idx="30">
                  <c:v>0.86</c:v>
                </c:pt>
                <c:pt idx="31">
                  <c:v>0.29458333333333331</c:v>
                </c:pt>
                <c:pt idx="32">
                  <c:v>0.13625000000000001</c:v>
                </c:pt>
                <c:pt idx="33">
                  <c:v>9.1666666666666674E-2</c:v>
                </c:pt>
                <c:pt idx="34">
                  <c:v>0.16166666666666665</c:v>
                </c:pt>
                <c:pt idx="35">
                  <c:v>6.5416666666666665E-2</c:v>
                </c:pt>
                <c:pt idx="36">
                  <c:v>0.41666666666666669</c:v>
                </c:pt>
                <c:pt idx="37">
                  <c:v>0.1275</c:v>
                </c:pt>
                <c:pt idx="38">
                  <c:v>0.75291666666666668</c:v>
                </c:pt>
                <c:pt idx="39">
                  <c:v>0.51458333333333339</c:v>
                </c:pt>
                <c:pt idx="40">
                  <c:v>1.6523333333333334</c:v>
                </c:pt>
                <c:pt idx="41">
                  <c:v>0.76709444444444452</c:v>
                </c:pt>
                <c:pt idx="42">
                  <c:v>2.0575000000000001</c:v>
                </c:pt>
                <c:pt idx="43">
                  <c:v>1.9302666666666668</c:v>
                </c:pt>
                <c:pt idx="44">
                  <c:v>2.7339333333333333</c:v>
                </c:pt>
                <c:pt idx="45">
                  <c:v>1.3159944444444445</c:v>
                </c:pt>
                <c:pt idx="46">
                  <c:v>1.1288388888888889</c:v>
                </c:pt>
                <c:pt idx="47">
                  <c:v>0.2126777777777778</c:v>
                </c:pt>
                <c:pt idx="48">
                  <c:v>8.9349999999999999E-2</c:v>
                </c:pt>
                <c:pt idx="49">
                  <c:v>3.3333333333333333E-2</c:v>
                </c:pt>
                <c:pt idx="50">
                  <c:v>6.6666666666666666E-2</c:v>
                </c:pt>
                <c:pt idx="51">
                  <c:v>1.6666666666666666E-2</c:v>
                </c:pt>
                <c:pt idx="52">
                  <c:v>0.21475555555555556</c:v>
                </c:pt>
                <c:pt idx="53">
                  <c:v>0.11007222222222224</c:v>
                </c:pt>
                <c:pt idx="54">
                  <c:v>0.14063055555555554</c:v>
                </c:pt>
                <c:pt idx="55">
                  <c:v>0.3213833333333333</c:v>
                </c:pt>
                <c:pt idx="56">
                  <c:v>0.36333333333333334</c:v>
                </c:pt>
                <c:pt idx="57">
                  <c:v>0.37104444444444451</c:v>
                </c:pt>
                <c:pt idx="58">
                  <c:v>0.85678333333333323</c:v>
                </c:pt>
                <c:pt idx="59">
                  <c:v>0.92513888888888896</c:v>
                </c:pt>
                <c:pt idx="60">
                  <c:v>1.1522333333333332</c:v>
                </c:pt>
                <c:pt idx="61">
                  <c:v>0.77744444444444438</c:v>
                </c:pt>
                <c:pt idx="62">
                  <c:v>0.62229444444444448</c:v>
                </c:pt>
                <c:pt idx="63">
                  <c:v>0.32731111111111111</c:v>
                </c:pt>
                <c:pt idx="64">
                  <c:v>0.50556666666666672</c:v>
                </c:pt>
                <c:pt idx="65">
                  <c:v>0.29454999999999998</c:v>
                </c:pt>
                <c:pt idx="66">
                  <c:v>0.62372222222222218</c:v>
                </c:pt>
                <c:pt idx="67">
                  <c:v>7.0900000000000005E-2</c:v>
                </c:pt>
                <c:pt idx="68">
                  <c:v>0.31375000000000003</c:v>
                </c:pt>
                <c:pt idx="69">
                  <c:v>7.0500000000000007E-2</c:v>
                </c:pt>
                <c:pt idx="70">
                  <c:v>0.11833333333333333</c:v>
                </c:pt>
                <c:pt idx="71">
                  <c:v>3.3333333333333333E-2</c:v>
                </c:pt>
                <c:pt idx="72">
                  <c:v>7.5000000000000011E-2</c:v>
                </c:pt>
                <c:pt idx="73">
                  <c:v>0.125</c:v>
                </c:pt>
                <c:pt idx="74">
                  <c:v>0.64534999999999998</c:v>
                </c:pt>
                <c:pt idx="75">
                  <c:v>0.21165</c:v>
                </c:pt>
                <c:pt idx="76">
                  <c:v>0.98320000000000007</c:v>
                </c:pt>
                <c:pt idx="77">
                  <c:v>0.49129999999999996</c:v>
                </c:pt>
                <c:pt idx="78">
                  <c:v>1.0149999999999999</c:v>
                </c:pt>
                <c:pt idx="79">
                  <c:v>0.89100000000000001</c:v>
                </c:pt>
                <c:pt idx="80">
                  <c:v>1.82</c:v>
                </c:pt>
                <c:pt idx="81">
                  <c:v>1.22285</c:v>
                </c:pt>
                <c:pt idx="82">
                  <c:v>1.2334999999999998</c:v>
                </c:pt>
                <c:pt idx="83">
                  <c:v>0.57499999999999996</c:v>
                </c:pt>
                <c:pt idx="84">
                  <c:v>1.0449999999999999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989-4F02-A8D5-DC5924B6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3064"/>
        <c:axId val="446650320"/>
      </c:scatterChart>
      <c:valAx>
        <c:axId val="446653064"/>
        <c:scaling>
          <c:orientation val="minMax"/>
          <c:max val="2019"/>
          <c:min val="1975"/>
        </c:scaling>
        <c:delete val="0"/>
        <c:axPos val="b"/>
        <c:majorGridlines>
          <c:spPr>
            <a:ln w="6350">
              <a:prstDash val="dash"/>
            </a:ln>
          </c:spPr>
        </c:majorGridlines>
        <c:numFmt formatCode="General" sourceLinked="1"/>
        <c:majorTickMark val="out"/>
        <c:minorTickMark val="out"/>
        <c:tickLblPos val="nextTo"/>
        <c:spPr>
          <a:noFill/>
          <a:ln w="285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0320"/>
        <c:crosses val="autoZero"/>
        <c:crossBetween val="midCat"/>
        <c:majorUnit val="3"/>
      </c:valAx>
      <c:valAx>
        <c:axId val="446650320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Denisty per ha</a:t>
                </a:r>
              </a:p>
            </c:rich>
          </c:tx>
          <c:layout>
            <c:manualLayout>
              <c:xMode val="edge"/>
              <c:yMode val="edge"/>
              <c:x val="2.1745920257620416E-2"/>
              <c:y val="0.402784986066973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3064"/>
        <c:crossesAt val="1970"/>
        <c:crossBetween val="midCat"/>
      </c:valAx>
      <c:spPr>
        <a:solidFill>
          <a:srgbClr val="FFFFC0"/>
        </a:solidFill>
        <a:ln w="15875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paperSize="9"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Snowshoe Hare Density - Pellet Counts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of all areas</a:t>
            </a:r>
            <a:endParaRPr lang="en-CA" sz="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A" sz="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8566641801353776"/>
          <c:y val="5.9074782834808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9775161761321"/>
          <c:y val="0.2150847522933465"/>
          <c:w val="0.80312043722671411"/>
          <c:h val="0.6340810229946767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B7-4A3A-88DA-37BCB3D5F993}"/>
              </c:ext>
            </c:extLst>
          </c:dPt>
          <c:xVal>
            <c:numRef>
              <c:f>'Hare Pellets'!$S$3:$S$20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xVal>
          <c:yVal>
            <c:numRef>
              <c:f>'Hare Pellets'!$T$3:$T$20</c:f>
              <c:numCache>
                <c:formatCode>0.00</c:formatCode>
                <c:ptCount val="18"/>
                <c:pt idx="0">
                  <c:v>0.12200000000000003</c:v>
                </c:pt>
                <c:pt idx="1">
                  <c:v>0.2085714285714286</c:v>
                </c:pt>
                <c:pt idx="2">
                  <c:v>0.12571428571428572</c:v>
                </c:pt>
                <c:pt idx="3">
                  <c:v>0.2871428571428572</c:v>
                </c:pt>
                <c:pt idx="4">
                  <c:v>0.57399999999999995</c:v>
                </c:pt>
                <c:pt idx="5">
                  <c:v>1.2042857142857142</c:v>
                </c:pt>
                <c:pt idx="6">
                  <c:v>1.0680000000000001</c:v>
                </c:pt>
                <c:pt idx="9">
                  <c:v>0.94</c:v>
                </c:pt>
                <c:pt idx="10" formatCode="General">
                  <c:v>0.62</c:v>
                </c:pt>
                <c:pt idx="11" formatCode="General">
                  <c:v>0.83</c:v>
                </c:pt>
                <c:pt idx="12" formatCode="General">
                  <c:v>0.45</c:v>
                </c:pt>
                <c:pt idx="13" formatCode="General">
                  <c:v>0.92</c:v>
                </c:pt>
                <c:pt idx="14" formatCode="General">
                  <c:v>1.4</c:v>
                </c:pt>
                <c:pt idx="15" formatCode="General">
                  <c:v>1.84</c:v>
                </c:pt>
                <c:pt idx="16" formatCode="General">
                  <c:v>2.0699999999999998</c:v>
                </c:pt>
                <c:pt idx="17" formatCode="General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7-4A3A-88DA-37BCB3D5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2672"/>
        <c:axId val="446648360"/>
      </c:scatterChart>
      <c:valAx>
        <c:axId val="44665267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Years</a:t>
                </a:r>
              </a:p>
            </c:rich>
          </c:tx>
          <c:layout>
            <c:manualLayout>
              <c:xMode val="edge"/>
              <c:yMode val="edge"/>
              <c:x val="0.50707077673684953"/>
              <c:y val="0.91195361218145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48360"/>
        <c:crosses val="autoZero"/>
        <c:crossBetween val="midCat"/>
        <c:majorUnit val="2"/>
        <c:minorUnit val="1"/>
      </c:valAx>
      <c:valAx>
        <c:axId val="446648360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ha.</a:t>
                </a:r>
              </a:p>
            </c:rich>
          </c:tx>
          <c:layout>
            <c:manualLayout>
              <c:xMode val="edge"/>
              <c:yMode val="edge"/>
              <c:x val="3.9005562260921806E-2"/>
              <c:y val="0.412300962379708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2672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Red Squirrel Density - Sulphur Grid</a:t>
            </a:r>
            <a:endParaRPr lang="en-CA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1025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</a:t>
            </a:r>
            <a:r>
              <a:rPr lang="en-CA" sz="1025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blue</a:t>
            </a:r>
            <a:r>
              <a:rPr lang="en-CA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22322961353968682"/>
          <c:y val="3.206856049071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9007452524097"/>
          <c:y val="0.1794875540188344"/>
          <c:w val="0.83584549460148505"/>
          <c:h val="0.6388902220432390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6F-4ECF-A0D1-3B7DBACE2B43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6F-4ECF-A0D1-3B7DBACE2B43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6F-4ECF-A0D1-3B7DBACE2B43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6F-4ECF-A0D1-3B7DBACE2B43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6F-4ECF-A0D1-3B7DBACE2B43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6F-4ECF-A0D1-3B7DBACE2B43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6F-4ECF-A0D1-3B7DBACE2B43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6F-4ECF-A0D1-3B7DBACE2B43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6F-4ECF-A0D1-3B7DBACE2B43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6F-4ECF-A0D1-3B7DBACE2B43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6F-4ECF-A0D1-3B7DBACE2B43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6F-4ECF-A0D1-3B7DBACE2B43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6F-4ECF-A0D1-3B7DBACE2B43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6F-4ECF-A0D1-3B7DBACE2B43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6F-4ECF-A0D1-3B7DBACE2B43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6F-4ECF-A0D1-3B7DBACE2B43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6F-4ECF-A0D1-3B7DBACE2B43}"/>
              </c:ext>
            </c:extLst>
          </c:dPt>
          <c:dPt>
            <c:idx val="3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66F-4ECF-A0D1-3B7DBACE2B43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6F-4ECF-A0D1-3B7DBACE2B43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66F-4ECF-A0D1-3B7DBACE2B43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66F-4ECF-A0D1-3B7DBACE2B43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66F-4ECF-A0D1-3B7DBACE2B43}"/>
              </c:ext>
            </c:extLst>
          </c:dPt>
          <c:dPt>
            <c:idx val="4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66F-4ECF-A0D1-3B7DBACE2B43}"/>
              </c:ext>
            </c:extLst>
          </c:dPt>
          <c:dPt>
            <c:idx val="4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66F-4ECF-A0D1-3B7DBACE2B43}"/>
              </c:ext>
            </c:extLst>
          </c:dPt>
          <c:dPt>
            <c:idx val="4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66F-4ECF-A0D1-3B7DBACE2B43}"/>
              </c:ext>
            </c:extLst>
          </c:dPt>
          <c:xVal>
            <c:numRef>
              <c:f>'Red Squirrel'!$J$9:$J$70</c:f>
              <c:numCache>
                <c:formatCode>General</c:formatCode>
                <c:ptCount val="62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</c:numCache>
            </c:numRef>
          </c:xVal>
          <c:yVal>
            <c:numRef>
              <c:f>'Red Squirrel'!$B$9:$B$70</c:f>
              <c:numCache>
                <c:formatCode>0.00</c:formatCode>
                <c:ptCount val="62"/>
                <c:pt idx="0">
                  <c:v>2.3333333333333335</c:v>
                </c:pt>
                <c:pt idx="1">
                  <c:v>2.1666666666666665</c:v>
                </c:pt>
                <c:pt idx="2">
                  <c:v>2.25</c:v>
                </c:pt>
                <c:pt idx="3">
                  <c:v>2.1666666666666665</c:v>
                </c:pt>
                <c:pt idx="4">
                  <c:v>2.25</c:v>
                </c:pt>
                <c:pt idx="5">
                  <c:v>2.8333333333333335</c:v>
                </c:pt>
                <c:pt idx="6">
                  <c:v>2.1666666666666665</c:v>
                </c:pt>
                <c:pt idx="7">
                  <c:v>2.0833333333333335</c:v>
                </c:pt>
                <c:pt idx="8">
                  <c:v>2</c:v>
                </c:pt>
                <c:pt idx="9">
                  <c:v>2.25</c:v>
                </c:pt>
                <c:pt idx="10">
                  <c:v>2.3333333333333335</c:v>
                </c:pt>
                <c:pt idx="11">
                  <c:v>2.1666666666666665</c:v>
                </c:pt>
                <c:pt idx="12">
                  <c:v>1.9166666666666667</c:v>
                </c:pt>
                <c:pt idx="13">
                  <c:v>2.75</c:v>
                </c:pt>
                <c:pt idx="14">
                  <c:v>2.25</c:v>
                </c:pt>
                <c:pt idx="15">
                  <c:v>2.75</c:v>
                </c:pt>
                <c:pt idx="16">
                  <c:v>2</c:v>
                </c:pt>
                <c:pt idx="17">
                  <c:v>2.5833333333333335</c:v>
                </c:pt>
                <c:pt idx="18">
                  <c:v>2.1666666666666665</c:v>
                </c:pt>
                <c:pt idx="19">
                  <c:v>3</c:v>
                </c:pt>
                <c:pt idx="20">
                  <c:v>2.25</c:v>
                </c:pt>
                <c:pt idx="21">
                  <c:v>2.8333333333333335</c:v>
                </c:pt>
                <c:pt idx="22">
                  <c:v>2.4166666666666665</c:v>
                </c:pt>
                <c:pt idx="23">
                  <c:v>3.5</c:v>
                </c:pt>
                <c:pt idx="24">
                  <c:v>4.5</c:v>
                </c:pt>
                <c:pt idx="25">
                  <c:v>4.416666666666667</c:v>
                </c:pt>
                <c:pt idx="26">
                  <c:v>3.25</c:v>
                </c:pt>
                <c:pt idx="27">
                  <c:v>3.25</c:v>
                </c:pt>
                <c:pt idx="28">
                  <c:v>2.4166666666666665</c:v>
                </c:pt>
                <c:pt idx="29">
                  <c:v>2.75</c:v>
                </c:pt>
                <c:pt idx="30">
                  <c:v>2.08</c:v>
                </c:pt>
                <c:pt idx="31">
                  <c:v>2.08</c:v>
                </c:pt>
                <c:pt idx="32">
                  <c:v>1.5</c:v>
                </c:pt>
                <c:pt idx="33">
                  <c:v>1.67</c:v>
                </c:pt>
                <c:pt idx="34">
                  <c:v>1.17</c:v>
                </c:pt>
                <c:pt idx="35">
                  <c:v>1.25</c:v>
                </c:pt>
                <c:pt idx="36">
                  <c:v>1.5833333333333333</c:v>
                </c:pt>
                <c:pt idx="37">
                  <c:v>1.9166666666666667</c:v>
                </c:pt>
                <c:pt idx="38">
                  <c:v>2.9166666666666665</c:v>
                </c:pt>
                <c:pt idx="39">
                  <c:v>2.9166666666666665</c:v>
                </c:pt>
                <c:pt idx="40">
                  <c:v>1.6666666666666667</c:v>
                </c:pt>
                <c:pt idx="41">
                  <c:v>1.9166666666666667</c:v>
                </c:pt>
                <c:pt idx="42">
                  <c:v>1.5833333333333333</c:v>
                </c:pt>
                <c:pt idx="43">
                  <c:v>1.6666666666666667</c:v>
                </c:pt>
                <c:pt idx="44">
                  <c:v>0.91666666666666663</c:v>
                </c:pt>
                <c:pt idx="45">
                  <c:v>1</c:v>
                </c:pt>
                <c:pt idx="46">
                  <c:v>0.58333333333333337</c:v>
                </c:pt>
                <c:pt idx="47">
                  <c:v>0.75</c:v>
                </c:pt>
                <c:pt idx="48">
                  <c:v>1.9166666666666667</c:v>
                </c:pt>
                <c:pt idx="49">
                  <c:v>2.25</c:v>
                </c:pt>
                <c:pt idx="50">
                  <c:v>2</c:v>
                </c:pt>
                <c:pt idx="51">
                  <c:v>2.08</c:v>
                </c:pt>
                <c:pt idx="52">
                  <c:v>1.6666666666666667</c:v>
                </c:pt>
                <c:pt idx="53">
                  <c:v>2.0833333333333335</c:v>
                </c:pt>
                <c:pt idx="54">
                  <c:v>1.6666666666666667</c:v>
                </c:pt>
                <c:pt idx="55">
                  <c:v>2.5</c:v>
                </c:pt>
                <c:pt idx="56">
                  <c:v>3.4166666666666665</c:v>
                </c:pt>
                <c:pt idx="57">
                  <c:v>2.5833333333333335</c:v>
                </c:pt>
                <c:pt idx="58">
                  <c:v>2.25</c:v>
                </c:pt>
                <c:pt idx="59">
                  <c:v>2.4166666666666665</c:v>
                </c:pt>
                <c:pt idx="60">
                  <c:v>1.9166666666666667</c:v>
                </c:pt>
                <c:pt idx="61">
                  <c:v>1.8333333333333333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66F-4ECF-A0D1-3B7DBACE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1496"/>
        <c:axId val="446651888"/>
      </c:scatterChart>
      <c:valAx>
        <c:axId val="446651496"/>
        <c:scaling>
          <c:orientation val="minMax"/>
          <c:min val="1986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1888"/>
        <c:crosses val="autoZero"/>
        <c:crossBetween val="midCat"/>
        <c:majorUnit val="2"/>
        <c:minorUnit val="1"/>
      </c:valAx>
      <c:valAx>
        <c:axId val="446651888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ha.</a:t>
                </a:r>
              </a:p>
            </c:rich>
          </c:tx>
          <c:layout>
            <c:manualLayout>
              <c:xMode val="edge"/>
              <c:yMode val="edge"/>
              <c:x val="2.6854737985338051E-2"/>
              <c:y val="0.3821493307811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1496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Red Squirrel Density - Kloo Grid</a:t>
            </a: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</a:t>
            </a:r>
            <a:r>
              <a:rPr lang="en-CA" sz="8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25894378923158634"/>
          <c:y val="3.193191760120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5924857175779"/>
          <c:y val="0.15978004417410463"/>
          <c:w val="0.8471627762844236"/>
          <c:h val="0.6473846617399000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85-4644-AF17-E5E7539885F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85-4644-AF17-E5E7539885F5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85-4644-AF17-E5E7539885F5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85-4644-AF17-E5E7539885F5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85-4644-AF17-E5E7539885F5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85-4644-AF17-E5E7539885F5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85-4644-AF17-E5E7539885F5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685-4644-AF17-E5E7539885F5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685-4644-AF17-E5E7539885F5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685-4644-AF17-E5E7539885F5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685-4644-AF17-E5E7539885F5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685-4644-AF17-E5E7539885F5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685-4644-AF17-E5E7539885F5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685-4644-AF17-E5E7539885F5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685-4644-AF17-E5E7539885F5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685-4644-AF17-E5E7539885F5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685-4644-AF17-E5E7539885F5}"/>
              </c:ext>
            </c:extLst>
          </c:dPt>
          <c:dPt>
            <c:idx val="3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685-4644-AF17-E5E7539885F5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685-4644-AF17-E5E7539885F5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685-4644-AF17-E5E7539885F5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685-4644-AF17-E5E7539885F5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685-4644-AF17-E5E7539885F5}"/>
              </c:ext>
            </c:extLst>
          </c:dPt>
          <c:dPt>
            <c:idx val="4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685-4644-AF17-E5E7539885F5}"/>
              </c:ext>
            </c:extLst>
          </c:dPt>
          <c:dPt>
            <c:idx val="4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685-4644-AF17-E5E7539885F5}"/>
              </c:ext>
            </c:extLst>
          </c:dPt>
          <c:dPt>
            <c:idx val="4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685-4644-AF17-E5E7539885F5}"/>
              </c:ext>
            </c:extLst>
          </c:dPt>
          <c:xVal>
            <c:numRef>
              <c:f>'Red Squirrel'!$J$9:$J$70</c:f>
              <c:numCache>
                <c:formatCode>General</c:formatCode>
                <c:ptCount val="62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</c:numCache>
            </c:numRef>
          </c:xVal>
          <c:yVal>
            <c:numRef>
              <c:f>'Red Squirrel'!$D$9:$D$70</c:f>
              <c:numCache>
                <c:formatCode>0.00</c:formatCode>
                <c:ptCount val="62"/>
                <c:pt idx="0">
                  <c:v>1.4166666666666667</c:v>
                </c:pt>
                <c:pt idx="1">
                  <c:v>1.4166666666666667</c:v>
                </c:pt>
                <c:pt idx="2">
                  <c:v>1.5833333333333333</c:v>
                </c:pt>
                <c:pt idx="3">
                  <c:v>1.4166666666666667</c:v>
                </c:pt>
                <c:pt idx="4">
                  <c:v>1.6666666666666667</c:v>
                </c:pt>
                <c:pt idx="5">
                  <c:v>1.9166666666666667</c:v>
                </c:pt>
                <c:pt idx="6">
                  <c:v>1.8333333333333333</c:v>
                </c:pt>
                <c:pt idx="7">
                  <c:v>1.9166666666666667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1.3333333333333333</c:v>
                </c:pt>
                <c:pt idx="11">
                  <c:v>1.5833333333333333</c:v>
                </c:pt>
                <c:pt idx="12">
                  <c:v>1.5833333333333333</c:v>
                </c:pt>
                <c:pt idx="13">
                  <c:v>2.6666666666666665</c:v>
                </c:pt>
                <c:pt idx="14">
                  <c:v>3</c:v>
                </c:pt>
                <c:pt idx="15">
                  <c:v>3.3333333333333335</c:v>
                </c:pt>
                <c:pt idx="16">
                  <c:v>2.1666666666666665</c:v>
                </c:pt>
                <c:pt idx="17">
                  <c:v>2.9166666666666665</c:v>
                </c:pt>
                <c:pt idx="18">
                  <c:v>2.4166666666666665</c:v>
                </c:pt>
                <c:pt idx="19">
                  <c:v>2.5833333333333335</c:v>
                </c:pt>
                <c:pt idx="20">
                  <c:v>2.6666666666666665</c:v>
                </c:pt>
                <c:pt idx="21">
                  <c:v>3.25</c:v>
                </c:pt>
                <c:pt idx="22">
                  <c:v>3.6666666666666665</c:v>
                </c:pt>
                <c:pt idx="23">
                  <c:v>5.083333333333333</c:v>
                </c:pt>
                <c:pt idx="24">
                  <c:v>5.166666666666667</c:v>
                </c:pt>
                <c:pt idx="25">
                  <c:v>5.25</c:v>
                </c:pt>
                <c:pt idx="26">
                  <c:v>3.6666666666666665</c:v>
                </c:pt>
                <c:pt idx="27">
                  <c:v>3</c:v>
                </c:pt>
                <c:pt idx="28">
                  <c:v>2.5833333333333335</c:v>
                </c:pt>
                <c:pt idx="29">
                  <c:v>2.9166666666666665</c:v>
                </c:pt>
                <c:pt idx="30">
                  <c:v>2.17</c:v>
                </c:pt>
                <c:pt idx="31">
                  <c:v>2.75</c:v>
                </c:pt>
                <c:pt idx="32">
                  <c:v>2.17</c:v>
                </c:pt>
                <c:pt idx="33">
                  <c:v>2</c:v>
                </c:pt>
                <c:pt idx="34">
                  <c:v>1.67</c:v>
                </c:pt>
                <c:pt idx="35">
                  <c:v>1.58</c:v>
                </c:pt>
                <c:pt idx="36">
                  <c:v>1.4166666666666667</c:v>
                </c:pt>
                <c:pt idx="37">
                  <c:v>2</c:v>
                </c:pt>
                <c:pt idx="38">
                  <c:v>2.6666666666666665</c:v>
                </c:pt>
                <c:pt idx="39">
                  <c:v>2.9166666666666665</c:v>
                </c:pt>
                <c:pt idx="40">
                  <c:v>2.1666666666666665</c:v>
                </c:pt>
                <c:pt idx="41">
                  <c:v>2.5833333333333335</c:v>
                </c:pt>
                <c:pt idx="42">
                  <c:v>1.9166666666666667</c:v>
                </c:pt>
                <c:pt idx="43">
                  <c:v>2.4166666666666665</c:v>
                </c:pt>
                <c:pt idx="44">
                  <c:v>1.25</c:v>
                </c:pt>
                <c:pt idx="45">
                  <c:v>1.8333333333333333</c:v>
                </c:pt>
                <c:pt idx="46">
                  <c:v>0.91666666666666663</c:v>
                </c:pt>
                <c:pt idx="47">
                  <c:v>1.0833333333333333</c:v>
                </c:pt>
                <c:pt idx="48">
                  <c:v>1.8333333333333333</c:v>
                </c:pt>
                <c:pt idx="49">
                  <c:v>2.3333333333333335</c:v>
                </c:pt>
                <c:pt idx="50">
                  <c:v>2</c:v>
                </c:pt>
                <c:pt idx="51">
                  <c:v>2.5</c:v>
                </c:pt>
                <c:pt idx="52">
                  <c:v>2.3333333333333335</c:v>
                </c:pt>
                <c:pt idx="53">
                  <c:v>3.3333333333333335</c:v>
                </c:pt>
                <c:pt idx="54">
                  <c:v>2.0833333333333335</c:v>
                </c:pt>
                <c:pt idx="55">
                  <c:v>3.6666666666666665</c:v>
                </c:pt>
                <c:pt idx="56">
                  <c:v>5.416666666666667</c:v>
                </c:pt>
                <c:pt idx="57">
                  <c:v>4.25</c:v>
                </c:pt>
                <c:pt idx="58">
                  <c:v>3.3333333333333335</c:v>
                </c:pt>
                <c:pt idx="59">
                  <c:v>3.3333333333333335</c:v>
                </c:pt>
                <c:pt idx="60">
                  <c:v>2.5833333333333335</c:v>
                </c:pt>
                <c:pt idx="61">
                  <c:v>3.0833333333333335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685-4644-AF17-E5E75398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5024"/>
        <c:axId val="446648752"/>
      </c:scatterChart>
      <c:valAx>
        <c:axId val="446655024"/>
        <c:scaling>
          <c:orientation val="minMax"/>
          <c:min val="1986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48752"/>
        <c:crosses val="autoZero"/>
        <c:crossBetween val="midCat"/>
        <c:majorUnit val="2"/>
        <c:minorUnit val="1"/>
      </c:valAx>
      <c:valAx>
        <c:axId val="446648752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ha.</a:t>
                </a:r>
              </a:p>
            </c:rich>
          </c:tx>
          <c:layout>
            <c:manualLayout>
              <c:xMode val="edge"/>
              <c:yMode val="edge"/>
              <c:x val="2.7257160540522206E-2"/>
              <c:y val="0.377861651591071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5024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Birch (</a:t>
            </a:r>
            <a:r>
              <a:rPr lang="en-CA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Betula glandulosa)</a:t>
            </a:r>
          </a:p>
        </c:rich>
      </c:tx>
      <c:layout>
        <c:manualLayout>
          <c:xMode val="edge"/>
          <c:yMode val="edge"/>
          <c:x val="0.34732751306389154"/>
          <c:y val="5.9412379277833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5039823275002"/>
          <c:y val="0.17000036315995545"/>
          <c:w val="0.65338241312652978"/>
          <c:h val="0.56500120697279665"/>
        </c:manualLayout>
      </c:layout>
      <c:lineChart>
        <c:grouping val="standard"/>
        <c:varyColors val="0"/>
        <c:ser>
          <c:idx val="0"/>
          <c:order val="0"/>
          <c:tx>
            <c:v>Complete Browse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Browse!$T$34:$T$53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4</c:v>
                  </c:pt>
                  <c:pt idx="2">
                    <c:v>5.3999999999999986</c:v>
                  </c:pt>
                  <c:pt idx="3">
                    <c:v>5.0999999999999943</c:v>
                  </c:pt>
                  <c:pt idx="4">
                    <c:v>5.2999999999999972</c:v>
                  </c:pt>
                  <c:pt idx="5">
                    <c:v>10</c:v>
                  </c:pt>
                  <c:pt idx="6">
                    <c:v>4.0999999999999996</c:v>
                  </c:pt>
                  <c:pt idx="7">
                    <c:v>2.9</c:v>
                  </c:pt>
                  <c:pt idx="8">
                    <c:v>4.9000000000000004</c:v>
                  </c:pt>
                  <c:pt idx="9">
                    <c:v>6.5</c:v>
                  </c:pt>
                  <c:pt idx="10">
                    <c:v>8.66</c:v>
                  </c:pt>
                  <c:pt idx="11">
                    <c:v>9.129999999999999</c:v>
                  </c:pt>
                  <c:pt idx="12">
                    <c:v>2.6999999999999957</c:v>
                  </c:pt>
                  <c:pt idx="13">
                    <c:v>1.8199999999999998</c:v>
                  </c:pt>
                  <c:pt idx="14">
                    <c:v>1.3399999999999999</c:v>
                  </c:pt>
                  <c:pt idx="15">
                    <c:v>0</c:v>
                  </c:pt>
                  <c:pt idx="16">
                    <c:v>1.52</c:v>
                  </c:pt>
                  <c:pt idx="17">
                    <c:v>1.1000000000000001</c:v>
                  </c:pt>
                  <c:pt idx="18">
                    <c:v>1.51</c:v>
                  </c:pt>
                  <c:pt idx="19">
                    <c:v>3.0599999999999996</c:v>
                  </c:pt>
                </c:numCache>
              </c:numRef>
            </c:plus>
            <c:minus>
              <c:numRef>
                <c:f>Browse!$S$34:$S$53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</c:v>
                  </c:pt>
                  <c:pt idx="2">
                    <c:v>5.6000000000000014</c:v>
                  </c:pt>
                  <c:pt idx="3">
                    <c:v>5.9000000000000057</c:v>
                  </c:pt>
                  <c:pt idx="4">
                    <c:v>7.7000000000000028</c:v>
                  </c:pt>
                  <c:pt idx="5">
                    <c:v>9</c:v>
                  </c:pt>
                  <c:pt idx="6">
                    <c:v>0.9</c:v>
                  </c:pt>
                  <c:pt idx="7">
                    <c:v>0.1</c:v>
                  </c:pt>
                  <c:pt idx="8">
                    <c:v>2.1</c:v>
                  </c:pt>
                  <c:pt idx="9">
                    <c:v>4.5</c:v>
                  </c:pt>
                  <c:pt idx="10">
                    <c:v>7.1499999999999986</c:v>
                  </c:pt>
                  <c:pt idx="11">
                    <c:v>7.870000000000001</c:v>
                  </c:pt>
                  <c:pt idx="12">
                    <c:v>2.4700000000000024</c:v>
                  </c:pt>
                  <c:pt idx="13">
                    <c:v>0.86999999999999988</c:v>
                  </c:pt>
                  <c:pt idx="14">
                    <c:v>0.27999999999999997</c:v>
                  </c:pt>
                  <c:pt idx="15">
                    <c:v>0</c:v>
                  </c:pt>
                  <c:pt idx="16">
                    <c:v>0.52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Browse!$B$34:$B$54</c:f>
              <c:strCache>
                <c:ptCount val="21"/>
                <c:pt idx="0">
                  <c:v>1986-87</c:v>
                </c:pt>
                <c:pt idx="1">
                  <c:v>1987-88</c:v>
                </c:pt>
                <c:pt idx="2">
                  <c:v>1988-89</c:v>
                </c:pt>
                <c:pt idx="3">
                  <c:v>1989-90</c:v>
                </c:pt>
                <c:pt idx="4">
                  <c:v>1990-91</c:v>
                </c:pt>
                <c:pt idx="5">
                  <c:v>1991-92</c:v>
                </c:pt>
                <c:pt idx="6">
                  <c:v>1992-93</c:v>
                </c:pt>
                <c:pt idx="7">
                  <c:v>1993-94</c:v>
                </c:pt>
                <c:pt idx="8">
                  <c:v>1994-95</c:v>
                </c:pt>
                <c:pt idx="9">
                  <c:v>1995-96</c:v>
                </c:pt>
                <c:pt idx="10">
                  <c:v>1996-97</c:v>
                </c:pt>
                <c:pt idx="11">
                  <c:v>1997-98</c:v>
                </c:pt>
                <c:pt idx="12">
                  <c:v>1998-99</c:v>
                </c:pt>
                <c:pt idx="13">
                  <c:v>1999-00</c:v>
                </c:pt>
                <c:pt idx="14">
                  <c:v>2000-01</c:v>
                </c:pt>
                <c:pt idx="15">
                  <c:v>2001-02</c:v>
                </c:pt>
                <c:pt idx="16">
                  <c:v>2002-03</c:v>
                </c:pt>
                <c:pt idx="17">
                  <c:v>2003-04</c:v>
                </c:pt>
                <c:pt idx="18">
                  <c:v>2004-05</c:v>
                </c:pt>
                <c:pt idx="19">
                  <c:v>2005-06</c:v>
                </c:pt>
                <c:pt idx="20">
                  <c:v>2006-07</c:v>
                </c:pt>
              </c:strCache>
            </c:strRef>
          </c:cat>
          <c:val>
            <c:numRef>
              <c:f>Browse!$C$34:$C$54</c:f>
              <c:numCache>
                <c:formatCode>0.00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55.6</c:v>
                </c:pt>
                <c:pt idx="3">
                  <c:v>76.900000000000006</c:v>
                </c:pt>
                <c:pt idx="4">
                  <c:v>85.7</c:v>
                </c:pt>
                <c:pt idx="5">
                  <c:v>33</c:v>
                </c:pt>
                <c:pt idx="6">
                  <c:v>0.9</c:v>
                </c:pt>
                <c:pt idx="7">
                  <c:v>0.1</c:v>
                </c:pt>
                <c:pt idx="8">
                  <c:v>2.1</c:v>
                </c:pt>
                <c:pt idx="9">
                  <c:v>8.5</c:v>
                </c:pt>
                <c:pt idx="10">
                  <c:v>21.74</c:v>
                </c:pt>
                <c:pt idx="11">
                  <c:v>26.55</c:v>
                </c:pt>
                <c:pt idx="12">
                  <c:v>31.21</c:v>
                </c:pt>
                <c:pt idx="13">
                  <c:v>1.19</c:v>
                </c:pt>
                <c:pt idx="14">
                  <c:v>0.28999999999999998</c:v>
                </c:pt>
                <c:pt idx="15">
                  <c:v>0</c:v>
                </c:pt>
                <c:pt idx="16">
                  <c:v>0.59</c:v>
                </c:pt>
                <c:pt idx="17">
                  <c:v>0</c:v>
                </c:pt>
                <c:pt idx="18">
                  <c:v>0</c:v>
                </c:pt>
                <c:pt idx="19">
                  <c:v>3.25</c:v>
                </c:pt>
                <c:pt idx="20">
                  <c:v>2.4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68-4658-801B-0A55889BC4C0}"/>
            </c:ext>
          </c:extLst>
        </c:ser>
        <c:ser>
          <c:idx val="1"/>
          <c:order val="1"/>
          <c:tx>
            <c:v>Partial browse</c:v>
          </c:tx>
          <c:spPr>
            <a:ln w="25400">
              <a:solidFill>
                <a:srgbClr val="3333CC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3333CC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val>
            <c:numRef>
              <c:f>Browse!$D$34:$D$54</c:f>
              <c:numCache>
                <c:formatCode>0.0</c:formatCode>
                <c:ptCount val="21"/>
                <c:pt idx="1">
                  <c:v>22.25</c:v>
                </c:pt>
                <c:pt idx="2">
                  <c:v>23.28</c:v>
                </c:pt>
                <c:pt idx="3">
                  <c:v>17.75</c:v>
                </c:pt>
                <c:pt idx="4">
                  <c:v>9.3000000000000007</c:v>
                </c:pt>
                <c:pt idx="5">
                  <c:v>9.82</c:v>
                </c:pt>
                <c:pt idx="6">
                  <c:v>0</c:v>
                </c:pt>
                <c:pt idx="7">
                  <c:v>2.75</c:v>
                </c:pt>
                <c:pt idx="8">
                  <c:v>1.1000000000000001</c:v>
                </c:pt>
                <c:pt idx="9">
                  <c:v>22.9</c:v>
                </c:pt>
                <c:pt idx="10" formatCode="0.00">
                  <c:v>32.17</c:v>
                </c:pt>
                <c:pt idx="11" formatCode="0.00">
                  <c:v>44.25</c:v>
                </c:pt>
                <c:pt idx="12" formatCode="0.00">
                  <c:v>43.03</c:v>
                </c:pt>
                <c:pt idx="13" formatCode="0.00">
                  <c:v>11.57</c:v>
                </c:pt>
                <c:pt idx="14" formatCode="0.00">
                  <c:v>0</c:v>
                </c:pt>
                <c:pt idx="15" formatCode="0.00">
                  <c:v>0.59</c:v>
                </c:pt>
                <c:pt idx="16" formatCode="0.00">
                  <c:v>1.76</c:v>
                </c:pt>
                <c:pt idx="17" formatCode="0.00">
                  <c:v>6</c:v>
                </c:pt>
                <c:pt idx="18" formatCode="0.00">
                  <c:v>8.64</c:v>
                </c:pt>
                <c:pt idx="19" formatCode="0.00">
                  <c:v>50</c:v>
                </c:pt>
                <c:pt idx="20" formatCode="0.00">
                  <c:v>27.2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68-4658-801B-0A55889B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6192"/>
        <c:axId val="435606976"/>
      </c:lineChart>
      <c:catAx>
        <c:axId val="43560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 </a:t>
                </a:r>
              </a:p>
            </c:rich>
          </c:tx>
          <c:layout>
            <c:manualLayout>
              <c:xMode val="edge"/>
              <c:yMode val="edge"/>
              <c:x val="0.43038402677007115"/>
              <c:y val="0.90056485657739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6069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356069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Percent browsed</a:t>
                </a:r>
              </a:p>
            </c:rich>
          </c:tx>
          <c:layout>
            <c:manualLayout>
              <c:xMode val="edge"/>
              <c:yMode val="edge"/>
              <c:x val="2.8692342460214026E-2"/>
              <c:y val="0.28455350848134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60619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60422960725053"/>
          <c:y val="0.38187702265372181"/>
          <c:w val="0.18580060422960717"/>
          <c:h val="0.11974110032362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-3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Red Squirrel Density - Chitty Grid</a:t>
            </a: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</a:t>
            </a:r>
            <a:r>
              <a:rPr lang="en-CA" sz="8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25210105213531947"/>
          <c:y val="3.2768954728116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7645104230028"/>
          <c:y val="0.1812228523270539"/>
          <c:w val="0.82955911096219359"/>
          <c:h val="0.631004871355645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3C-4EB2-9D47-A4E046372BF0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3C-4EB2-9D47-A4E046372BF0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3C-4EB2-9D47-A4E046372BF0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23C-4EB2-9D47-A4E046372BF0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3C-4EB2-9D47-A4E046372BF0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23C-4EB2-9D47-A4E046372BF0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23C-4EB2-9D47-A4E046372BF0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23C-4EB2-9D47-A4E046372BF0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23C-4EB2-9D47-A4E046372BF0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23C-4EB2-9D47-A4E046372BF0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23C-4EB2-9D47-A4E046372BF0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23C-4EB2-9D47-A4E046372BF0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23C-4EB2-9D47-A4E046372BF0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23C-4EB2-9D47-A4E046372BF0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23C-4EB2-9D47-A4E046372BF0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23C-4EB2-9D47-A4E046372BF0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23C-4EB2-9D47-A4E046372BF0}"/>
              </c:ext>
            </c:extLst>
          </c:dPt>
          <c:dPt>
            <c:idx val="3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23C-4EB2-9D47-A4E046372BF0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3C-4EB2-9D47-A4E046372BF0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23C-4EB2-9D47-A4E046372BF0}"/>
              </c:ext>
            </c:extLst>
          </c:dPt>
          <c:dPt>
            <c:idx val="41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3C-4EB2-9D47-A4E046372BF0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23C-4EB2-9D47-A4E046372BF0}"/>
              </c:ext>
            </c:extLst>
          </c:dPt>
          <c:dPt>
            <c:idx val="5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23C-4EB2-9D47-A4E046372BF0}"/>
              </c:ext>
            </c:extLst>
          </c:dPt>
          <c:dPt>
            <c:idx val="5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23C-4EB2-9D47-A4E046372BF0}"/>
              </c:ext>
            </c:extLst>
          </c:dPt>
          <c:dPt>
            <c:idx val="57"/>
            <c:marker>
              <c:spPr>
                <a:solidFill>
                  <a:srgbClr val="0000FF"/>
                </a:solidFill>
                <a:ln>
                  <a:solidFill>
                    <a:srgbClr val="000080">
                      <a:alpha val="90000"/>
                    </a:srgbClr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23C-4EB2-9D47-A4E046372BF0}"/>
              </c:ext>
            </c:extLst>
          </c:dPt>
          <c:dPt>
            <c:idx val="60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BCB-4916-BA18-7FF225872FCB}"/>
              </c:ext>
            </c:extLst>
          </c:dPt>
          <c:dPt>
            <c:idx val="62"/>
            <c:marker>
              <c:spPr>
                <a:solidFill>
                  <a:srgbClr val="0000FF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BCB-4916-BA18-7FF225872FCB}"/>
              </c:ext>
            </c:extLst>
          </c:dPt>
          <c:xVal>
            <c:numRef>
              <c:f>'Red Squirrel'!$J$9:$J$71</c:f>
              <c:numCache>
                <c:formatCode>General</c:formatCode>
                <c:ptCount val="63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  <c:pt idx="62">
                  <c:v>2018.4</c:v>
                </c:pt>
              </c:numCache>
            </c:numRef>
          </c:xVal>
          <c:yVal>
            <c:numRef>
              <c:f>'Red Squirrel'!$E$9:$E$71</c:f>
              <c:numCache>
                <c:formatCode>0.00</c:formatCode>
                <c:ptCount val="63"/>
                <c:pt idx="12">
                  <c:v>3.5666666666666664</c:v>
                </c:pt>
                <c:pt idx="13">
                  <c:v>4.166666666666667</c:v>
                </c:pt>
                <c:pt idx="14">
                  <c:v>2.85</c:v>
                </c:pt>
                <c:pt idx="15">
                  <c:v>4.541666666666667</c:v>
                </c:pt>
                <c:pt idx="16">
                  <c:v>3.1666666666666665</c:v>
                </c:pt>
                <c:pt idx="17">
                  <c:v>2.1</c:v>
                </c:pt>
                <c:pt idx="22">
                  <c:v>3.95</c:v>
                </c:pt>
                <c:pt idx="23">
                  <c:v>4.3499999999999996</c:v>
                </c:pt>
                <c:pt idx="24">
                  <c:v>4.52719</c:v>
                </c:pt>
                <c:pt idx="25">
                  <c:v>4.125</c:v>
                </c:pt>
                <c:pt idx="26">
                  <c:v>2.8797000000000001</c:v>
                </c:pt>
                <c:pt idx="27">
                  <c:v>2.9483000000000001</c:v>
                </c:pt>
                <c:pt idx="28">
                  <c:v>2.1381999999999999</c:v>
                </c:pt>
                <c:pt idx="29">
                  <c:v>2.6438999999999999</c:v>
                </c:pt>
                <c:pt idx="30">
                  <c:v>2.6027</c:v>
                </c:pt>
                <c:pt idx="31">
                  <c:v>2.7991999999999999</c:v>
                </c:pt>
                <c:pt idx="32">
                  <c:v>2.0240999999999998</c:v>
                </c:pt>
                <c:pt idx="33">
                  <c:v>2.903</c:v>
                </c:pt>
                <c:pt idx="34">
                  <c:v>2.1920999999999999</c:v>
                </c:pt>
                <c:pt idx="35">
                  <c:v>2.4495</c:v>
                </c:pt>
                <c:pt idx="36">
                  <c:v>2.2820999999999998</c:v>
                </c:pt>
                <c:pt idx="37">
                  <c:v>2.2854000000000001</c:v>
                </c:pt>
                <c:pt idx="38">
                  <c:v>1.6046</c:v>
                </c:pt>
                <c:pt idx="39">
                  <c:v>2.8359999999999999</c:v>
                </c:pt>
                <c:pt idx="40">
                  <c:v>1.3825000000000001</c:v>
                </c:pt>
                <c:pt idx="41">
                  <c:v>1.1154999999999999</c:v>
                </c:pt>
                <c:pt idx="42">
                  <c:v>2.5070000000000001</c:v>
                </c:pt>
                <c:pt idx="43">
                  <c:v>5.0648</c:v>
                </c:pt>
                <c:pt idx="48">
                  <c:v>2.1549999999999998</c:v>
                </c:pt>
                <c:pt idx="50">
                  <c:v>2.95</c:v>
                </c:pt>
                <c:pt idx="52">
                  <c:v>4.1020000000000003</c:v>
                </c:pt>
                <c:pt idx="53">
                  <c:v>4.3277999999999999</c:v>
                </c:pt>
                <c:pt idx="54">
                  <c:v>2.9049999999999998</c:v>
                </c:pt>
                <c:pt idx="55">
                  <c:v>5.4470000000000001</c:v>
                </c:pt>
                <c:pt idx="56">
                  <c:v>5.95</c:v>
                </c:pt>
                <c:pt idx="57">
                  <c:v>4.72</c:v>
                </c:pt>
                <c:pt idx="58">
                  <c:v>6.36</c:v>
                </c:pt>
                <c:pt idx="60">
                  <c:v>3.85</c:v>
                </c:pt>
                <c:pt idx="61">
                  <c:v>5.9</c:v>
                </c:pt>
                <c:pt idx="62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23C-4EB2-9D47-A4E04637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3848"/>
        <c:axId val="446654240"/>
      </c:scatterChart>
      <c:valAx>
        <c:axId val="44665384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4240"/>
        <c:crosses val="autoZero"/>
        <c:crossBetween val="midCat"/>
        <c:majorUnit val="2"/>
        <c:minorUnit val="1"/>
      </c:valAx>
      <c:valAx>
        <c:axId val="44665424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ha.</a:t>
                </a:r>
              </a:p>
            </c:rich>
          </c:tx>
          <c:layout>
            <c:manualLayout>
              <c:xMode val="edge"/>
              <c:yMode val="edge"/>
              <c:x val="3.1932873675765035E-2"/>
              <c:y val="0.379574417604582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3848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Red Squirrel Density - Gravel Pit Control</a:t>
            </a: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</a:t>
            </a:r>
            <a:r>
              <a:rPr lang="en-CA" sz="8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 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19355957698270168"/>
          <c:y val="3.2768954728116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4927629660327"/>
          <c:y val="0.17984993401248578"/>
          <c:w val="0.84356845584403528"/>
          <c:h val="0.62712037407412968"/>
        </c:manualLayout>
      </c:layout>
      <c:scatterChart>
        <c:scatterStyle val="lineMarker"/>
        <c:varyColors val="0"/>
        <c:ser>
          <c:idx val="0"/>
          <c:order val="0"/>
          <c:tx>
            <c:v>Gravel Pit Control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7D-4F3E-8CAB-9474227DA304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7D-4F3E-8CAB-9474227DA304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C7D-4F3E-8CAB-9474227DA304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7D-4F3E-8CAB-9474227DA304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C7D-4F3E-8CAB-9474227DA304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C7D-4F3E-8CAB-9474227DA304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C7D-4F3E-8CAB-9474227DA304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7D-4F3E-8CAB-9474227DA304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C7D-4F3E-8CAB-9474227DA304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C7D-4F3E-8CAB-9474227DA304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C7D-4F3E-8CAB-9474227DA304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7D-4F3E-8CAB-9474227DA304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C7D-4F3E-8CAB-9474227DA304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C7D-4F3E-8CAB-9474227DA304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C7D-4F3E-8CAB-9474227DA304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C7D-4F3E-8CAB-9474227DA304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C7D-4F3E-8CAB-9474227DA304}"/>
              </c:ext>
            </c:extLst>
          </c:dPt>
          <c:dPt>
            <c:idx val="3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C7D-4F3E-8CAB-9474227DA304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C7D-4F3E-8CAB-9474227DA304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C7D-4F3E-8CAB-9474227DA304}"/>
              </c:ext>
            </c:extLst>
          </c:dPt>
          <c:dPt>
            <c:idx val="41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C7D-4F3E-8CAB-9474227DA304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C7D-4F3E-8CAB-9474227DA304}"/>
              </c:ext>
            </c:extLst>
          </c:dPt>
          <c:dPt>
            <c:idx val="4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C7D-4F3E-8CAB-9474227DA304}"/>
              </c:ext>
            </c:extLst>
          </c:dPt>
          <c:dPt>
            <c:idx val="6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414-4CBB-B1FF-D822C197EC85}"/>
              </c:ext>
            </c:extLst>
          </c:dPt>
          <c:dPt>
            <c:idx val="6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414-4CBB-B1FF-D822C197EC85}"/>
              </c:ext>
            </c:extLst>
          </c:dPt>
          <c:xVal>
            <c:numRef>
              <c:f>'Red Squirrel'!$J$9:$J$71</c:f>
              <c:numCache>
                <c:formatCode>General</c:formatCode>
                <c:ptCount val="63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  <c:pt idx="62">
                  <c:v>2018.4</c:v>
                </c:pt>
              </c:numCache>
            </c:numRef>
          </c:xVal>
          <c:yVal>
            <c:numRef>
              <c:f>'Red Squirrel'!$F$9:$F$71</c:f>
              <c:numCache>
                <c:formatCode>0.00</c:formatCode>
                <c:ptCount val="63"/>
                <c:pt idx="12">
                  <c:v>2.3083333333333331</c:v>
                </c:pt>
                <c:pt idx="13">
                  <c:v>1.5416666666666667</c:v>
                </c:pt>
                <c:pt idx="14">
                  <c:v>2.5666666666666669</c:v>
                </c:pt>
                <c:pt idx="15">
                  <c:v>5.05</c:v>
                </c:pt>
                <c:pt idx="16">
                  <c:v>2.9916666666666667</c:v>
                </c:pt>
                <c:pt idx="22">
                  <c:v>3.4333333333333336</c:v>
                </c:pt>
                <c:pt idx="23">
                  <c:v>4.1166666666666663</c:v>
                </c:pt>
                <c:pt idx="24">
                  <c:v>4.4416666666666664</c:v>
                </c:pt>
                <c:pt idx="25">
                  <c:v>2.7749999999999999</c:v>
                </c:pt>
                <c:pt idx="26">
                  <c:v>3.593</c:v>
                </c:pt>
                <c:pt idx="27">
                  <c:v>2.2890000000000001</c:v>
                </c:pt>
                <c:pt idx="28">
                  <c:v>2.3397000000000001</c:v>
                </c:pt>
                <c:pt idx="29">
                  <c:v>2.7925</c:v>
                </c:pt>
                <c:pt idx="30">
                  <c:v>2.5318999999999998</c:v>
                </c:pt>
                <c:pt idx="31">
                  <c:v>2.3338000000000001</c:v>
                </c:pt>
                <c:pt idx="32">
                  <c:v>1.4436</c:v>
                </c:pt>
                <c:pt idx="33">
                  <c:v>2.4523000000000001</c:v>
                </c:pt>
                <c:pt idx="34">
                  <c:v>1.2209000000000001</c:v>
                </c:pt>
                <c:pt idx="35">
                  <c:v>2.1021999999999998</c:v>
                </c:pt>
                <c:pt idx="36">
                  <c:v>1.617</c:v>
                </c:pt>
                <c:pt idx="37">
                  <c:v>3.4093</c:v>
                </c:pt>
                <c:pt idx="38">
                  <c:v>2.4669599999999998</c:v>
                </c:pt>
                <c:pt idx="39">
                  <c:v>3.2906</c:v>
                </c:pt>
                <c:pt idx="40">
                  <c:v>2.1989000000000001</c:v>
                </c:pt>
                <c:pt idx="41">
                  <c:v>3.5232000000000001</c:v>
                </c:pt>
                <c:pt idx="42">
                  <c:v>2.9496000000000002</c:v>
                </c:pt>
                <c:pt idx="43">
                  <c:v>2.7536</c:v>
                </c:pt>
                <c:pt idx="44">
                  <c:v>1.5241</c:v>
                </c:pt>
                <c:pt idx="45">
                  <c:v>0.75</c:v>
                </c:pt>
                <c:pt idx="46">
                  <c:v>0.75509999999999999</c:v>
                </c:pt>
                <c:pt idx="48">
                  <c:v>1.9708000000000001</c:v>
                </c:pt>
                <c:pt idx="50">
                  <c:v>2.113</c:v>
                </c:pt>
                <c:pt idx="52">
                  <c:v>1.1666666666666667</c:v>
                </c:pt>
                <c:pt idx="54">
                  <c:v>1.8347</c:v>
                </c:pt>
                <c:pt idx="56">
                  <c:v>5.73</c:v>
                </c:pt>
                <c:pt idx="58">
                  <c:v>3.16</c:v>
                </c:pt>
                <c:pt idx="60">
                  <c:v>3.49</c:v>
                </c:pt>
                <c:pt idx="61">
                  <c:v>3.79</c:v>
                </c:pt>
                <c:pt idx="62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C7D-4F3E-8CAB-9474227D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1104"/>
        <c:axId val="446655416"/>
      </c:scatterChart>
      <c:valAx>
        <c:axId val="446651104"/>
        <c:scaling>
          <c:orientation val="minMax"/>
          <c:min val="1986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5416"/>
        <c:crosses val="autoZero"/>
        <c:crossBetween val="midCat"/>
        <c:majorUnit val="2"/>
        <c:minorUnit val="1"/>
      </c:valAx>
      <c:valAx>
        <c:axId val="446655416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ha.</a:t>
                </a:r>
              </a:p>
            </c:rich>
          </c:tx>
          <c:layout>
            <c:manualLayout>
              <c:xMode val="edge"/>
              <c:yMode val="edge"/>
              <c:x val="3.0832527513008252E-2"/>
              <c:y val="0.379574417604582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1104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Arctic Ground Squirrel Density</a:t>
            </a:r>
            <a:endParaRPr lang="en-CA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11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11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blue</a:t>
            </a:r>
            <a:r>
              <a:rPr lang="en-CA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=summer)</a:t>
            </a:r>
          </a:p>
        </c:rich>
      </c:tx>
      <c:layout>
        <c:manualLayout>
          <c:xMode val="edge"/>
          <c:yMode val="edge"/>
          <c:x val="0.24730106128038343"/>
          <c:y val="3.1529156681501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4122719698591"/>
          <c:y val="0.20378198294448124"/>
          <c:w val="0.83291092091749397"/>
          <c:h val="0.605043413278468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12-4439-802F-CD04973AE91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12-4439-802F-CD04973AE91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12-4439-802F-CD04973AE91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C12-4439-802F-CD04973AE91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C12-4439-802F-CD04973AE91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C12-4439-802F-CD04973AE91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C12-4439-802F-CD04973AE91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C12-4439-802F-CD04973AE91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C12-4439-802F-CD04973AE91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C12-4439-802F-CD04973AE912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C12-4439-802F-CD04973AE912}"/>
              </c:ext>
            </c:extLst>
          </c:dPt>
          <c:dPt>
            <c:idx val="2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C12-4439-802F-CD04973AE912}"/>
              </c:ext>
            </c:extLst>
          </c:dPt>
          <c:dPt>
            <c:idx val="24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C12-4439-802F-CD04973AE912}"/>
              </c:ext>
            </c:extLst>
          </c:dPt>
          <c:dPt>
            <c:idx val="26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C12-4439-802F-CD04973AE912}"/>
              </c:ext>
            </c:extLst>
          </c:dPt>
          <c:dPt>
            <c:idx val="28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C12-4439-802F-CD04973AE912}"/>
              </c:ext>
            </c:extLst>
          </c:dPt>
          <c:dPt>
            <c:idx val="3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C12-4439-802F-CD04973AE912}"/>
              </c:ext>
            </c:extLst>
          </c:dPt>
          <c:dPt>
            <c:idx val="3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C12-4439-802F-CD04973AE912}"/>
              </c:ext>
            </c:extLst>
          </c:dPt>
          <c:dPt>
            <c:idx val="34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C12-4439-802F-CD04973AE912}"/>
              </c:ext>
            </c:extLst>
          </c:dPt>
          <c:dPt>
            <c:idx val="36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C12-4439-802F-CD04973AE912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C12-4439-802F-CD04973AE912}"/>
              </c:ext>
            </c:extLst>
          </c:dPt>
          <c:dPt>
            <c:idx val="4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C12-4439-802F-CD04973AE912}"/>
              </c:ext>
            </c:extLst>
          </c:dPt>
          <c:dPt>
            <c:idx val="4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C12-4439-802F-CD04973AE912}"/>
              </c:ext>
            </c:extLst>
          </c:dPt>
          <c:dPt>
            <c:idx val="44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C12-4439-802F-CD04973AE912}"/>
              </c:ext>
            </c:extLst>
          </c:dPt>
          <c:dPt>
            <c:idx val="46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C12-4439-802F-CD04973AE912}"/>
              </c:ext>
            </c:extLst>
          </c:dPt>
          <c:dPt>
            <c:idx val="48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C12-4439-802F-CD04973AE912}"/>
              </c:ext>
            </c:extLst>
          </c:dPt>
          <c:dPt>
            <c:idx val="50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C12-4439-802F-CD04973AE912}"/>
              </c:ext>
            </c:extLst>
          </c:dPt>
          <c:dPt>
            <c:idx val="52"/>
            <c:marker>
              <c:spPr>
                <a:solidFill>
                  <a:srgbClr val="FF000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DBC-4780-9164-466C73227EB2}"/>
              </c:ext>
            </c:extLst>
          </c:dPt>
          <c:xVal>
            <c:numRef>
              <c:f>'Ground Squirrel'!$G$7:$G$64</c:f>
              <c:numCache>
                <c:formatCode>General</c:formatCode>
                <c:ptCount val="58"/>
                <c:pt idx="0">
                  <c:v>1990.4</c:v>
                </c:pt>
                <c:pt idx="1">
                  <c:v>1990.6</c:v>
                </c:pt>
                <c:pt idx="2">
                  <c:v>1991.4</c:v>
                </c:pt>
                <c:pt idx="3">
                  <c:v>1991.6</c:v>
                </c:pt>
                <c:pt idx="4">
                  <c:v>1992.4</c:v>
                </c:pt>
                <c:pt idx="5">
                  <c:v>1992.6</c:v>
                </c:pt>
                <c:pt idx="6">
                  <c:v>1993.4</c:v>
                </c:pt>
                <c:pt idx="7">
                  <c:v>1993.6</c:v>
                </c:pt>
                <c:pt idx="8">
                  <c:v>1994.4</c:v>
                </c:pt>
                <c:pt idx="9">
                  <c:v>1994.6</c:v>
                </c:pt>
                <c:pt idx="10">
                  <c:v>1995.4</c:v>
                </c:pt>
                <c:pt idx="11">
                  <c:v>1995.6</c:v>
                </c:pt>
                <c:pt idx="12">
                  <c:v>1996.4</c:v>
                </c:pt>
                <c:pt idx="13">
                  <c:v>1996.6</c:v>
                </c:pt>
                <c:pt idx="14">
                  <c:v>1997.4</c:v>
                </c:pt>
                <c:pt idx="15">
                  <c:v>1997.6</c:v>
                </c:pt>
                <c:pt idx="16">
                  <c:v>1998.4</c:v>
                </c:pt>
                <c:pt idx="17">
                  <c:v>1998.6</c:v>
                </c:pt>
                <c:pt idx="18">
                  <c:v>1999.4</c:v>
                </c:pt>
                <c:pt idx="19">
                  <c:v>1999.6</c:v>
                </c:pt>
                <c:pt idx="20">
                  <c:v>2000.4</c:v>
                </c:pt>
                <c:pt idx="21">
                  <c:v>2000.6</c:v>
                </c:pt>
                <c:pt idx="22">
                  <c:v>2001.4</c:v>
                </c:pt>
                <c:pt idx="23">
                  <c:v>2001.6</c:v>
                </c:pt>
                <c:pt idx="24">
                  <c:v>2002.4</c:v>
                </c:pt>
                <c:pt idx="25">
                  <c:v>2002.6</c:v>
                </c:pt>
                <c:pt idx="26">
                  <c:v>2003.4</c:v>
                </c:pt>
                <c:pt idx="27">
                  <c:v>2003.6</c:v>
                </c:pt>
                <c:pt idx="28">
                  <c:v>2004.4</c:v>
                </c:pt>
                <c:pt idx="29">
                  <c:v>2004.6</c:v>
                </c:pt>
                <c:pt idx="30">
                  <c:v>2005.4</c:v>
                </c:pt>
                <c:pt idx="31">
                  <c:v>2005.6</c:v>
                </c:pt>
                <c:pt idx="32">
                  <c:v>2006.4</c:v>
                </c:pt>
                <c:pt idx="33">
                  <c:v>2006.6</c:v>
                </c:pt>
                <c:pt idx="34">
                  <c:v>2007.4</c:v>
                </c:pt>
                <c:pt idx="35">
                  <c:v>2007.6</c:v>
                </c:pt>
                <c:pt idx="36">
                  <c:v>2008.4</c:v>
                </c:pt>
                <c:pt idx="37">
                  <c:v>2008.6</c:v>
                </c:pt>
                <c:pt idx="38">
                  <c:v>2009.4</c:v>
                </c:pt>
                <c:pt idx="39">
                  <c:v>2009.6</c:v>
                </c:pt>
                <c:pt idx="40">
                  <c:v>2010.4</c:v>
                </c:pt>
                <c:pt idx="41">
                  <c:v>2010.6</c:v>
                </c:pt>
                <c:pt idx="42">
                  <c:v>2011.4</c:v>
                </c:pt>
                <c:pt idx="43">
                  <c:v>2011.6</c:v>
                </c:pt>
                <c:pt idx="44">
                  <c:v>2012.4</c:v>
                </c:pt>
                <c:pt idx="45">
                  <c:v>2012.6</c:v>
                </c:pt>
                <c:pt idx="46">
                  <c:v>2013.4</c:v>
                </c:pt>
                <c:pt idx="47">
                  <c:v>2013.6</c:v>
                </c:pt>
                <c:pt idx="48">
                  <c:v>2014.4</c:v>
                </c:pt>
                <c:pt idx="49">
                  <c:v>2014.6</c:v>
                </c:pt>
                <c:pt idx="50">
                  <c:v>2015.4</c:v>
                </c:pt>
                <c:pt idx="51">
                  <c:v>2015.6</c:v>
                </c:pt>
                <c:pt idx="52">
                  <c:v>2016.4</c:v>
                </c:pt>
                <c:pt idx="53">
                  <c:v>2016.6</c:v>
                </c:pt>
                <c:pt idx="54">
                  <c:v>2017.4</c:v>
                </c:pt>
                <c:pt idx="55">
                  <c:v>2017.6</c:v>
                </c:pt>
                <c:pt idx="56">
                  <c:v>2018.4</c:v>
                </c:pt>
                <c:pt idx="57">
                  <c:v>2018.6</c:v>
                </c:pt>
              </c:numCache>
            </c:numRef>
          </c:xVal>
          <c:yVal>
            <c:numRef>
              <c:f>'Ground Squirrel'!$E$7:$E$64</c:f>
              <c:numCache>
                <c:formatCode>0.00</c:formatCode>
                <c:ptCount val="58"/>
                <c:pt idx="0">
                  <c:v>1.75</c:v>
                </c:pt>
                <c:pt idx="1">
                  <c:v>1.2350000000000001</c:v>
                </c:pt>
                <c:pt idx="2">
                  <c:v>1.5</c:v>
                </c:pt>
                <c:pt idx="3">
                  <c:v>0.81</c:v>
                </c:pt>
                <c:pt idx="4">
                  <c:v>0.55000000000000004</c:v>
                </c:pt>
                <c:pt idx="5">
                  <c:v>0.54</c:v>
                </c:pt>
                <c:pt idx="6">
                  <c:v>0.44000000000000006</c:v>
                </c:pt>
                <c:pt idx="7">
                  <c:v>0.93</c:v>
                </c:pt>
                <c:pt idx="8">
                  <c:v>0.44999999999999996</c:v>
                </c:pt>
                <c:pt idx="9">
                  <c:v>1.4449999999999998</c:v>
                </c:pt>
                <c:pt idx="10">
                  <c:v>1.1300000000000001</c:v>
                </c:pt>
                <c:pt idx="11">
                  <c:v>2.0149999999999997</c:v>
                </c:pt>
                <c:pt idx="12">
                  <c:v>1.0750000000000002</c:v>
                </c:pt>
                <c:pt idx="13">
                  <c:v>1.3678375</c:v>
                </c:pt>
                <c:pt idx="14">
                  <c:v>1.03</c:v>
                </c:pt>
                <c:pt idx="15">
                  <c:v>1.3152875000000002</c:v>
                </c:pt>
                <c:pt idx="16">
                  <c:v>1.5499999999999998</c:v>
                </c:pt>
                <c:pt idx="17">
                  <c:v>1.34205</c:v>
                </c:pt>
                <c:pt idx="18">
                  <c:v>1.1553374999999999</c:v>
                </c:pt>
                <c:pt idx="19">
                  <c:v>0.89868749999999986</c:v>
                </c:pt>
                <c:pt idx="20">
                  <c:v>0.20833333333333331</c:v>
                </c:pt>
                <c:pt idx="21">
                  <c:v>8.3333333333333329E-2</c:v>
                </c:pt>
                <c:pt idx="22">
                  <c:v>8.3333333333333329E-2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0.34938749999999996</c:v>
                </c:pt>
                <c:pt idx="26">
                  <c:v>0.16666666666666666</c:v>
                </c:pt>
                <c:pt idx="27">
                  <c:v>0.16500000000000001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0.20833333333333331</c:v>
                </c:pt>
                <c:pt idx="31">
                  <c:v>0.25</c:v>
                </c:pt>
                <c:pt idx="32">
                  <c:v>0.16666666666666666</c:v>
                </c:pt>
                <c:pt idx="33">
                  <c:v>0</c:v>
                </c:pt>
                <c:pt idx="34">
                  <c:v>0.125</c:v>
                </c:pt>
                <c:pt idx="35">
                  <c:v>4.1666666666666664E-2</c:v>
                </c:pt>
                <c:pt idx="36">
                  <c:v>0.17028333333333334</c:v>
                </c:pt>
                <c:pt idx="37">
                  <c:v>0.125</c:v>
                </c:pt>
                <c:pt idx="38">
                  <c:v>0</c:v>
                </c:pt>
                <c:pt idx="39">
                  <c:v>0</c:v>
                </c:pt>
                <c:pt idx="40">
                  <c:v>0.16666666666666666</c:v>
                </c:pt>
                <c:pt idx="41">
                  <c:v>0</c:v>
                </c:pt>
                <c:pt idx="42">
                  <c:v>4.1666666666666664E-2</c:v>
                </c:pt>
                <c:pt idx="43">
                  <c:v>0</c:v>
                </c:pt>
                <c:pt idx="44">
                  <c:v>4.1666666666666664E-2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C12-4439-802F-CD04973A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0712"/>
        <c:axId val="446652280"/>
      </c:scatterChart>
      <c:valAx>
        <c:axId val="446650712"/>
        <c:scaling>
          <c:orientation val="minMax"/>
          <c:max val="2018"/>
          <c:min val="199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49808549583476436"/>
              <c:y val="0.89070095857583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2280"/>
        <c:crosses val="autoZero"/>
        <c:crossBetween val="midCat"/>
        <c:majorUnit val="2"/>
        <c:minorUnit val="1"/>
      </c:valAx>
      <c:valAx>
        <c:axId val="44665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Density per ha</a:t>
                </a:r>
              </a:p>
            </c:rich>
          </c:tx>
          <c:layout>
            <c:manualLayout>
              <c:xMode val="edge"/>
              <c:yMode val="edge"/>
              <c:x val="2.089859637110579E-2"/>
              <c:y val="0.3599589181787081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650712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-3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Red-backed Vole Density</a:t>
            </a:r>
            <a:endParaRPr lang="en-CA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925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925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blue</a:t>
            </a: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33633335917398532"/>
          <c:y val="2.5263218119533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039840014895"/>
          <c:y val="0.21684249534783015"/>
          <c:w val="0.83802139817248944"/>
          <c:h val="0.5852642107446181"/>
        </c:manualLayout>
      </c:layout>
      <c:scatterChart>
        <c:scatterStyle val="lineMarker"/>
        <c:varyColors val="0"/>
        <c:ser>
          <c:idx val="0"/>
          <c:order val="0"/>
          <c:tx>
            <c:v>Cleth Density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D7-4339-A8DF-34324B28C147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D7-4339-A8DF-34324B28C147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D7-4339-A8DF-34324B28C147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D7-4339-A8DF-34324B28C147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D7-4339-A8DF-34324B28C147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D7-4339-A8DF-34324B28C147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D7-4339-A8DF-34324B28C147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D7-4339-A8DF-34324B28C147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3D7-4339-A8DF-34324B28C147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3D7-4339-A8DF-34324B28C147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3D7-4339-A8DF-34324B28C147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3D7-4339-A8DF-34324B28C147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3D7-4339-A8DF-34324B28C147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3D7-4339-A8DF-34324B28C147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3D7-4339-A8DF-34324B28C147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3D7-4339-A8DF-34324B28C147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3D7-4339-A8DF-34324B28C147}"/>
              </c:ext>
            </c:extLst>
          </c:dPt>
          <c:dPt>
            <c:idx val="35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3D7-4339-A8DF-34324B28C147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3D7-4339-A8DF-34324B28C147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3D7-4339-A8DF-34324B28C147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3D7-4339-A8DF-34324B28C147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3D7-4339-A8DF-34324B28C147}"/>
              </c:ext>
            </c:extLst>
          </c:dPt>
          <c:dPt>
            <c:idx val="45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3D7-4339-A8DF-34324B28C147}"/>
              </c:ext>
            </c:extLst>
          </c:dPt>
          <c:dPt>
            <c:idx val="4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3D7-4339-A8DF-34324B28C147}"/>
              </c:ext>
            </c:extLst>
          </c:dPt>
          <c:dPt>
            <c:idx val="4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3D7-4339-A8DF-34324B28C147}"/>
              </c:ext>
            </c:extLst>
          </c:dPt>
          <c:dPt>
            <c:idx val="5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3D7-4339-A8DF-34324B28C147}"/>
              </c:ext>
            </c:extLst>
          </c:dPt>
          <c:dPt>
            <c:idx val="5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3D7-4339-A8DF-34324B28C147}"/>
              </c:ext>
            </c:extLst>
          </c:dPt>
          <c:dPt>
            <c:idx val="5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3D7-4339-A8DF-34324B28C147}"/>
              </c:ext>
            </c:extLst>
          </c:dPt>
          <c:dPt>
            <c:idx val="5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33D7-4339-A8DF-34324B28C147}"/>
              </c:ext>
            </c:extLst>
          </c:dPt>
          <c:dPt>
            <c:idx val="5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3D7-4339-A8DF-34324B28C147}"/>
              </c:ext>
            </c:extLst>
          </c:dPt>
          <c:dPt>
            <c:idx val="6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3D7-4339-A8DF-34324B28C147}"/>
              </c:ext>
            </c:extLst>
          </c:dPt>
          <c:dPt>
            <c:idx val="6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3D7-4339-A8DF-34324B28C147}"/>
              </c:ext>
            </c:extLst>
          </c:dPt>
          <c:dPt>
            <c:idx val="6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3D7-4339-A8DF-34324B28C147}"/>
              </c:ext>
            </c:extLst>
          </c:dPt>
          <c:dPt>
            <c:idx val="7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3D7-4339-A8DF-34324B28C147}"/>
              </c:ext>
            </c:extLst>
          </c:dPt>
          <c:dPt>
            <c:idx val="7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3D7-4339-A8DF-34324B28C147}"/>
              </c:ext>
            </c:extLst>
          </c:dPt>
          <c:dPt>
            <c:idx val="7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3D7-4339-A8DF-34324B28C147}"/>
              </c:ext>
            </c:extLst>
          </c:dPt>
          <c:dPt>
            <c:idx val="7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3D7-4339-A8DF-34324B28C147}"/>
              </c:ext>
            </c:extLst>
          </c:dPt>
          <c:dPt>
            <c:idx val="7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3D7-4339-A8DF-34324B28C147}"/>
              </c:ext>
            </c:extLst>
          </c:dPt>
          <c:dPt>
            <c:idx val="8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3D7-4339-A8DF-34324B28C147}"/>
              </c:ext>
            </c:extLst>
          </c:dPt>
          <c:dPt>
            <c:idx val="8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3D7-4339-A8DF-34324B28C147}"/>
              </c:ext>
            </c:extLst>
          </c:dPt>
          <c:dPt>
            <c:idx val="8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3D7-4339-A8DF-34324B28C147}"/>
              </c:ext>
            </c:extLst>
          </c:dPt>
          <c:dPt>
            <c:idx val="8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9C7-4AA3-9B0A-48987F01BA3A}"/>
              </c:ext>
            </c:extLst>
          </c:dPt>
          <c:xVal>
            <c:numRef>
              <c:f>Clethrionomys!$H$7:$H$94</c:f>
              <c:numCache>
                <c:formatCode>General</c:formatCode>
                <c:ptCount val="88"/>
                <c:pt idx="1">
                  <c:v>1973.6</c:v>
                </c:pt>
                <c:pt idx="2">
                  <c:v>1974.4</c:v>
                </c:pt>
                <c:pt idx="3">
                  <c:v>1974.6</c:v>
                </c:pt>
                <c:pt idx="4">
                  <c:v>1975.4</c:v>
                </c:pt>
                <c:pt idx="5">
                  <c:v>1975.6</c:v>
                </c:pt>
                <c:pt idx="6">
                  <c:v>1976.4</c:v>
                </c:pt>
                <c:pt idx="7">
                  <c:v>1976.6</c:v>
                </c:pt>
                <c:pt idx="8">
                  <c:v>1977.4</c:v>
                </c:pt>
                <c:pt idx="9">
                  <c:v>1977.6</c:v>
                </c:pt>
                <c:pt idx="10">
                  <c:v>1978.4</c:v>
                </c:pt>
                <c:pt idx="11">
                  <c:v>1978.6</c:v>
                </c:pt>
                <c:pt idx="12">
                  <c:v>1979.4</c:v>
                </c:pt>
                <c:pt idx="13">
                  <c:v>1979.6</c:v>
                </c:pt>
                <c:pt idx="14">
                  <c:v>1980.4</c:v>
                </c:pt>
                <c:pt idx="15">
                  <c:v>1980.6</c:v>
                </c:pt>
                <c:pt idx="16">
                  <c:v>1981.4</c:v>
                </c:pt>
                <c:pt idx="17">
                  <c:v>1981.6</c:v>
                </c:pt>
                <c:pt idx="18">
                  <c:v>1982.4</c:v>
                </c:pt>
                <c:pt idx="19">
                  <c:v>1982.6</c:v>
                </c:pt>
                <c:pt idx="20">
                  <c:v>1983.4</c:v>
                </c:pt>
                <c:pt idx="21">
                  <c:v>1983.6</c:v>
                </c:pt>
                <c:pt idx="22">
                  <c:v>1984.4</c:v>
                </c:pt>
                <c:pt idx="23">
                  <c:v>1984.6</c:v>
                </c:pt>
                <c:pt idx="24">
                  <c:v>1985.4</c:v>
                </c:pt>
                <c:pt idx="25">
                  <c:v>1985.6</c:v>
                </c:pt>
                <c:pt idx="26">
                  <c:v>1986.4</c:v>
                </c:pt>
                <c:pt idx="27">
                  <c:v>1986.6</c:v>
                </c:pt>
                <c:pt idx="28">
                  <c:v>1987.4</c:v>
                </c:pt>
                <c:pt idx="29">
                  <c:v>1987.6</c:v>
                </c:pt>
                <c:pt idx="30">
                  <c:v>1988.4</c:v>
                </c:pt>
                <c:pt idx="31">
                  <c:v>1988.6</c:v>
                </c:pt>
                <c:pt idx="32">
                  <c:v>1989.4</c:v>
                </c:pt>
                <c:pt idx="33">
                  <c:v>1989.6</c:v>
                </c:pt>
                <c:pt idx="34">
                  <c:v>1990.4</c:v>
                </c:pt>
                <c:pt idx="35">
                  <c:v>1990.6</c:v>
                </c:pt>
                <c:pt idx="36">
                  <c:v>1991.4</c:v>
                </c:pt>
                <c:pt idx="37">
                  <c:v>1991.6</c:v>
                </c:pt>
                <c:pt idx="38">
                  <c:v>1992.4</c:v>
                </c:pt>
                <c:pt idx="39">
                  <c:v>1992.6</c:v>
                </c:pt>
                <c:pt idx="40">
                  <c:v>1993.4</c:v>
                </c:pt>
                <c:pt idx="41">
                  <c:v>1993.6</c:v>
                </c:pt>
                <c:pt idx="42">
                  <c:v>1994.4</c:v>
                </c:pt>
                <c:pt idx="43">
                  <c:v>1994.6</c:v>
                </c:pt>
                <c:pt idx="44">
                  <c:v>1995.4</c:v>
                </c:pt>
                <c:pt idx="45">
                  <c:v>1995.6</c:v>
                </c:pt>
                <c:pt idx="46">
                  <c:v>1996.4</c:v>
                </c:pt>
                <c:pt idx="47">
                  <c:v>1996.6</c:v>
                </c:pt>
                <c:pt idx="48">
                  <c:v>1997.4</c:v>
                </c:pt>
                <c:pt idx="49">
                  <c:v>1997.6</c:v>
                </c:pt>
                <c:pt idx="50">
                  <c:v>1998.4</c:v>
                </c:pt>
                <c:pt idx="51">
                  <c:v>1998.6</c:v>
                </c:pt>
                <c:pt idx="52">
                  <c:v>1999.4</c:v>
                </c:pt>
                <c:pt idx="53">
                  <c:v>1999.6</c:v>
                </c:pt>
                <c:pt idx="54">
                  <c:v>2000.4</c:v>
                </c:pt>
                <c:pt idx="55">
                  <c:v>2000.6</c:v>
                </c:pt>
                <c:pt idx="56">
                  <c:v>2001.4</c:v>
                </c:pt>
                <c:pt idx="57">
                  <c:v>2001.6</c:v>
                </c:pt>
                <c:pt idx="58">
                  <c:v>2002.4</c:v>
                </c:pt>
                <c:pt idx="59">
                  <c:v>2002.6</c:v>
                </c:pt>
                <c:pt idx="60">
                  <c:v>2003.4</c:v>
                </c:pt>
                <c:pt idx="61">
                  <c:v>2003.6</c:v>
                </c:pt>
                <c:pt idx="62">
                  <c:v>2004.4</c:v>
                </c:pt>
                <c:pt idx="63">
                  <c:v>2004.6</c:v>
                </c:pt>
                <c:pt idx="64">
                  <c:v>2005.4</c:v>
                </c:pt>
                <c:pt idx="65">
                  <c:v>2005.6</c:v>
                </c:pt>
                <c:pt idx="66">
                  <c:v>2006.4</c:v>
                </c:pt>
                <c:pt idx="67">
                  <c:v>2006.6</c:v>
                </c:pt>
                <c:pt idx="68">
                  <c:v>2007.4</c:v>
                </c:pt>
                <c:pt idx="69">
                  <c:v>2007.6</c:v>
                </c:pt>
                <c:pt idx="70">
                  <c:v>2008.4</c:v>
                </c:pt>
                <c:pt idx="71">
                  <c:v>2008.6</c:v>
                </c:pt>
                <c:pt idx="72">
                  <c:v>2009.4</c:v>
                </c:pt>
                <c:pt idx="73">
                  <c:v>2009.6</c:v>
                </c:pt>
                <c:pt idx="74">
                  <c:v>2010.4</c:v>
                </c:pt>
                <c:pt idx="75">
                  <c:v>2010.6</c:v>
                </c:pt>
                <c:pt idx="76">
                  <c:v>2011.4</c:v>
                </c:pt>
                <c:pt idx="77">
                  <c:v>2011.6</c:v>
                </c:pt>
                <c:pt idx="78">
                  <c:v>2012.4</c:v>
                </c:pt>
                <c:pt idx="79">
                  <c:v>2012.6</c:v>
                </c:pt>
                <c:pt idx="80">
                  <c:v>2013.4</c:v>
                </c:pt>
                <c:pt idx="81">
                  <c:v>2013.6</c:v>
                </c:pt>
                <c:pt idx="82">
                  <c:v>2014.4</c:v>
                </c:pt>
                <c:pt idx="83">
                  <c:v>2014.6</c:v>
                </c:pt>
                <c:pt idx="84">
                  <c:v>2015.4</c:v>
                </c:pt>
                <c:pt idx="85">
                  <c:v>2015.6</c:v>
                </c:pt>
                <c:pt idx="86">
                  <c:v>2016.4</c:v>
                </c:pt>
                <c:pt idx="87">
                  <c:v>2016.6</c:v>
                </c:pt>
              </c:numCache>
            </c:numRef>
          </c:xVal>
          <c:yVal>
            <c:numRef>
              <c:f>Clethrionomys!$C$7:$C$94</c:f>
              <c:numCache>
                <c:formatCode>0.0</c:formatCode>
                <c:ptCount val="88"/>
                <c:pt idx="1">
                  <c:v>6.6740000000000004</c:v>
                </c:pt>
                <c:pt idx="2">
                  <c:v>1.2455516014234875</c:v>
                </c:pt>
                <c:pt idx="3">
                  <c:v>4.7080000000000002</c:v>
                </c:pt>
                <c:pt idx="4">
                  <c:v>0.88967971530249113</c:v>
                </c:pt>
                <c:pt idx="5">
                  <c:v>11.36</c:v>
                </c:pt>
                <c:pt idx="6">
                  <c:v>1.6014234875444839</c:v>
                </c:pt>
                <c:pt idx="7">
                  <c:v>3.73</c:v>
                </c:pt>
                <c:pt idx="8">
                  <c:v>0.61699999999999999</c:v>
                </c:pt>
                <c:pt idx="9">
                  <c:v>3.0646666666666662</c:v>
                </c:pt>
                <c:pt idx="10">
                  <c:v>0.97299999999999998</c:v>
                </c:pt>
                <c:pt idx="11">
                  <c:v>4.4930000000000003</c:v>
                </c:pt>
                <c:pt idx="12">
                  <c:v>0.97299999999999998</c:v>
                </c:pt>
                <c:pt idx="13">
                  <c:v>5.89</c:v>
                </c:pt>
                <c:pt idx="14">
                  <c:v>1.5831134564643798</c:v>
                </c:pt>
                <c:pt idx="15">
                  <c:v>4.8696250000000001</c:v>
                </c:pt>
                <c:pt idx="16">
                  <c:v>0.84150013687380232</c:v>
                </c:pt>
                <c:pt idx="17">
                  <c:v>1.0676156583629892</c:v>
                </c:pt>
                <c:pt idx="18">
                  <c:v>0.35587188612099646</c:v>
                </c:pt>
                <c:pt idx="19">
                  <c:v>0.17793594306049823</c:v>
                </c:pt>
                <c:pt idx="20">
                  <c:v>0.84460260972716483</c:v>
                </c:pt>
                <c:pt idx="21">
                  <c:v>11.523000000000001</c:v>
                </c:pt>
                <c:pt idx="22">
                  <c:v>9.77</c:v>
                </c:pt>
                <c:pt idx="23">
                  <c:v>19.187000000000001</c:v>
                </c:pt>
                <c:pt idx="24">
                  <c:v>0.71174377224199292</c:v>
                </c:pt>
                <c:pt idx="25">
                  <c:v>1.4234875444839858</c:v>
                </c:pt>
                <c:pt idx="26">
                  <c:v>0.98599999999999999</c:v>
                </c:pt>
                <c:pt idx="27">
                  <c:v>3.6840000000000002</c:v>
                </c:pt>
                <c:pt idx="28">
                  <c:v>2.2726500593119812</c:v>
                </c:pt>
                <c:pt idx="29">
                  <c:v>9.0930355871886128</c:v>
                </c:pt>
                <c:pt idx="30">
                  <c:v>1.7127995255041519</c:v>
                </c:pt>
                <c:pt idx="31">
                  <c:v>4.6125094899169641</c:v>
                </c:pt>
                <c:pt idx="32">
                  <c:v>2.9169792408066431</c:v>
                </c:pt>
                <c:pt idx="33">
                  <c:v>3.3157729537366549</c:v>
                </c:pt>
                <c:pt idx="34">
                  <c:v>1.1777172004744958</c:v>
                </c:pt>
                <c:pt idx="35">
                  <c:v>1.488474495848161</c:v>
                </c:pt>
                <c:pt idx="36">
                  <c:v>1.9686224199288256</c:v>
                </c:pt>
                <c:pt idx="37">
                  <c:v>5.4394912218268088</c:v>
                </c:pt>
                <c:pt idx="38">
                  <c:v>3.7849354685646497</c:v>
                </c:pt>
                <c:pt idx="39">
                  <c:v>10.236985527876632</c:v>
                </c:pt>
                <c:pt idx="40" formatCode="0.00">
                  <c:v>2.2952283511269278</c:v>
                </c:pt>
                <c:pt idx="41" formatCode="0.00">
                  <c:v>7.4138714116251485</c:v>
                </c:pt>
                <c:pt idx="42" formatCode="0.00">
                  <c:v>2.2602849347568212</c:v>
                </c:pt>
                <c:pt idx="43" formatCode="0.00">
                  <c:v>3.3594599051008309</c:v>
                </c:pt>
                <c:pt idx="44" formatCode="0.00">
                  <c:v>5.9311981020166077E-2</c:v>
                </c:pt>
                <c:pt idx="45" formatCode="0.00">
                  <c:v>3.4852000000000003</c:v>
                </c:pt>
                <c:pt idx="46" formatCode="0.00">
                  <c:v>0.53380782918149461</c:v>
                </c:pt>
                <c:pt idx="47" formatCode="0.00">
                  <c:v>1.9886599051008302</c:v>
                </c:pt>
                <c:pt idx="48" formatCode="0.00">
                  <c:v>1.7882239620403324</c:v>
                </c:pt>
                <c:pt idx="49" formatCode="0.00">
                  <c:v>4.942566666666667</c:v>
                </c:pt>
                <c:pt idx="50" formatCode="0.00">
                  <c:v>2.7047590747330958</c:v>
                </c:pt>
                <c:pt idx="51" formatCode="0.00">
                  <c:v>9.6536666666666662</c:v>
                </c:pt>
                <c:pt idx="52" formatCode="0.00">
                  <c:v>1.7571666666666668</c:v>
                </c:pt>
                <c:pt idx="53" formatCode="0.00">
                  <c:v>3.0489333333333328</c:v>
                </c:pt>
                <c:pt idx="54" formatCode="0.00">
                  <c:v>0.24047864768683272</c:v>
                </c:pt>
                <c:pt idx="55" formatCode="0.00">
                  <c:v>1.9018182680901543</c:v>
                </c:pt>
                <c:pt idx="56" formatCode="#,##0.00">
                  <c:v>1.5357666666666665</c:v>
                </c:pt>
                <c:pt idx="57" formatCode="#,##0.00">
                  <c:v>9.5966666666666658</c:v>
                </c:pt>
                <c:pt idx="58" formatCode="#,##0.00">
                  <c:v>8.0073000000000008</c:v>
                </c:pt>
                <c:pt idx="59" formatCode="#,##0.00">
                  <c:v>25.589333333333332</c:v>
                </c:pt>
                <c:pt idx="60" formatCode="0.00">
                  <c:v>0.15421115065243177</c:v>
                </c:pt>
                <c:pt idx="61" formatCode="0.00">
                  <c:v>0.14234875444839856</c:v>
                </c:pt>
                <c:pt idx="62" formatCode="0.00">
                  <c:v>0.76389916963226578</c:v>
                </c:pt>
                <c:pt idx="63" formatCode="0.00">
                  <c:v>0.74249062870699889</c:v>
                </c:pt>
                <c:pt idx="64" formatCode="0.00">
                  <c:v>2.2549333333333332</c:v>
                </c:pt>
                <c:pt idx="65" formatCode="0.00">
                  <c:v>14.403633333333334</c:v>
                </c:pt>
                <c:pt idx="66" formatCode="0.00">
                  <c:v>0.97557864768683278</c:v>
                </c:pt>
                <c:pt idx="67" formatCode="0.00">
                  <c:v>3.4710000000000001</c:v>
                </c:pt>
                <c:pt idx="68" formatCode="0.00">
                  <c:v>0.9429317912218268</c:v>
                </c:pt>
                <c:pt idx="69" formatCode="0.00">
                  <c:v>2.0941333333333332</c:v>
                </c:pt>
                <c:pt idx="70" formatCode="0.00">
                  <c:v>3.2544333333333331</c:v>
                </c:pt>
                <c:pt idx="71" formatCode="0.00">
                  <c:v>13.247199999999999</c:v>
                </c:pt>
                <c:pt idx="72" formatCode="0.00">
                  <c:v>4.1565666666666665</c:v>
                </c:pt>
                <c:pt idx="73" formatCode="0.00">
                  <c:v>22.461433333333332</c:v>
                </c:pt>
                <c:pt idx="74" formatCode="0.00">
                  <c:v>0.85709999999999997</c:v>
                </c:pt>
                <c:pt idx="75" formatCode="0.00">
                  <c:v>1.9975046113306985</c:v>
                </c:pt>
                <c:pt idx="76" formatCode="0.00">
                  <c:v>0.98907615283267469</c:v>
                </c:pt>
                <c:pt idx="77" formatCode="0.00">
                  <c:v>4.5858333333333334</c:v>
                </c:pt>
                <c:pt idx="78" formatCode="0.00">
                  <c:v>1.2518</c:v>
                </c:pt>
                <c:pt idx="79" formatCode="0.00">
                  <c:v>9.3481666666666658</c:v>
                </c:pt>
                <c:pt idx="80" formatCode="0.00">
                  <c:v>3.3466666666666662</c:v>
                </c:pt>
                <c:pt idx="81" formatCode="0.00">
                  <c:v>16.553333333333331</c:v>
                </c:pt>
                <c:pt idx="82" formatCode="0.00">
                  <c:v>2.0733333333333333</c:v>
                </c:pt>
                <c:pt idx="83" formatCode="0.00">
                  <c:v>3.5400000000000005</c:v>
                </c:pt>
                <c:pt idx="84" formatCode="0.00">
                  <c:v>0.35587188612099646</c:v>
                </c:pt>
                <c:pt idx="85" formatCode="0.00">
                  <c:v>3.37</c:v>
                </c:pt>
                <c:pt idx="86" formatCode="0.00">
                  <c:v>0.58529062870699877</c:v>
                </c:pt>
                <c:pt idx="87" formatCode="0.00">
                  <c:v>6.2768479240806636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3D7-4339-A8DF-34324B28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512"/>
        <c:axId val="524291648"/>
      </c:scatterChart>
      <c:valAx>
        <c:axId val="524288512"/>
        <c:scaling>
          <c:orientation val="minMax"/>
          <c:max val="2019"/>
          <c:min val="197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1106149705970305"/>
              <c:y val="0.88544615846724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1648"/>
        <c:crossesAt val="0"/>
        <c:crossBetween val="midCat"/>
        <c:majorUnit val="3"/>
        <c:minorUnit val="1"/>
      </c:valAx>
      <c:valAx>
        <c:axId val="52429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Density per ha</a:t>
                </a:r>
              </a:p>
            </c:rich>
          </c:tx>
          <c:layout>
            <c:manualLayout>
              <c:xMode val="edge"/>
              <c:yMode val="edge"/>
              <c:x val="2.3802931806520006E-2"/>
              <c:y val="0.35995880623914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88512"/>
        <c:crossesAt val="1973"/>
        <c:crossBetween val="midCat"/>
      </c:valAx>
      <c:spPr>
        <a:solidFill>
          <a:srgbClr val="FFFF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Microtus</a:t>
            </a: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spp. Density</a:t>
            </a:r>
            <a:endParaRPr lang="en-CA" sz="11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8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33059308456008218"/>
          <c:y val="3.3726728926326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1795092868091"/>
          <c:y val="0.20224757936848656"/>
          <c:w val="0.82465849954006265"/>
          <c:h val="0.61797871473704225"/>
        </c:manualLayout>
      </c:layout>
      <c:scatterChart>
        <c:scatterStyle val="lineMarker"/>
        <c:varyColors val="0"/>
        <c:ser>
          <c:idx val="0"/>
          <c:order val="0"/>
          <c:tx>
            <c:v>Microtus density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99-4AD4-ADE9-CE2F0CBEBD05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899-4AD4-ADE9-CE2F0CBEBD05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99-4AD4-ADE9-CE2F0CBEBD05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899-4AD4-ADE9-CE2F0CBEBD05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899-4AD4-ADE9-CE2F0CBEBD05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899-4AD4-ADE9-CE2F0CBEBD05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899-4AD4-ADE9-CE2F0CBEBD05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899-4AD4-ADE9-CE2F0CBEBD05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899-4AD4-ADE9-CE2F0CBEBD05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899-4AD4-ADE9-CE2F0CBEBD05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899-4AD4-ADE9-CE2F0CBEBD05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899-4AD4-ADE9-CE2F0CBEBD05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899-4AD4-ADE9-CE2F0CBEBD05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899-4AD4-ADE9-CE2F0CBEBD05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899-4AD4-ADE9-CE2F0CBEBD05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899-4AD4-ADE9-CE2F0CBEBD05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899-4AD4-ADE9-CE2F0CBEBD05}"/>
              </c:ext>
            </c:extLst>
          </c:dPt>
          <c:dPt>
            <c:idx val="35"/>
            <c:marker>
              <c:spPr>
                <a:solidFill>
                  <a:srgbClr val="3333CC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899-4AD4-ADE9-CE2F0CBEBD05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899-4AD4-ADE9-CE2F0CBEBD05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899-4AD4-ADE9-CE2F0CBEBD05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899-4AD4-ADE9-CE2F0CBEBD05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899-4AD4-ADE9-CE2F0CBEBD05}"/>
              </c:ext>
            </c:extLst>
          </c:dPt>
          <c:dPt>
            <c:idx val="45"/>
            <c:marker>
              <c:spPr>
                <a:solidFill>
                  <a:srgbClr val="3333CC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899-4AD4-ADE9-CE2F0CBEBD05}"/>
              </c:ext>
            </c:extLst>
          </c:dPt>
          <c:dPt>
            <c:idx val="4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899-4AD4-ADE9-CE2F0CBEBD05}"/>
              </c:ext>
            </c:extLst>
          </c:dPt>
          <c:dPt>
            <c:idx val="49"/>
            <c:marker>
              <c:spPr>
                <a:solidFill>
                  <a:srgbClr val="0066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899-4AD4-ADE9-CE2F0CBEBD05}"/>
              </c:ext>
            </c:extLst>
          </c:dPt>
          <c:dPt>
            <c:idx val="5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899-4AD4-ADE9-CE2F0CBEBD05}"/>
              </c:ext>
            </c:extLst>
          </c:dPt>
          <c:dPt>
            <c:idx val="53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899-4AD4-ADE9-CE2F0CBEBD05}"/>
              </c:ext>
            </c:extLst>
          </c:dPt>
          <c:dPt>
            <c:idx val="55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899-4AD4-ADE9-CE2F0CBEBD05}"/>
              </c:ext>
            </c:extLst>
          </c:dPt>
          <c:dPt>
            <c:idx val="57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899-4AD4-ADE9-CE2F0CBEBD05}"/>
              </c:ext>
            </c:extLst>
          </c:dPt>
          <c:dPt>
            <c:idx val="59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C69-4F96-BF92-7A2AAD029A06}"/>
              </c:ext>
            </c:extLst>
          </c:dPt>
          <c:dPt>
            <c:idx val="61"/>
            <c:marker>
              <c:spPr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9A9-4653-9985-944812B5A27C}"/>
              </c:ext>
            </c:extLst>
          </c:dPt>
          <c:xVal>
            <c:numRef>
              <c:f>Microtus!$H$8:$H$69</c:f>
              <c:numCache>
                <c:formatCode>General</c:formatCode>
                <c:ptCount val="62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</c:numCache>
            </c:numRef>
          </c:xVal>
          <c:yVal>
            <c:numRef>
              <c:f>Microtus!$C$8:$C$69</c:f>
              <c:numCache>
                <c:formatCode>0.00</c:formatCode>
                <c:ptCount val="62"/>
                <c:pt idx="0">
                  <c:v>0.41518386714116251</c:v>
                </c:pt>
                <c:pt idx="1">
                  <c:v>0.47449584816132856</c:v>
                </c:pt>
                <c:pt idx="2">
                  <c:v>1.1862396204033214</c:v>
                </c:pt>
                <c:pt idx="3">
                  <c:v>0.88967971530249113</c:v>
                </c:pt>
                <c:pt idx="4">
                  <c:v>0.35587188612099646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0.17793594306049823</c:v>
                </c:pt>
                <c:pt idx="12">
                  <c:v>0.59311981020166071</c:v>
                </c:pt>
                <c:pt idx="13">
                  <c:v>3.2361328588374856</c:v>
                </c:pt>
                <c:pt idx="14">
                  <c:v>0</c:v>
                </c:pt>
                <c:pt idx="15">
                  <c:v>0.17793594306049823</c:v>
                </c:pt>
                <c:pt idx="16">
                  <c:v>0</c:v>
                </c:pt>
                <c:pt idx="17">
                  <c:v>0.35587188612099641</c:v>
                </c:pt>
                <c:pt idx="18">
                  <c:v>0</c:v>
                </c:pt>
                <c:pt idx="19">
                  <c:v>0.11862396204033215</c:v>
                </c:pt>
                <c:pt idx="20">
                  <c:v>0</c:v>
                </c:pt>
                <c:pt idx="21">
                  <c:v>0.47449584816132856</c:v>
                </c:pt>
                <c:pt idx="22">
                  <c:v>0</c:v>
                </c:pt>
                <c:pt idx="23">
                  <c:v>1.1444479240806642</c:v>
                </c:pt>
                <c:pt idx="24">
                  <c:v>0</c:v>
                </c:pt>
                <c:pt idx="25">
                  <c:v>0</c:v>
                </c:pt>
                <c:pt idx="26">
                  <c:v>0.11862396204033215</c:v>
                </c:pt>
                <c:pt idx="27">
                  <c:v>0.11862396204033215</c:v>
                </c:pt>
                <c:pt idx="28">
                  <c:v>0</c:v>
                </c:pt>
                <c:pt idx="29">
                  <c:v>1.2455572953736656</c:v>
                </c:pt>
                <c:pt idx="30">
                  <c:v>5.7197239620403328</c:v>
                </c:pt>
                <c:pt idx="31">
                  <c:v>7.1818239620403324</c:v>
                </c:pt>
                <c:pt idx="32">
                  <c:v>1.6252906287069988</c:v>
                </c:pt>
                <c:pt idx="33">
                  <c:v>0.42616666666666664</c:v>
                </c:pt>
                <c:pt idx="34">
                  <c:v>0</c:v>
                </c:pt>
                <c:pt idx="35">
                  <c:v>0.11862396204033215</c:v>
                </c:pt>
                <c:pt idx="36">
                  <c:v>0.83044792408066437</c:v>
                </c:pt>
                <c:pt idx="37">
                  <c:v>3.1459333333333332</c:v>
                </c:pt>
                <c:pt idx="38">
                  <c:v>2.6085771055753262</c:v>
                </c:pt>
                <c:pt idx="39">
                  <c:v>1.5447607750098855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0.35587188612099641</c:v>
                </c:pt>
                <c:pt idx="45">
                  <c:v>2.9995104389086595</c:v>
                </c:pt>
                <c:pt idx="46">
                  <c:v>0.59311981020166071</c:v>
                </c:pt>
                <c:pt idx="47">
                  <c:v>0.83766666666666667</c:v>
                </c:pt>
                <c:pt idx="48">
                  <c:v>0.23724792408066431</c:v>
                </c:pt>
                <c:pt idx="49">
                  <c:v>0</c:v>
                </c:pt>
                <c:pt idx="50">
                  <c:v>0.11862396204033215</c:v>
                </c:pt>
                <c:pt idx="51">
                  <c:v>3.7287864768683274</c:v>
                </c:pt>
                <c:pt idx="52">
                  <c:v>1.7875333333333332</c:v>
                </c:pt>
                <c:pt idx="53">
                  <c:v>8.702866666666667</c:v>
                </c:pt>
                <c:pt idx="54">
                  <c:v>1.5486239620403321</c:v>
                </c:pt>
                <c:pt idx="55">
                  <c:v>0.88058125741399762</c:v>
                </c:pt>
                <c:pt idx="56">
                  <c:v>0</c:v>
                </c:pt>
                <c:pt idx="57">
                  <c:v>0.47</c:v>
                </c:pt>
                <c:pt idx="58">
                  <c:v>0</c:v>
                </c:pt>
                <c:pt idx="59">
                  <c:v>0.66666666666666663</c:v>
                </c:pt>
                <c:pt idx="60">
                  <c:v>0.71</c:v>
                </c:pt>
                <c:pt idx="61">
                  <c:v>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899-4AD4-ADE9-CE2F0CBE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04"/>
        <c:axId val="524289296"/>
      </c:scatterChart>
      <c:valAx>
        <c:axId val="524288904"/>
        <c:scaling>
          <c:orientation val="minMax"/>
          <c:max val="2019"/>
          <c:min val="198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0702362204724416"/>
              <c:y val="0.90781511322712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89296"/>
        <c:crossesAt val="0"/>
        <c:crossBetween val="midCat"/>
        <c:majorUnit val="3"/>
        <c:minorUnit val="1"/>
      </c:valAx>
      <c:valAx>
        <c:axId val="52428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Density per ha</a:t>
                </a:r>
              </a:p>
            </c:rich>
          </c:tx>
          <c:layout>
            <c:manualLayout>
              <c:xMode val="edge"/>
              <c:yMode val="edge"/>
              <c:x val="1.8842131690060718E-2"/>
              <c:y val="0.373806079472628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88904"/>
        <c:crossesAt val="1985"/>
        <c:crossBetween val="midCat"/>
      </c:valAx>
      <c:spPr>
        <a:solidFill>
          <a:srgbClr val="FFFF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Microtus</a:t>
            </a: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CA" sz="13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miurus</a:t>
            </a:r>
            <a:r>
              <a:rPr lang="en-CA" sz="13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Density</a:t>
            </a:r>
            <a:endParaRPr lang="en-CA" sz="11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8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85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blue</a:t>
            </a:r>
            <a:r>
              <a:rPr lang="en-CA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30874817731116982"/>
          <c:y val="3.3576020388755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8515022614923"/>
          <c:y val="0.20134288670666797"/>
          <c:w val="0.82441769984173885"/>
          <c:h val="0.61968866241941711"/>
        </c:manualLayout>
      </c:layout>
      <c:scatterChart>
        <c:scatterStyle val="lineMarker"/>
        <c:varyColors val="0"/>
        <c:ser>
          <c:idx val="0"/>
          <c:order val="0"/>
          <c:tx>
            <c:v>M. miurus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0C-4041-AAEB-AC8C904C3C91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0C-4041-AAEB-AC8C904C3C91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0C-4041-AAEB-AC8C904C3C91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C0C-4041-AAEB-AC8C904C3C91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C0C-4041-AAEB-AC8C904C3C91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C0C-4041-AAEB-AC8C904C3C91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C0C-4041-AAEB-AC8C904C3C91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C0C-4041-AAEB-AC8C904C3C91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C0C-4041-AAEB-AC8C904C3C91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C0C-4041-AAEB-AC8C904C3C91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C0C-4041-AAEB-AC8C904C3C91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C0C-4041-AAEB-AC8C904C3C91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C0C-4041-AAEB-AC8C904C3C91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C0C-4041-AAEB-AC8C904C3C91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C0C-4041-AAEB-AC8C904C3C91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C0C-4041-AAEB-AC8C904C3C91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C0C-4041-AAEB-AC8C904C3C91}"/>
              </c:ext>
            </c:extLst>
          </c:dPt>
          <c:dPt>
            <c:idx val="35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C0C-4041-AAEB-AC8C904C3C91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C0C-4041-AAEB-AC8C904C3C91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C0C-4041-AAEB-AC8C904C3C91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C0C-4041-AAEB-AC8C904C3C91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C0C-4041-AAEB-AC8C904C3C91}"/>
              </c:ext>
            </c:extLst>
          </c:dPt>
          <c:dPt>
            <c:idx val="45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C0C-4041-AAEB-AC8C904C3C91}"/>
              </c:ext>
            </c:extLst>
          </c:dPt>
          <c:dPt>
            <c:idx val="49"/>
            <c:marker>
              <c:spPr>
                <a:solidFill>
                  <a:srgbClr val="0066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C0C-4041-AAEB-AC8C904C3C91}"/>
              </c:ext>
            </c:extLst>
          </c:dPt>
          <c:xVal>
            <c:numRef>
              <c:f>Microtus!$H$8:$H$59</c:f>
              <c:numCache>
                <c:formatCode>General</c:formatCode>
                <c:ptCount val="52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</c:numCache>
            </c:numRef>
          </c:xVal>
          <c:yVal>
            <c:numRef>
              <c:f>Microtus!$J$8:$J$59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0.83036773428232502</c:v>
                </c:pt>
                <c:pt idx="19">
                  <c:v>0.83036773428232502</c:v>
                </c:pt>
                <c:pt idx="20">
                  <c:v>0.71174377224199281</c:v>
                </c:pt>
                <c:pt idx="21">
                  <c:v>0.94899169632265723</c:v>
                </c:pt>
                <c:pt idx="22">
                  <c:v>0.94899169632265723</c:v>
                </c:pt>
                <c:pt idx="23">
                  <c:v>0.83036773428232502</c:v>
                </c:pt>
                <c:pt idx="24">
                  <c:v>0.71174377224199281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1.0676156583629892</c:v>
                </c:pt>
                <c:pt idx="36">
                  <c:v>2.4911032028469751</c:v>
                </c:pt>
                <c:pt idx="37">
                  <c:v>4.1518386714116255</c:v>
                </c:pt>
                <c:pt idx="38">
                  <c:v>1.5421115065243178</c:v>
                </c:pt>
                <c:pt idx="39">
                  <c:v>2.2538552787663106</c:v>
                </c:pt>
                <c:pt idx="40">
                  <c:v>0</c:v>
                </c:pt>
                <c:pt idx="41">
                  <c:v>0.23724792408066431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C0C-4041-AAEB-AC8C904C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120"/>
        <c:axId val="524296744"/>
      </c:scatterChart>
      <c:valAx>
        <c:axId val="524288120"/>
        <c:scaling>
          <c:orientation val="minMax"/>
          <c:max val="2016"/>
          <c:min val="198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0771908719743353"/>
              <c:y val="0.906550116018106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6744"/>
        <c:crossesAt val="0"/>
        <c:crossBetween val="midCat"/>
        <c:majorUnit val="3"/>
        <c:minorUnit val="1"/>
      </c:valAx>
      <c:valAx>
        <c:axId val="52429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Density per ha</a:t>
                </a:r>
              </a:p>
            </c:rich>
          </c:tx>
          <c:layout>
            <c:manualLayout>
              <c:xMode val="edge"/>
              <c:yMode val="edge"/>
              <c:x val="1.8867927967337543E-2"/>
              <c:y val="0.3721331355319715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88120"/>
        <c:crossesAt val="1985"/>
        <c:crossBetween val="midCat"/>
      </c:valAx>
      <c:spPr>
        <a:solidFill>
          <a:srgbClr val="CCFFCC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Deer Mouse Density</a:t>
            </a:r>
            <a:endParaRPr lang="en-CA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</a:t>
            </a:r>
            <a:r>
              <a:rPr lang="en-CA" sz="925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red</a:t>
            </a: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=spring, </a:t>
            </a:r>
            <a:r>
              <a:rPr lang="en-CA" sz="925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blue</a:t>
            </a:r>
            <a:r>
              <a:rPr lang="en-CA" sz="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=autumn)</a:t>
            </a:r>
          </a:p>
        </c:rich>
      </c:tx>
      <c:layout>
        <c:manualLayout>
          <c:xMode val="edge"/>
          <c:yMode val="edge"/>
          <c:x val="0.36544396085510605"/>
          <c:y val="3.1529156681501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866499658515"/>
          <c:y val="0.21802996386759901"/>
          <c:w val="0.84814514660679108"/>
          <c:h val="0.58490730691403559"/>
        </c:manualLayout>
      </c:layout>
      <c:scatterChart>
        <c:scatterStyle val="lineMarker"/>
        <c:varyColors val="0"/>
        <c:ser>
          <c:idx val="0"/>
          <c:order val="0"/>
          <c:tx>
            <c:v>Pero density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B39-4C82-AD53-7B3B18DC188B}"/>
              </c:ext>
            </c:extLst>
          </c:dPt>
          <c:dPt>
            <c:idx val="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39-4C82-AD53-7B3B18DC188B}"/>
              </c:ext>
            </c:extLst>
          </c:dPt>
          <c:dPt>
            <c:idx val="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39-4C82-AD53-7B3B18DC188B}"/>
              </c:ext>
            </c:extLst>
          </c:dPt>
          <c:dPt>
            <c:idx val="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B39-4C82-AD53-7B3B18DC188B}"/>
              </c:ext>
            </c:extLst>
          </c:dPt>
          <c:dPt>
            <c:idx val="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B39-4C82-AD53-7B3B18DC188B}"/>
              </c:ext>
            </c:extLst>
          </c:dPt>
          <c:dPt>
            <c:idx val="1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B39-4C82-AD53-7B3B18DC188B}"/>
              </c:ext>
            </c:extLst>
          </c:dPt>
          <c:dPt>
            <c:idx val="1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B39-4C82-AD53-7B3B18DC188B}"/>
              </c:ext>
            </c:extLst>
          </c:dPt>
          <c:dPt>
            <c:idx val="1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B39-4C82-AD53-7B3B18DC188B}"/>
              </c:ext>
            </c:extLst>
          </c:dPt>
          <c:dPt>
            <c:idx val="1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B39-4C82-AD53-7B3B18DC188B}"/>
              </c:ext>
            </c:extLst>
          </c:dPt>
          <c:dPt>
            <c:idx val="1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B39-4C82-AD53-7B3B18DC188B}"/>
              </c:ext>
            </c:extLst>
          </c:dPt>
          <c:dPt>
            <c:idx val="2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B39-4C82-AD53-7B3B18DC188B}"/>
              </c:ext>
            </c:extLst>
          </c:dPt>
          <c:dPt>
            <c:idx val="2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B39-4C82-AD53-7B3B18DC188B}"/>
              </c:ext>
            </c:extLst>
          </c:dPt>
          <c:dPt>
            <c:idx val="2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B39-4C82-AD53-7B3B18DC188B}"/>
              </c:ext>
            </c:extLst>
          </c:dPt>
          <c:dPt>
            <c:idx val="2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B39-4C82-AD53-7B3B18DC188B}"/>
              </c:ext>
            </c:extLst>
          </c:dPt>
          <c:dPt>
            <c:idx val="2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B39-4C82-AD53-7B3B18DC188B}"/>
              </c:ext>
            </c:extLst>
          </c:dPt>
          <c:dPt>
            <c:idx val="3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B39-4C82-AD53-7B3B18DC188B}"/>
              </c:ext>
            </c:extLst>
          </c:dPt>
          <c:dPt>
            <c:idx val="3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B39-4C82-AD53-7B3B18DC188B}"/>
              </c:ext>
            </c:extLst>
          </c:dPt>
          <c:dPt>
            <c:idx val="35"/>
            <c:marker>
              <c:spPr>
                <a:solidFill>
                  <a:srgbClr val="3333CC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B39-4C82-AD53-7B3B18DC188B}"/>
              </c:ext>
            </c:extLst>
          </c:dPt>
          <c:dPt>
            <c:idx val="3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B39-4C82-AD53-7B3B18DC188B}"/>
              </c:ext>
            </c:extLst>
          </c:dPt>
          <c:dPt>
            <c:idx val="3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B39-4C82-AD53-7B3B18DC188B}"/>
              </c:ext>
            </c:extLst>
          </c:dPt>
          <c:dPt>
            <c:idx val="4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B39-4C82-AD53-7B3B18DC188B}"/>
              </c:ext>
            </c:extLst>
          </c:dPt>
          <c:dPt>
            <c:idx val="4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B39-4C82-AD53-7B3B18DC188B}"/>
              </c:ext>
            </c:extLst>
          </c:dPt>
          <c:dPt>
            <c:idx val="4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B39-4C82-AD53-7B3B18DC188B}"/>
              </c:ext>
            </c:extLst>
          </c:dPt>
          <c:dPt>
            <c:idx val="4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B39-4C82-AD53-7B3B18DC188B}"/>
              </c:ext>
            </c:extLst>
          </c:dPt>
          <c:dPt>
            <c:idx val="49"/>
            <c:marker>
              <c:spPr>
                <a:solidFill>
                  <a:srgbClr val="0066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B39-4C82-AD53-7B3B18DC188B}"/>
              </c:ext>
            </c:extLst>
          </c:dPt>
          <c:dPt>
            <c:idx val="51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B39-4C82-AD53-7B3B18DC188B}"/>
              </c:ext>
            </c:extLst>
          </c:dPt>
          <c:dPt>
            <c:idx val="53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B39-4C82-AD53-7B3B18DC188B}"/>
              </c:ext>
            </c:extLst>
          </c:dPt>
          <c:dPt>
            <c:idx val="55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B39-4C82-AD53-7B3B18DC188B}"/>
              </c:ext>
            </c:extLst>
          </c:dPt>
          <c:dPt>
            <c:idx val="57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B39-4C82-AD53-7B3B18DC188B}"/>
              </c:ext>
            </c:extLst>
          </c:dPt>
          <c:dPt>
            <c:idx val="59"/>
            <c:marker>
              <c:spPr>
                <a:solidFill>
                  <a:srgbClr val="0000FF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6F4-411D-85C7-D2E4DEA4610F}"/>
              </c:ext>
            </c:extLst>
          </c:dPt>
          <c:xVal>
            <c:numRef>
              <c:f>Peromyscus!$H$7:$H$70</c:f>
              <c:numCache>
                <c:formatCode>General</c:formatCode>
                <c:ptCount val="64"/>
                <c:pt idx="0">
                  <c:v>1987.4</c:v>
                </c:pt>
                <c:pt idx="1">
                  <c:v>1987.6</c:v>
                </c:pt>
                <c:pt idx="2">
                  <c:v>1988.4</c:v>
                </c:pt>
                <c:pt idx="3">
                  <c:v>1988.6</c:v>
                </c:pt>
                <c:pt idx="4">
                  <c:v>1989.4</c:v>
                </c:pt>
                <c:pt idx="5">
                  <c:v>1989.6</c:v>
                </c:pt>
                <c:pt idx="6">
                  <c:v>1990.4</c:v>
                </c:pt>
                <c:pt idx="7">
                  <c:v>1990.6</c:v>
                </c:pt>
                <c:pt idx="8">
                  <c:v>1991.4</c:v>
                </c:pt>
                <c:pt idx="9">
                  <c:v>1991.6</c:v>
                </c:pt>
                <c:pt idx="10">
                  <c:v>1992.4</c:v>
                </c:pt>
                <c:pt idx="11">
                  <c:v>1992.6</c:v>
                </c:pt>
                <c:pt idx="12">
                  <c:v>1993.4</c:v>
                </c:pt>
                <c:pt idx="13">
                  <c:v>1993.6</c:v>
                </c:pt>
                <c:pt idx="14">
                  <c:v>1994.4</c:v>
                </c:pt>
                <c:pt idx="15">
                  <c:v>1994.6</c:v>
                </c:pt>
                <c:pt idx="16">
                  <c:v>1995.4</c:v>
                </c:pt>
                <c:pt idx="17">
                  <c:v>1995.6</c:v>
                </c:pt>
                <c:pt idx="18">
                  <c:v>1996.4</c:v>
                </c:pt>
                <c:pt idx="19">
                  <c:v>1996.6</c:v>
                </c:pt>
                <c:pt idx="20">
                  <c:v>1997.4</c:v>
                </c:pt>
                <c:pt idx="21">
                  <c:v>1997.6</c:v>
                </c:pt>
                <c:pt idx="22">
                  <c:v>1998.4</c:v>
                </c:pt>
                <c:pt idx="23">
                  <c:v>1998.6</c:v>
                </c:pt>
                <c:pt idx="24">
                  <c:v>1999.4</c:v>
                </c:pt>
                <c:pt idx="25">
                  <c:v>1999.6</c:v>
                </c:pt>
                <c:pt idx="26">
                  <c:v>2000.4</c:v>
                </c:pt>
                <c:pt idx="27">
                  <c:v>2000.6</c:v>
                </c:pt>
                <c:pt idx="28">
                  <c:v>2001.4</c:v>
                </c:pt>
                <c:pt idx="29">
                  <c:v>2001.6</c:v>
                </c:pt>
                <c:pt idx="30">
                  <c:v>2002.4</c:v>
                </c:pt>
                <c:pt idx="31">
                  <c:v>2002.6</c:v>
                </c:pt>
                <c:pt idx="32">
                  <c:v>2003.4</c:v>
                </c:pt>
                <c:pt idx="33">
                  <c:v>2003.6</c:v>
                </c:pt>
                <c:pt idx="34">
                  <c:v>2004.4</c:v>
                </c:pt>
                <c:pt idx="35">
                  <c:v>2004.6</c:v>
                </c:pt>
                <c:pt idx="36">
                  <c:v>2005.4</c:v>
                </c:pt>
                <c:pt idx="37">
                  <c:v>2005.6</c:v>
                </c:pt>
                <c:pt idx="38">
                  <c:v>2006.4</c:v>
                </c:pt>
                <c:pt idx="39">
                  <c:v>2006.6</c:v>
                </c:pt>
                <c:pt idx="40">
                  <c:v>2007.4</c:v>
                </c:pt>
                <c:pt idx="41">
                  <c:v>2007.6</c:v>
                </c:pt>
                <c:pt idx="42">
                  <c:v>2008.4</c:v>
                </c:pt>
                <c:pt idx="43">
                  <c:v>2008.6</c:v>
                </c:pt>
                <c:pt idx="44">
                  <c:v>2009.4</c:v>
                </c:pt>
                <c:pt idx="45">
                  <c:v>2009.6</c:v>
                </c:pt>
                <c:pt idx="46">
                  <c:v>2010.4</c:v>
                </c:pt>
                <c:pt idx="47">
                  <c:v>2010.6</c:v>
                </c:pt>
                <c:pt idx="48">
                  <c:v>2011.4</c:v>
                </c:pt>
                <c:pt idx="49">
                  <c:v>2011.6</c:v>
                </c:pt>
                <c:pt idx="50">
                  <c:v>2012.4</c:v>
                </c:pt>
                <c:pt idx="51">
                  <c:v>2012.6</c:v>
                </c:pt>
                <c:pt idx="52">
                  <c:v>2013.4</c:v>
                </c:pt>
                <c:pt idx="53">
                  <c:v>2013.6</c:v>
                </c:pt>
                <c:pt idx="54">
                  <c:v>2014.4</c:v>
                </c:pt>
                <c:pt idx="55">
                  <c:v>2014.6</c:v>
                </c:pt>
                <c:pt idx="56">
                  <c:v>2015.4</c:v>
                </c:pt>
                <c:pt idx="57">
                  <c:v>2015.6</c:v>
                </c:pt>
                <c:pt idx="58">
                  <c:v>2016.4</c:v>
                </c:pt>
                <c:pt idx="59">
                  <c:v>2016.6</c:v>
                </c:pt>
                <c:pt idx="60">
                  <c:v>2017.4</c:v>
                </c:pt>
                <c:pt idx="61">
                  <c:v>2017.6</c:v>
                </c:pt>
                <c:pt idx="62">
                  <c:v>2018.4</c:v>
                </c:pt>
                <c:pt idx="63">
                  <c:v>2018.6</c:v>
                </c:pt>
              </c:numCache>
            </c:numRef>
          </c:xVal>
          <c:yVal>
            <c:numRef>
              <c:f>Peromyscus!$C$7:$C$70</c:f>
              <c:numCache>
                <c:formatCode>0.0</c:formatCode>
                <c:ptCount val="64"/>
                <c:pt idx="0">
                  <c:v>1.3048635824436536</c:v>
                </c:pt>
                <c:pt idx="1">
                  <c:v>3.0842230130486352</c:v>
                </c:pt>
                <c:pt idx="2">
                  <c:v>1.4234875444839856</c:v>
                </c:pt>
                <c:pt idx="3">
                  <c:v>1.1862396204033214</c:v>
                </c:pt>
                <c:pt idx="4">
                  <c:v>0.23724792408066431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0.23724792408066431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0.35587188612099646</c:v>
                </c:pt>
                <c:pt idx="17" formatCode="0.00">
                  <c:v>0.35587188612099646</c:v>
                </c:pt>
                <c:pt idx="18" formatCode="0.00">
                  <c:v>0.71174377224199281</c:v>
                </c:pt>
                <c:pt idx="19" formatCode="0.00">
                  <c:v>0.47449584816132861</c:v>
                </c:pt>
                <c:pt idx="20" formatCode="0.00">
                  <c:v>0.47449584816132861</c:v>
                </c:pt>
                <c:pt idx="21" formatCode="0.00">
                  <c:v>0</c:v>
                </c:pt>
                <c:pt idx="22" formatCode="0.00">
                  <c:v>0.47449584816132861</c:v>
                </c:pt>
                <c:pt idx="23" formatCode="0.00">
                  <c:v>0.47449584816132861</c:v>
                </c:pt>
                <c:pt idx="24" formatCode="0.00">
                  <c:v>0.47449584816132861</c:v>
                </c:pt>
                <c:pt idx="25" formatCode="0.00">
                  <c:v>1.39</c:v>
                </c:pt>
                <c:pt idx="26" formatCode="0.00">
                  <c:v>0.83036773428232502</c:v>
                </c:pt>
                <c:pt idx="27" formatCode="0.00">
                  <c:v>0.46</c:v>
                </c:pt>
                <c:pt idx="28" formatCode="#,##0.00">
                  <c:v>0.47449584816132861</c:v>
                </c:pt>
                <c:pt idx="29" formatCode="#,##0.00">
                  <c:v>1.1366666666666667</c:v>
                </c:pt>
                <c:pt idx="30" formatCode="#,##0.00">
                  <c:v>1.5421115065243178</c:v>
                </c:pt>
                <c:pt idx="31" formatCode="#,##0.00">
                  <c:v>0.83036773428232502</c:v>
                </c:pt>
                <c:pt idx="32" formatCode="0.00">
                  <c:v>0.47449584816132861</c:v>
                </c:pt>
                <c:pt idx="33" formatCode="0.00">
                  <c:v>0.59311981020166071</c:v>
                </c:pt>
                <c:pt idx="34" formatCode="0.00">
                  <c:v>0.35587188612099641</c:v>
                </c:pt>
                <c:pt idx="35" formatCode="0.00">
                  <c:v>2.7666666666666671</c:v>
                </c:pt>
                <c:pt idx="36" formatCode="0.00">
                  <c:v>1.5421115065243178</c:v>
                </c:pt>
                <c:pt idx="37" formatCode="0.00">
                  <c:v>1.63</c:v>
                </c:pt>
                <c:pt idx="38" formatCode="0.00">
                  <c:v>1.4234875444839856</c:v>
                </c:pt>
                <c:pt idx="39" formatCode="0.00">
                  <c:v>1.312538552787663</c:v>
                </c:pt>
                <c:pt idx="40" formatCode="0.00">
                  <c:v>1.3048635824436536</c:v>
                </c:pt>
                <c:pt idx="41" formatCode="0.00">
                  <c:v>2.6933333333333334</c:v>
                </c:pt>
                <c:pt idx="42" formatCode="0.00">
                  <c:v>3.2140688018979837</c:v>
                </c:pt>
                <c:pt idx="43" formatCode="0.00">
                  <c:v>3.5933333333333337</c:v>
                </c:pt>
                <c:pt idx="44" formatCode="0.00">
                  <c:v>2.39</c:v>
                </c:pt>
                <c:pt idx="45" formatCode="0.00">
                  <c:v>3.0866666666666664</c:v>
                </c:pt>
                <c:pt idx="46" formatCode="0.00">
                  <c:v>1.1433333333333333</c:v>
                </c:pt>
                <c:pt idx="47" formatCode="0.00">
                  <c:v>0.433</c:v>
                </c:pt>
                <c:pt idx="48" formatCode="0.00">
                  <c:v>0.59593333333333331</c:v>
                </c:pt>
                <c:pt idx="49" formatCode="0.00">
                  <c:v>3.7532052194543297</c:v>
                </c:pt>
                <c:pt idx="50" formatCode="0.00">
                  <c:v>0.66313855278766309</c:v>
                </c:pt>
                <c:pt idx="51" formatCode="0.00">
                  <c:v>3.0076000000000001</c:v>
                </c:pt>
                <c:pt idx="52" formatCode="0.00">
                  <c:v>2.34</c:v>
                </c:pt>
                <c:pt idx="53" formatCode="0.00">
                  <c:v>2.8</c:v>
                </c:pt>
                <c:pt idx="54" formatCode="0.00">
                  <c:v>2.2866666666666666</c:v>
                </c:pt>
                <c:pt idx="55" formatCode="0.00">
                  <c:v>1.1872479240806644</c:v>
                </c:pt>
                <c:pt idx="56" formatCode="0.00">
                  <c:v>0.23724792408066431</c:v>
                </c:pt>
                <c:pt idx="57" formatCode="0.00">
                  <c:v>1.8586666666666669</c:v>
                </c:pt>
                <c:pt idx="58" formatCode="0.00">
                  <c:v>0.59311981020166071</c:v>
                </c:pt>
                <c:pt idx="59" formatCode="0.00">
                  <c:v>2.1678291814946617</c:v>
                </c:pt>
                <c:pt idx="60" formatCode="0.00">
                  <c:v>1.7378291814946618</c:v>
                </c:pt>
                <c:pt idx="61" formatCode="0.00">
                  <c:v>2.71</c:v>
                </c:pt>
                <c:pt idx="62" formatCode="0.00">
                  <c:v>2.6165000000000003</c:v>
                </c:pt>
                <c:pt idx="63" formatCode="0.00">
                  <c:v>1.2252906287069989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B39-4C82-AD53-7B3B18DC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98312"/>
        <c:axId val="524292040"/>
      </c:scatterChart>
      <c:valAx>
        <c:axId val="524298312"/>
        <c:scaling>
          <c:orientation val="minMax"/>
          <c:max val="2018"/>
          <c:min val="198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0546086802440826"/>
              <c:y val="0.885446194225721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2040"/>
        <c:crossesAt val="0"/>
        <c:crossBetween val="midCat"/>
        <c:majorUnit val="3"/>
        <c:minorUnit val="1"/>
      </c:valAx>
      <c:valAx>
        <c:axId val="52429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Density per ha</a:t>
                </a:r>
              </a:p>
            </c:rich>
          </c:tx>
          <c:layout>
            <c:manualLayout>
              <c:xMode val="edge"/>
              <c:yMode val="edge"/>
              <c:x val="2.3802931806520006E-2"/>
              <c:y val="0.3599589181787081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8312"/>
        <c:crossesAt val="1985"/>
        <c:crossBetween val="midCat"/>
      </c:valAx>
      <c:spPr>
        <a:solidFill>
          <a:srgbClr val="FFFF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Coyote Tracks</a:t>
            </a:r>
          </a:p>
        </c:rich>
      </c:tx>
      <c:layout>
        <c:manualLayout>
          <c:xMode val="edge"/>
          <c:yMode val="edge"/>
          <c:x val="0.40360006158848188"/>
          <c:y val="2.95234991050955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7323630000796"/>
          <c:y val="0.1260108149131961"/>
          <c:w val="0.88440637705406056"/>
          <c:h val="0.73325087212199802"/>
        </c:manualLayout>
      </c:layout>
      <c:lineChart>
        <c:grouping val="standard"/>
        <c:varyColors val="0"/>
        <c:ser>
          <c:idx val="0"/>
          <c:order val="0"/>
          <c:tx>
            <c:v>Coyote Tracks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'Coyote Tracks'!$K$6:$K$36</c:f>
                <c:numCache>
                  <c:formatCode>General</c:formatCode>
                  <c:ptCount val="31"/>
                  <c:pt idx="0">
                    <c:v>0.88749999999999973</c:v>
                  </c:pt>
                  <c:pt idx="1">
                    <c:v>1.0663</c:v>
                  </c:pt>
                  <c:pt idx="2">
                    <c:v>2.8399000000000001</c:v>
                  </c:pt>
                  <c:pt idx="3">
                    <c:v>4.2759</c:v>
                  </c:pt>
                  <c:pt idx="4">
                    <c:v>5.5928000000000004</c:v>
                  </c:pt>
                  <c:pt idx="5">
                    <c:v>1.7961</c:v>
                  </c:pt>
                  <c:pt idx="6">
                    <c:v>0.50240000000000007</c:v>
                  </c:pt>
                  <c:pt idx="7">
                    <c:v>3.2025000000000006</c:v>
                  </c:pt>
                  <c:pt idx="8">
                    <c:v>5.8385999999999996</c:v>
                  </c:pt>
                  <c:pt idx="9">
                    <c:v>11.793399999999998</c:v>
                  </c:pt>
                  <c:pt idx="10">
                    <c:v>13.197000000000003</c:v>
                  </c:pt>
                  <c:pt idx="11">
                    <c:v>11.985499999999995</c:v>
                  </c:pt>
                  <c:pt idx="12">
                    <c:v>13.9938</c:v>
                  </c:pt>
                  <c:pt idx="13">
                    <c:v>1.2936000000000001</c:v>
                  </c:pt>
                  <c:pt idx="14">
                    <c:v>6.9967000000000006</c:v>
                  </c:pt>
                  <c:pt idx="15">
                    <c:v>2.2171999999999992</c:v>
                  </c:pt>
                  <c:pt idx="16">
                    <c:v>2.4030999999999993</c:v>
                  </c:pt>
                  <c:pt idx="17">
                    <c:v>2.3850000000000007</c:v>
                  </c:pt>
                  <c:pt idx="18">
                    <c:v>5.1692999999999998</c:v>
                  </c:pt>
                  <c:pt idx="19">
                    <c:v>5.6440000000000019</c:v>
                  </c:pt>
                  <c:pt idx="20">
                    <c:v>6.0289999999999999</c:v>
                  </c:pt>
                  <c:pt idx="21">
                    <c:v>3.5600000000000005</c:v>
                  </c:pt>
                  <c:pt idx="22">
                    <c:v>5.0129999999999999</c:v>
                  </c:pt>
                  <c:pt idx="23">
                    <c:v>1.2510000000000001</c:v>
                  </c:pt>
                  <c:pt idx="24">
                    <c:v>1.8429000000000002</c:v>
                  </c:pt>
                  <c:pt idx="25">
                    <c:v>3.16</c:v>
                  </c:pt>
                  <c:pt idx="26">
                    <c:v>8.0300000000000011</c:v>
                  </c:pt>
                  <c:pt idx="27">
                    <c:v>12.695</c:v>
                  </c:pt>
                  <c:pt idx="28">
                    <c:v>8.4399999999999977</c:v>
                  </c:pt>
                  <c:pt idx="29">
                    <c:v>8.9529999999999994</c:v>
                  </c:pt>
                  <c:pt idx="30">
                    <c:v>8.8179999999999996</c:v>
                  </c:pt>
                </c:numCache>
              </c:numRef>
            </c:plus>
            <c:minus>
              <c:numRef>
                <c:f>'Coyote Tracks'!$J$6:$J$36</c:f>
                <c:numCache>
                  <c:formatCode>General</c:formatCode>
                  <c:ptCount val="31"/>
                  <c:pt idx="0">
                    <c:v>0.88250000000000006</c:v>
                  </c:pt>
                  <c:pt idx="1">
                    <c:v>1.0737000000000001</c:v>
                  </c:pt>
                  <c:pt idx="2">
                    <c:v>2.8401000000000005</c:v>
                  </c:pt>
                  <c:pt idx="3">
                    <c:v>4.2740999999999989</c:v>
                  </c:pt>
                  <c:pt idx="4">
                    <c:v>5.5972000000000008</c:v>
                  </c:pt>
                  <c:pt idx="5">
                    <c:v>1.8039000000000001</c:v>
                  </c:pt>
                  <c:pt idx="6">
                    <c:v>0.50760000000000005</c:v>
                  </c:pt>
                  <c:pt idx="7">
                    <c:v>3.2075</c:v>
                  </c:pt>
                  <c:pt idx="8">
                    <c:v>5.8414000000000001</c:v>
                  </c:pt>
                  <c:pt idx="9">
                    <c:v>11.7866</c:v>
                  </c:pt>
                  <c:pt idx="10">
                    <c:v>13.193000000000001</c:v>
                  </c:pt>
                  <c:pt idx="11">
                    <c:v>11.984500000000004</c:v>
                  </c:pt>
                  <c:pt idx="12">
                    <c:v>13.996200000000002</c:v>
                  </c:pt>
                  <c:pt idx="13">
                    <c:v>1.2964</c:v>
                  </c:pt>
                  <c:pt idx="14">
                    <c:v>7.0033000000000003</c:v>
                  </c:pt>
                  <c:pt idx="15">
                    <c:v>2.2128000000000005</c:v>
                  </c:pt>
                  <c:pt idx="16">
                    <c:v>2.4069000000000003</c:v>
                  </c:pt>
                  <c:pt idx="17">
                    <c:v>2.3849999999999998</c:v>
                  </c:pt>
                  <c:pt idx="18">
                    <c:v>5.170700000000001</c:v>
                  </c:pt>
                  <c:pt idx="19">
                    <c:v>5.645999999999999</c:v>
                  </c:pt>
                  <c:pt idx="20">
                    <c:v>6.0309999999999988</c:v>
                  </c:pt>
                  <c:pt idx="21">
                    <c:v>3.8600000000000003</c:v>
                  </c:pt>
                  <c:pt idx="22">
                    <c:v>5.0169999999999995</c:v>
                  </c:pt>
                  <c:pt idx="23">
                    <c:v>1.2489999999999999</c:v>
                  </c:pt>
                  <c:pt idx="24">
                    <c:v>1.8470999999999997</c:v>
                  </c:pt>
                  <c:pt idx="25">
                    <c:v>3.15</c:v>
                  </c:pt>
                  <c:pt idx="26">
                    <c:v>8.0299999999999994</c:v>
                  </c:pt>
                  <c:pt idx="27">
                    <c:v>12.695</c:v>
                  </c:pt>
                  <c:pt idx="28">
                    <c:v>8.43</c:v>
                  </c:pt>
                  <c:pt idx="29">
                    <c:v>8.9570000000000007</c:v>
                  </c:pt>
                  <c:pt idx="30">
                    <c:v>8.8219999999999992</c:v>
                  </c:pt>
                </c:numCache>
              </c:numRef>
            </c:minus>
            <c:spPr>
              <a:ln w="12700">
                <a:solidFill>
                  <a:srgbClr val="666699"/>
                </a:solidFill>
                <a:prstDash val="solid"/>
              </a:ln>
            </c:spPr>
          </c:errBars>
          <c:cat>
            <c:strRef>
              <c:f>'Coyote Tracks'!$A$6:$A$36</c:f>
              <c:strCache>
                <c:ptCount val="31"/>
                <c:pt idx="0">
                  <c:v>87/88</c:v>
                </c:pt>
                <c:pt idx="1">
                  <c:v>88/89</c:v>
                </c:pt>
                <c:pt idx="2">
                  <c:v>89/90</c:v>
                </c:pt>
                <c:pt idx="3">
                  <c:v>90/91</c:v>
                </c:pt>
                <c:pt idx="4">
                  <c:v>91/92</c:v>
                </c:pt>
                <c:pt idx="5">
                  <c:v>92/93</c:v>
                </c:pt>
                <c:pt idx="6">
                  <c:v>93/94</c:v>
                </c:pt>
                <c:pt idx="7">
                  <c:v>94/95</c:v>
                </c:pt>
                <c:pt idx="8">
                  <c:v>95/96</c:v>
                </c:pt>
                <c:pt idx="9">
                  <c:v>96/97</c:v>
                </c:pt>
                <c:pt idx="10">
                  <c:v>97/98</c:v>
                </c:pt>
                <c:pt idx="11">
                  <c:v>98/99</c:v>
                </c:pt>
                <c:pt idx="12">
                  <c:v>99/00</c:v>
                </c:pt>
                <c:pt idx="13">
                  <c:v>00/01</c:v>
                </c:pt>
                <c:pt idx="14">
                  <c:v>01/02</c:v>
                </c:pt>
                <c:pt idx="15">
                  <c:v>02/03</c:v>
                </c:pt>
                <c:pt idx="16">
                  <c:v>03/04</c:v>
                </c:pt>
                <c:pt idx="17">
                  <c:v>04/05</c:v>
                </c:pt>
                <c:pt idx="18">
                  <c:v>05/06</c:v>
                </c:pt>
                <c:pt idx="19">
                  <c:v>06/07</c:v>
                </c:pt>
                <c:pt idx="20">
                  <c:v>07/08</c:v>
                </c:pt>
                <c:pt idx="21">
                  <c:v>08/09</c:v>
                </c:pt>
                <c:pt idx="22">
                  <c:v>09/10</c:v>
                </c:pt>
                <c:pt idx="23">
                  <c:v>10/11</c:v>
                </c:pt>
                <c:pt idx="24">
                  <c:v>11/12</c:v>
                </c:pt>
                <c:pt idx="25">
                  <c:v>12/13</c:v>
                </c:pt>
                <c:pt idx="26">
                  <c:v>13/14</c:v>
                </c:pt>
                <c:pt idx="27">
                  <c:v>14/15</c:v>
                </c:pt>
                <c:pt idx="28">
                  <c:v>15/16</c:v>
                </c:pt>
                <c:pt idx="29">
                  <c:v>16/17</c:v>
                </c:pt>
                <c:pt idx="30">
                  <c:v>17/18</c:v>
                </c:pt>
              </c:strCache>
            </c:strRef>
          </c:cat>
          <c:val>
            <c:numRef>
              <c:f>'Coyote Tracks'!$F$6:$F$36</c:f>
              <c:numCache>
                <c:formatCode>0.00</c:formatCode>
                <c:ptCount val="31"/>
                <c:pt idx="0">
                  <c:v>2.7025000000000001</c:v>
                </c:pt>
                <c:pt idx="1">
                  <c:v>4.2137000000000002</c:v>
                </c:pt>
                <c:pt idx="2">
                  <c:v>7.7301000000000002</c:v>
                </c:pt>
                <c:pt idx="3">
                  <c:v>18.534099999999999</c:v>
                </c:pt>
                <c:pt idx="4">
                  <c:v>20.2972</c:v>
                </c:pt>
                <c:pt idx="5">
                  <c:v>3.9039000000000001</c:v>
                </c:pt>
                <c:pt idx="6">
                  <c:v>0.58760000000000001</c:v>
                </c:pt>
                <c:pt idx="7">
                  <c:v>6.9275000000000002</c:v>
                </c:pt>
                <c:pt idx="8">
                  <c:v>17.4114</c:v>
                </c:pt>
                <c:pt idx="9">
                  <c:v>33.576599999999999</c:v>
                </c:pt>
                <c:pt idx="10">
                  <c:v>39.433</c:v>
                </c:pt>
                <c:pt idx="11">
                  <c:v>34.064500000000002</c:v>
                </c:pt>
                <c:pt idx="12">
                  <c:v>41.676200000000001</c:v>
                </c:pt>
                <c:pt idx="13">
                  <c:v>2.4563999999999999</c:v>
                </c:pt>
                <c:pt idx="14">
                  <c:v>13.1433</c:v>
                </c:pt>
                <c:pt idx="15">
                  <c:v>5.9728000000000003</c:v>
                </c:pt>
                <c:pt idx="16">
                  <c:v>4.4469000000000003</c:v>
                </c:pt>
                <c:pt idx="17">
                  <c:v>6.0949999999999998</c:v>
                </c:pt>
                <c:pt idx="18">
                  <c:v>9.8007000000000009</c:v>
                </c:pt>
                <c:pt idx="19">
                  <c:v>15.956</c:v>
                </c:pt>
                <c:pt idx="20">
                  <c:v>19.081</c:v>
                </c:pt>
                <c:pt idx="21" formatCode="General">
                  <c:v>7.91</c:v>
                </c:pt>
                <c:pt idx="22">
                  <c:v>8.5269999999999992</c:v>
                </c:pt>
                <c:pt idx="23">
                  <c:v>1.579</c:v>
                </c:pt>
                <c:pt idx="24">
                  <c:v>2.6970999999999998</c:v>
                </c:pt>
                <c:pt idx="25">
                  <c:v>6.17</c:v>
                </c:pt>
                <c:pt idx="26">
                  <c:v>10</c:v>
                </c:pt>
                <c:pt idx="27">
                  <c:v>34.585000000000001</c:v>
                </c:pt>
                <c:pt idx="28">
                  <c:v>19.14</c:v>
                </c:pt>
                <c:pt idx="29">
                  <c:v>16.177</c:v>
                </c:pt>
                <c:pt idx="30">
                  <c:v>15.432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8-4B5E-AA11-D27E1864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97136"/>
        <c:axId val="524297920"/>
      </c:lineChart>
      <c:catAx>
        <c:axId val="524297136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 Season</a:t>
                </a:r>
              </a:p>
            </c:rich>
          </c:tx>
          <c:layout>
            <c:manualLayout>
              <c:xMode val="edge"/>
              <c:yMode val="edge"/>
              <c:x val="0.45018002650658734"/>
              <c:y val="0.95143925047343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7920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52429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Tracks / TN / 100 km</a:t>
                </a:r>
              </a:p>
            </c:rich>
          </c:tx>
          <c:layout>
            <c:manualLayout>
              <c:xMode val="edge"/>
              <c:yMode val="edge"/>
              <c:x val="1.0908179451647789E-2"/>
              <c:y val="0.234078648665648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7136"/>
        <c:crosses val="autoZero"/>
        <c:crossBetween val="between"/>
      </c:valAx>
      <c:spPr>
        <a:solidFill>
          <a:srgbClr val="FFFFC0"/>
        </a:solidFill>
        <a:ln w="12700">
          <a:solidFill>
            <a:srgbClr val="808080">
              <a:alpha val="88000"/>
            </a:srgb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paperSize="9"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Lynx Tracks</a:t>
            </a:r>
          </a:p>
        </c:rich>
      </c:tx>
      <c:layout>
        <c:manualLayout>
          <c:xMode val="edge"/>
          <c:yMode val="edge"/>
          <c:x val="0.41900995261498358"/>
          <c:y val="2.94241698048613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75179910180194"/>
          <c:y val="8.1897321323136985E-2"/>
          <c:w val="0.83404819927756235"/>
          <c:h val="0.66600286241964224"/>
        </c:manualLayout>
      </c:layout>
      <c:lineChart>
        <c:grouping val="standard"/>
        <c:varyColors val="0"/>
        <c:ser>
          <c:idx val="0"/>
          <c:order val="0"/>
          <c:tx>
            <c:v>Lynx Tracks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'Lynx Tracks'!$K$6:$K$36</c:f>
                <c:numCache>
                  <c:formatCode>General</c:formatCode>
                  <c:ptCount val="31"/>
                  <c:pt idx="0">
                    <c:v>1.7122000000000011</c:v>
                  </c:pt>
                  <c:pt idx="1">
                    <c:v>2.3750999999999998</c:v>
                  </c:pt>
                  <c:pt idx="2">
                    <c:v>4.6897999999999982</c:v>
                  </c:pt>
                  <c:pt idx="3">
                    <c:v>8.1122000000000014</c:v>
                  </c:pt>
                  <c:pt idx="4">
                    <c:v>5.5737999999999985</c:v>
                  </c:pt>
                  <c:pt idx="5">
                    <c:v>3.2936999999999994</c:v>
                  </c:pt>
                  <c:pt idx="6">
                    <c:v>1.9067000000000007</c:v>
                  </c:pt>
                  <c:pt idx="7">
                    <c:v>4.2403999999999993</c:v>
                  </c:pt>
                  <c:pt idx="8">
                    <c:v>3.677999999999999</c:v>
                  </c:pt>
                  <c:pt idx="9">
                    <c:v>7.6794000000000011</c:v>
                  </c:pt>
                  <c:pt idx="10">
                    <c:v>13.703999999999994</c:v>
                  </c:pt>
                  <c:pt idx="11">
                    <c:v>17.346000000000004</c:v>
                  </c:pt>
                  <c:pt idx="12">
                    <c:v>12.444900000000004</c:v>
                  </c:pt>
                  <c:pt idx="13">
                    <c:v>1.4212000000000002</c:v>
                  </c:pt>
                  <c:pt idx="14">
                    <c:v>1.6401000000000003</c:v>
                  </c:pt>
                  <c:pt idx="15">
                    <c:v>2.1252000000000004</c:v>
                  </c:pt>
                  <c:pt idx="16">
                    <c:v>2.9072999999999993</c:v>
                  </c:pt>
                  <c:pt idx="17">
                    <c:v>3.6475000000000009</c:v>
                  </c:pt>
                  <c:pt idx="18">
                    <c:v>7.2253000000000007</c:v>
                  </c:pt>
                  <c:pt idx="19">
                    <c:v>10.807000000000002</c:v>
                  </c:pt>
                  <c:pt idx="20">
                    <c:v>7.7390000000000008</c:v>
                  </c:pt>
                  <c:pt idx="21">
                    <c:v>6.8270000000000017</c:v>
                  </c:pt>
                  <c:pt idx="22">
                    <c:v>6.3979999999999997</c:v>
                  </c:pt>
                  <c:pt idx="23">
                    <c:v>5.2050000000000018</c:v>
                  </c:pt>
                  <c:pt idx="24">
                    <c:v>5.3600000000000012</c:v>
                  </c:pt>
                  <c:pt idx="25">
                    <c:v>7.2570000000000014</c:v>
                  </c:pt>
                  <c:pt idx="26">
                    <c:v>7.93</c:v>
                  </c:pt>
                  <c:pt idx="27">
                    <c:v>11.869999999999997</c:v>
                  </c:pt>
                  <c:pt idx="28">
                    <c:v>9.4009999999999962</c:v>
                  </c:pt>
                  <c:pt idx="29">
                    <c:v>12.845999999999997</c:v>
                  </c:pt>
                  <c:pt idx="30">
                    <c:v>16.598999999999997</c:v>
                  </c:pt>
                </c:numCache>
              </c:numRef>
            </c:plus>
            <c:minus>
              <c:numRef>
                <c:f>'Lynx Tracks'!$J$6:$J$36</c:f>
                <c:numCache>
                  <c:formatCode>General</c:formatCode>
                  <c:ptCount val="31"/>
                  <c:pt idx="0">
                    <c:v>1.7177999999999995</c:v>
                  </c:pt>
                  <c:pt idx="1">
                    <c:v>2.3749000000000002</c:v>
                  </c:pt>
                  <c:pt idx="2">
                    <c:v>4.6902000000000008</c:v>
                  </c:pt>
                  <c:pt idx="3">
                    <c:v>8.1077999999999975</c:v>
                  </c:pt>
                  <c:pt idx="4">
                    <c:v>5.5661999999999985</c:v>
                  </c:pt>
                  <c:pt idx="5">
                    <c:v>3.2863000000000007</c:v>
                  </c:pt>
                  <c:pt idx="6">
                    <c:v>1.9132999999999996</c:v>
                  </c:pt>
                  <c:pt idx="7">
                    <c:v>4.2396000000000003</c:v>
                  </c:pt>
                  <c:pt idx="8">
                    <c:v>3.6720000000000006</c:v>
                  </c:pt>
                  <c:pt idx="9">
                    <c:v>7.6805999999999983</c:v>
                  </c:pt>
                  <c:pt idx="10">
                    <c:v>13.695999999999998</c:v>
                  </c:pt>
                  <c:pt idx="11">
                    <c:v>17.344000000000008</c:v>
                  </c:pt>
                  <c:pt idx="12">
                    <c:v>12.445100000000004</c:v>
                  </c:pt>
                  <c:pt idx="13">
                    <c:v>1.4287999999999998</c:v>
                  </c:pt>
                  <c:pt idx="14">
                    <c:v>1.6398999999999999</c:v>
                  </c:pt>
                  <c:pt idx="15">
                    <c:v>2.1247999999999996</c:v>
                  </c:pt>
                  <c:pt idx="16">
                    <c:v>2.9126999999999996</c:v>
                  </c:pt>
                  <c:pt idx="17">
                    <c:v>3.652499999999999</c:v>
                  </c:pt>
                  <c:pt idx="18">
                    <c:v>7.2247000000000003</c:v>
                  </c:pt>
                  <c:pt idx="19">
                    <c:v>10.803000000000001</c:v>
                  </c:pt>
                  <c:pt idx="20">
                    <c:v>7.7409999999999997</c:v>
                  </c:pt>
                  <c:pt idx="21">
                    <c:v>6.8230000000000004</c:v>
                  </c:pt>
                  <c:pt idx="22">
                    <c:v>6.3919999999999995</c:v>
                  </c:pt>
                  <c:pt idx="23">
                    <c:v>5.2050000000000001</c:v>
                  </c:pt>
                  <c:pt idx="24">
                    <c:v>5.35</c:v>
                  </c:pt>
                  <c:pt idx="25">
                    <c:v>7.2629999999999981</c:v>
                  </c:pt>
                  <c:pt idx="26">
                    <c:v>7.93</c:v>
                  </c:pt>
                  <c:pt idx="27">
                    <c:v>11.870000000000005</c:v>
                  </c:pt>
                  <c:pt idx="28">
                    <c:v>9.3990000000000009</c:v>
                  </c:pt>
                  <c:pt idx="29">
                    <c:v>12.844000000000001</c:v>
                  </c:pt>
                  <c:pt idx="30">
                    <c:v>18.603000000000002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'Lynx Tracks'!$A$6:$A$36</c:f>
              <c:strCache>
                <c:ptCount val="31"/>
                <c:pt idx="0">
                  <c:v>87/88</c:v>
                </c:pt>
                <c:pt idx="1">
                  <c:v>88/89</c:v>
                </c:pt>
                <c:pt idx="2">
                  <c:v>89/90</c:v>
                </c:pt>
                <c:pt idx="3">
                  <c:v>90/91</c:v>
                </c:pt>
                <c:pt idx="4">
                  <c:v>91/92</c:v>
                </c:pt>
                <c:pt idx="5">
                  <c:v>92/93</c:v>
                </c:pt>
                <c:pt idx="6">
                  <c:v>93/94</c:v>
                </c:pt>
                <c:pt idx="7">
                  <c:v>94/95</c:v>
                </c:pt>
                <c:pt idx="8">
                  <c:v>95/96</c:v>
                </c:pt>
                <c:pt idx="9">
                  <c:v>96/97</c:v>
                </c:pt>
                <c:pt idx="10">
                  <c:v>97/98</c:v>
                </c:pt>
                <c:pt idx="11">
                  <c:v>98/99</c:v>
                </c:pt>
                <c:pt idx="12">
                  <c:v>99/00</c:v>
                </c:pt>
                <c:pt idx="13">
                  <c:v>00/01</c:v>
                </c:pt>
                <c:pt idx="14">
                  <c:v>01/02</c:v>
                </c:pt>
                <c:pt idx="15">
                  <c:v>02/03</c:v>
                </c:pt>
                <c:pt idx="16">
                  <c:v>03/04</c:v>
                </c:pt>
                <c:pt idx="17">
                  <c:v>04/05</c:v>
                </c:pt>
                <c:pt idx="18">
                  <c:v>05/06</c:v>
                </c:pt>
                <c:pt idx="19">
                  <c:v>06/07</c:v>
                </c:pt>
                <c:pt idx="20">
                  <c:v>07/08</c:v>
                </c:pt>
                <c:pt idx="21">
                  <c:v>08/09</c:v>
                </c:pt>
                <c:pt idx="22">
                  <c:v>09/10</c:v>
                </c:pt>
                <c:pt idx="23">
                  <c:v>10/11</c:v>
                </c:pt>
                <c:pt idx="24">
                  <c:v>11/12</c:v>
                </c:pt>
                <c:pt idx="25">
                  <c:v>12/13</c:v>
                </c:pt>
                <c:pt idx="26">
                  <c:v>13/14</c:v>
                </c:pt>
                <c:pt idx="27">
                  <c:v>14/15</c:v>
                </c:pt>
                <c:pt idx="28">
                  <c:v>15/16</c:v>
                </c:pt>
                <c:pt idx="29">
                  <c:v>16/17</c:v>
                </c:pt>
                <c:pt idx="30">
                  <c:v>17/18</c:v>
                </c:pt>
              </c:strCache>
            </c:strRef>
          </c:cat>
          <c:val>
            <c:numRef>
              <c:f>'Lynx Tracks'!$F$6:$F$36</c:f>
              <c:numCache>
                <c:formatCode>0.00</c:formatCode>
                <c:ptCount val="31"/>
                <c:pt idx="0">
                  <c:v>7.9177999999999997</c:v>
                </c:pt>
                <c:pt idx="1">
                  <c:v>13.854900000000001</c:v>
                </c:pt>
                <c:pt idx="2">
                  <c:v>22.400200000000002</c:v>
                </c:pt>
                <c:pt idx="3">
                  <c:v>53.887799999999999</c:v>
                </c:pt>
                <c:pt idx="4">
                  <c:v>35.796199999999999</c:v>
                </c:pt>
                <c:pt idx="5">
                  <c:v>13.776300000000001</c:v>
                </c:pt>
                <c:pt idx="6">
                  <c:v>4.5732999999999997</c:v>
                </c:pt>
                <c:pt idx="7">
                  <c:v>10.519600000000001</c:v>
                </c:pt>
                <c:pt idx="8">
                  <c:v>14.792</c:v>
                </c:pt>
                <c:pt idx="9">
                  <c:v>27.250599999999999</c:v>
                </c:pt>
                <c:pt idx="10">
                  <c:v>53.866</c:v>
                </c:pt>
                <c:pt idx="11">
                  <c:v>82.414000000000001</c:v>
                </c:pt>
                <c:pt idx="12">
                  <c:v>72.6751</c:v>
                </c:pt>
                <c:pt idx="13">
                  <c:v>2.6187999999999998</c:v>
                </c:pt>
                <c:pt idx="14">
                  <c:v>2.8898999999999999</c:v>
                </c:pt>
                <c:pt idx="15">
                  <c:v>5.3647999999999998</c:v>
                </c:pt>
                <c:pt idx="16">
                  <c:v>6.3826999999999998</c:v>
                </c:pt>
                <c:pt idx="17">
                  <c:v>11.432499999999999</c:v>
                </c:pt>
                <c:pt idx="18">
                  <c:v>21.5947</c:v>
                </c:pt>
                <c:pt idx="19">
                  <c:v>39.363</c:v>
                </c:pt>
                <c:pt idx="20">
                  <c:v>16.241</c:v>
                </c:pt>
                <c:pt idx="21">
                  <c:v>21.343</c:v>
                </c:pt>
                <c:pt idx="22">
                  <c:v>21.981999999999999</c:v>
                </c:pt>
                <c:pt idx="23">
                  <c:v>15.965</c:v>
                </c:pt>
                <c:pt idx="24">
                  <c:v>14.31</c:v>
                </c:pt>
                <c:pt idx="25">
                  <c:v>18.722999999999999</c:v>
                </c:pt>
                <c:pt idx="26">
                  <c:v>16.5</c:v>
                </c:pt>
                <c:pt idx="27">
                  <c:v>38.340000000000003</c:v>
                </c:pt>
                <c:pt idx="28">
                  <c:v>30.969000000000001</c:v>
                </c:pt>
                <c:pt idx="29">
                  <c:v>59.874000000000002</c:v>
                </c:pt>
                <c:pt idx="30">
                  <c:v>59.670999999999999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95B-8ECF-36BD1425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92432"/>
        <c:axId val="524296352"/>
      </c:lineChart>
      <c:catAx>
        <c:axId val="52429243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 Season</a:t>
                </a:r>
              </a:p>
            </c:rich>
          </c:tx>
          <c:layout>
            <c:manualLayout>
              <c:xMode val="edge"/>
              <c:yMode val="edge"/>
              <c:x val="0.47121886945339886"/>
              <c:y val="0.8764199475065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6352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5242963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Tracks / TN / 100 km</a:t>
                </a:r>
              </a:p>
            </c:rich>
          </c:tx>
          <c:layout>
            <c:manualLayout>
              <c:xMode val="edge"/>
              <c:yMode val="edge"/>
              <c:x val="4.9531540101111521E-2"/>
              <c:y val="0.16603628894214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2432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Pine Marten Tracks</a:t>
            </a:r>
          </a:p>
        </c:rich>
      </c:tx>
      <c:layout>
        <c:manualLayout>
          <c:xMode val="edge"/>
          <c:yMode val="edge"/>
          <c:x val="0.36638560506912465"/>
          <c:y val="2.8322520633001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860668424764747E-2"/>
          <c:y val="0.11324065894290312"/>
          <c:w val="0.88562185715152675"/>
          <c:h val="0.70557641341347965"/>
        </c:manualLayout>
      </c:layout>
      <c:lineChart>
        <c:grouping val="standard"/>
        <c:varyColors val="0"/>
        <c:ser>
          <c:idx val="0"/>
          <c:order val="0"/>
          <c:tx>
            <c:strRef>
              <c:f>'Marten Tracks'!$F$4</c:f>
              <c:strCache>
                <c:ptCount val="1"/>
                <c:pt idx="0">
                  <c:v>Mean No. of Tracks per Track Night per 100 km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'Marten Tracks'!$K$5:$K$34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0.126</c:v>
                  </c:pt>
                  <c:pt idx="2">
                    <c:v>0</c:v>
                  </c:pt>
                  <c:pt idx="3">
                    <c:v>0</c:v>
                  </c:pt>
                  <c:pt idx="4">
                    <c:v>0.28520000000000001</c:v>
                  </c:pt>
                  <c:pt idx="5">
                    <c:v>0.21740000000000001</c:v>
                  </c:pt>
                  <c:pt idx="6">
                    <c:v>0.42789999999999995</c:v>
                  </c:pt>
                  <c:pt idx="7">
                    <c:v>1.2357000000000002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1.0508999999999999</c:v>
                  </c:pt>
                  <c:pt idx="14">
                    <c:v>3.3003999999999998</c:v>
                  </c:pt>
                  <c:pt idx="15">
                    <c:v>5.8499000000000017</c:v>
                  </c:pt>
                  <c:pt idx="16">
                    <c:v>4.6085999999999991</c:v>
                  </c:pt>
                  <c:pt idx="17">
                    <c:v>5.1940000000000008</c:v>
                  </c:pt>
                  <c:pt idx="18">
                    <c:v>4.4377000000000004</c:v>
                  </c:pt>
                  <c:pt idx="19">
                    <c:v>10.376999999999999</c:v>
                  </c:pt>
                  <c:pt idx="20">
                    <c:v>9.2659999999999982</c:v>
                  </c:pt>
                  <c:pt idx="21">
                    <c:v>5.4669999999999987</c:v>
                  </c:pt>
                  <c:pt idx="22">
                    <c:v>15.268999999999998</c:v>
                  </c:pt>
                  <c:pt idx="23">
                    <c:v>34.158999999999999</c:v>
                  </c:pt>
                  <c:pt idx="24">
                    <c:v>8.1501999999999981</c:v>
                  </c:pt>
                  <c:pt idx="25">
                    <c:v>14.249000000000002</c:v>
                  </c:pt>
                  <c:pt idx="26">
                    <c:v>19.590000000000003</c:v>
                  </c:pt>
                  <c:pt idx="27">
                    <c:v>14.450000000000003</c:v>
                  </c:pt>
                  <c:pt idx="28">
                    <c:v>5.6800000000000006</c:v>
                  </c:pt>
                  <c:pt idx="29">
                    <c:v>2.9180000000000001</c:v>
                  </c:pt>
                </c:numCache>
              </c:numRef>
            </c:plus>
            <c:minus>
              <c:numRef>
                <c:f>'Marten Tracks'!$J$5:$J$34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9.4E-2</c:v>
                  </c:pt>
                  <c:pt idx="2">
                    <c:v>0</c:v>
                  </c:pt>
                  <c:pt idx="3">
                    <c:v>0</c:v>
                  </c:pt>
                  <c:pt idx="4">
                    <c:v>0.25480000000000003</c:v>
                  </c:pt>
                  <c:pt idx="5">
                    <c:v>0.11260000000000001</c:v>
                  </c:pt>
                  <c:pt idx="6">
                    <c:v>0.43210000000000004</c:v>
                  </c:pt>
                  <c:pt idx="7">
                    <c:v>1.2343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1.0491000000000001</c:v>
                  </c:pt>
                  <c:pt idx="14">
                    <c:v>3.2996000000000008</c:v>
                  </c:pt>
                  <c:pt idx="15">
                    <c:v>5.8500999999999976</c:v>
                  </c:pt>
                  <c:pt idx="16">
                    <c:v>4.6114000000000015</c:v>
                  </c:pt>
                  <c:pt idx="17">
                    <c:v>5.1859999999999999</c:v>
                  </c:pt>
                  <c:pt idx="18">
                    <c:v>4.4322999999999997</c:v>
                  </c:pt>
                  <c:pt idx="19">
                    <c:v>10.382999999999999</c:v>
                  </c:pt>
                  <c:pt idx="20">
                    <c:v>9.2640000000000011</c:v>
                  </c:pt>
                  <c:pt idx="21">
                    <c:v>5.4730000000000008</c:v>
                  </c:pt>
                  <c:pt idx="22">
                    <c:v>15.271000000000001</c:v>
                  </c:pt>
                  <c:pt idx="23">
                    <c:v>34.150999999999996</c:v>
                  </c:pt>
                  <c:pt idx="24">
                    <c:v>8.0998000000000019</c:v>
                  </c:pt>
                  <c:pt idx="25">
                    <c:v>14.251000000000001</c:v>
                  </c:pt>
                  <c:pt idx="26">
                    <c:v>19.59</c:v>
                  </c:pt>
                  <c:pt idx="27">
                    <c:v>14.45</c:v>
                  </c:pt>
                  <c:pt idx="28">
                    <c:v>5.68</c:v>
                  </c:pt>
                  <c:pt idx="29">
                    <c:v>2.9219999999999997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'Marten Tracks'!$A$5:$A$34</c:f>
              <c:strCache>
                <c:ptCount val="30"/>
                <c:pt idx="0">
                  <c:v>87/88</c:v>
                </c:pt>
                <c:pt idx="1">
                  <c:v>88/89</c:v>
                </c:pt>
                <c:pt idx="2">
                  <c:v>89/90</c:v>
                </c:pt>
                <c:pt idx="3">
                  <c:v>90/91</c:v>
                </c:pt>
                <c:pt idx="4">
                  <c:v>91/92</c:v>
                </c:pt>
                <c:pt idx="5">
                  <c:v>92/93</c:v>
                </c:pt>
                <c:pt idx="6">
                  <c:v>93/94</c:v>
                </c:pt>
                <c:pt idx="7">
                  <c:v>94/95</c:v>
                </c:pt>
                <c:pt idx="8">
                  <c:v>95/96</c:v>
                </c:pt>
                <c:pt idx="9">
                  <c:v>96/97</c:v>
                </c:pt>
                <c:pt idx="10">
                  <c:v>97/98</c:v>
                </c:pt>
                <c:pt idx="11">
                  <c:v>98/99</c:v>
                </c:pt>
                <c:pt idx="12">
                  <c:v>99/00</c:v>
                </c:pt>
                <c:pt idx="13">
                  <c:v>00/01</c:v>
                </c:pt>
                <c:pt idx="14">
                  <c:v>01/02</c:v>
                </c:pt>
                <c:pt idx="15">
                  <c:v>02/03</c:v>
                </c:pt>
                <c:pt idx="16">
                  <c:v>03/04</c:v>
                </c:pt>
                <c:pt idx="17">
                  <c:v>04/05</c:v>
                </c:pt>
                <c:pt idx="18">
                  <c:v>05/06</c:v>
                </c:pt>
                <c:pt idx="19">
                  <c:v>06/07</c:v>
                </c:pt>
                <c:pt idx="20">
                  <c:v>07/08</c:v>
                </c:pt>
                <c:pt idx="21">
                  <c:v>08/09</c:v>
                </c:pt>
                <c:pt idx="22">
                  <c:v>09/10</c:v>
                </c:pt>
                <c:pt idx="23">
                  <c:v>10/11</c:v>
                </c:pt>
                <c:pt idx="24">
                  <c:v>11/12</c:v>
                </c:pt>
                <c:pt idx="25">
                  <c:v>12/13</c:v>
                </c:pt>
                <c:pt idx="26">
                  <c:v>13/14</c:v>
                </c:pt>
                <c:pt idx="27">
                  <c:v>14/15</c:v>
                </c:pt>
                <c:pt idx="28">
                  <c:v>15/16</c:v>
                </c:pt>
                <c:pt idx="29">
                  <c:v>16/17</c:v>
                </c:pt>
              </c:strCache>
            </c:strRef>
          </c:cat>
          <c:val>
            <c:numRef>
              <c:f>'Marten Tracks'!$F$5:$F$34</c:f>
              <c:numCache>
                <c:formatCode>0.00</c:formatCode>
                <c:ptCount val="30"/>
                <c:pt idx="0">
                  <c:v>0</c:v>
                </c:pt>
                <c:pt idx="1">
                  <c:v>9.4E-2</c:v>
                </c:pt>
                <c:pt idx="2">
                  <c:v>0</c:v>
                </c:pt>
                <c:pt idx="3">
                  <c:v>0</c:v>
                </c:pt>
                <c:pt idx="4">
                  <c:v>0.25480000000000003</c:v>
                </c:pt>
                <c:pt idx="5">
                  <c:v>0.11260000000000001</c:v>
                </c:pt>
                <c:pt idx="6">
                  <c:v>0.56210000000000004</c:v>
                </c:pt>
                <c:pt idx="7">
                  <c:v>1.9242999999999999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1.9691000000000001</c:v>
                </c:pt>
                <c:pt idx="14">
                  <c:v>8.6896000000000004</c:v>
                </c:pt>
                <c:pt idx="15">
                  <c:v>17.060099999999998</c:v>
                </c:pt>
                <c:pt idx="16">
                  <c:v>16.031400000000001</c:v>
                </c:pt>
                <c:pt idx="17">
                  <c:v>14.875999999999999</c:v>
                </c:pt>
                <c:pt idx="18">
                  <c:v>6.3122999999999996</c:v>
                </c:pt>
                <c:pt idx="19">
                  <c:v>31.273</c:v>
                </c:pt>
                <c:pt idx="20">
                  <c:v>22.254000000000001</c:v>
                </c:pt>
                <c:pt idx="21">
                  <c:v>13.483000000000001</c:v>
                </c:pt>
                <c:pt idx="22">
                  <c:v>47.841000000000001</c:v>
                </c:pt>
                <c:pt idx="23">
                  <c:v>44.561</c:v>
                </c:pt>
                <c:pt idx="24">
                  <c:v>18.049800000000001</c:v>
                </c:pt>
                <c:pt idx="25">
                  <c:v>37.021000000000001</c:v>
                </c:pt>
                <c:pt idx="26">
                  <c:v>25</c:v>
                </c:pt>
                <c:pt idx="27" formatCode="General">
                  <c:v>30.83</c:v>
                </c:pt>
                <c:pt idx="28" formatCode="General">
                  <c:v>7.88</c:v>
                </c:pt>
                <c:pt idx="29">
                  <c:v>4.6219999999999999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B-4EFB-BF80-B1B8C098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524291256"/>
        <c:axId val="524292824"/>
      </c:lineChart>
      <c:catAx>
        <c:axId val="524291256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 Season</a:t>
                </a:r>
              </a:p>
            </c:rich>
          </c:tx>
          <c:layout>
            <c:manualLayout>
              <c:xMode val="edge"/>
              <c:yMode val="edge"/>
              <c:x val="0.45764151415677923"/>
              <c:y val="0.928106503617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282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5242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Tracks / TN / 100 km</a:t>
                </a:r>
              </a:p>
            </c:rich>
          </c:tx>
          <c:layout>
            <c:manualLayout>
              <c:xMode val="edge"/>
              <c:yMode val="edge"/>
              <c:x val="1.4982371072825721E-2"/>
              <c:y val="0.257081104139634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1256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Willow Twig Growth Rates</a:t>
            </a:r>
          </a:p>
        </c:rich>
      </c:tx>
      <c:layout>
        <c:manualLayout>
          <c:xMode val="edge"/>
          <c:yMode val="edge"/>
          <c:x val="0.32179122346548789"/>
          <c:y val="3.2258056195064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271199357865"/>
          <c:y val="0.14295189291814714"/>
          <c:w val="0.83077022361771891"/>
          <c:h val="0.71428657929747952"/>
        </c:manualLayout>
      </c:layout>
      <c:scatterChart>
        <c:scatterStyle val="smoothMarker"/>
        <c:varyColors val="0"/>
        <c:ser>
          <c:idx val="0"/>
          <c:order val="0"/>
          <c:tx>
            <c:v>Willow Totals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8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'Shrub Growth'!$S$8:$S$35</c:f>
                <c:numCache>
                  <c:formatCode>General</c:formatCode>
                  <c:ptCount val="28"/>
                  <c:pt idx="0">
                    <c:v>1.1220999999999997</c:v>
                  </c:pt>
                  <c:pt idx="1">
                    <c:v>1.2105399999999982</c:v>
                  </c:pt>
                  <c:pt idx="2">
                    <c:v>0.92284000000000077</c:v>
                  </c:pt>
                  <c:pt idx="3">
                    <c:v>0.99440000000000239</c:v>
                  </c:pt>
                  <c:pt idx="4">
                    <c:v>1.0975099999999998</c:v>
                  </c:pt>
                  <c:pt idx="5">
                    <c:v>0.84939000000000142</c:v>
                  </c:pt>
                  <c:pt idx="6">
                    <c:v>0.5934500000000007</c:v>
                  </c:pt>
                  <c:pt idx="7">
                    <c:v>0.76440000000000019</c:v>
                  </c:pt>
                  <c:pt idx="8">
                    <c:v>0.72482999999999898</c:v>
                  </c:pt>
                  <c:pt idx="9">
                    <c:v>0.99800000000000111</c:v>
                  </c:pt>
                  <c:pt idx="10">
                    <c:v>0.92999999999999972</c:v>
                  </c:pt>
                  <c:pt idx="11">
                    <c:v>1.08</c:v>
                  </c:pt>
                  <c:pt idx="12">
                    <c:v>1.0499999999999989</c:v>
                  </c:pt>
                  <c:pt idx="13">
                    <c:v>1</c:v>
                  </c:pt>
                  <c:pt idx="14">
                    <c:v>0.91999999999999993</c:v>
                  </c:pt>
                  <c:pt idx="15">
                    <c:v>1.0399999999999991</c:v>
                  </c:pt>
                  <c:pt idx="16">
                    <c:v>0.91000000000000014</c:v>
                  </c:pt>
                  <c:pt idx="17">
                    <c:v>1.1700000000000017</c:v>
                  </c:pt>
                  <c:pt idx="18">
                    <c:v>0.67999999999999972</c:v>
                  </c:pt>
                  <c:pt idx="19">
                    <c:v>1.2799999999999976</c:v>
                  </c:pt>
                  <c:pt idx="20">
                    <c:v>0.73999999999999844</c:v>
                  </c:pt>
                  <c:pt idx="21">
                    <c:v>0.7300000000000022</c:v>
                  </c:pt>
                  <c:pt idx="22">
                    <c:v>1.0549999999999997</c:v>
                  </c:pt>
                  <c:pt idx="23">
                    <c:v>1.3299999999999983</c:v>
                  </c:pt>
                  <c:pt idx="24">
                    <c:v>1.3099999999999987</c:v>
                  </c:pt>
                  <c:pt idx="25">
                    <c:v>1</c:v>
                  </c:pt>
                  <c:pt idx="26">
                    <c:v>0.92999999999999972</c:v>
                  </c:pt>
                  <c:pt idx="27">
                    <c:v>0.87000000000000099</c:v>
                  </c:pt>
                </c:numCache>
              </c:numRef>
            </c:plus>
            <c:minus>
              <c:numRef>
                <c:f>'Shrub Growth'!$R$8:$R$35</c:f>
                <c:numCache>
                  <c:formatCode>General</c:formatCode>
                  <c:ptCount val="28"/>
                  <c:pt idx="0">
                    <c:v>1.1219999999999999</c:v>
                  </c:pt>
                  <c:pt idx="1">
                    <c:v>1.210560000000001</c:v>
                  </c:pt>
                  <c:pt idx="2">
                    <c:v>0.92286999999999964</c:v>
                  </c:pt>
                  <c:pt idx="3">
                    <c:v>0.99436999999999998</c:v>
                  </c:pt>
                  <c:pt idx="4">
                    <c:v>1.0975099999999998</c:v>
                  </c:pt>
                  <c:pt idx="5">
                    <c:v>0.84938999999999965</c:v>
                  </c:pt>
                  <c:pt idx="6">
                    <c:v>0.5934500000000007</c:v>
                  </c:pt>
                  <c:pt idx="7">
                    <c:v>0.76437999999999917</c:v>
                  </c:pt>
                  <c:pt idx="8">
                    <c:v>0.72482000000000113</c:v>
                  </c:pt>
                  <c:pt idx="9">
                    <c:v>0.99899999999999878</c:v>
                  </c:pt>
                  <c:pt idx="10">
                    <c:v>0.83000000000000007</c:v>
                  </c:pt>
                  <c:pt idx="11">
                    <c:v>1.0199999999999996</c:v>
                  </c:pt>
                  <c:pt idx="12">
                    <c:v>1.0099999999999998</c:v>
                  </c:pt>
                  <c:pt idx="13">
                    <c:v>0.91999999999999993</c:v>
                  </c:pt>
                  <c:pt idx="14">
                    <c:v>0.90000000000000036</c:v>
                  </c:pt>
                  <c:pt idx="15">
                    <c:v>1</c:v>
                  </c:pt>
                  <c:pt idx="16">
                    <c:v>0.90000000000000036</c:v>
                  </c:pt>
                  <c:pt idx="17">
                    <c:v>1.0899999999999981</c:v>
                  </c:pt>
                  <c:pt idx="18">
                    <c:v>0.66000000000000014</c:v>
                  </c:pt>
                  <c:pt idx="19">
                    <c:v>1.2300000000000004</c:v>
                  </c:pt>
                  <c:pt idx="20">
                    <c:v>0.71000000000000085</c:v>
                  </c:pt>
                  <c:pt idx="21">
                    <c:v>0.74000000000000021</c:v>
                  </c:pt>
                  <c:pt idx="22">
                    <c:v>1.0199999999999996</c:v>
                  </c:pt>
                  <c:pt idx="23">
                    <c:v>1.2699999999999996</c:v>
                  </c:pt>
                  <c:pt idx="24">
                    <c:v>1.2800000000000011</c:v>
                  </c:pt>
                  <c:pt idx="25">
                    <c:v>0.98000000000000043</c:v>
                  </c:pt>
                  <c:pt idx="26">
                    <c:v>1.2800000000000011</c:v>
                  </c:pt>
                  <c:pt idx="27">
                    <c:v>0.82000000000000028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'Shrub Growth'!$Q$8:$Q$35</c:f>
              <c:numCache>
                <c:formatCode>General</c:formatCode>
                <c:ptCount val="2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'Shrub Growth'!$C$8:$C$35</c:f>
              <c:numCache>
                <c:formatCode>0.00</c:formatCode>
                <c:ptCount val="28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  <c:pt idx="24">
                  <c:v>17.68</c:v>
                </c:pt>
                <c:pt idx="25">
                  <c:v>12.59</c:v>
                </c:pt>
                <c:pt idx="26">
                  <c:v>11.82</c:v>
                </c:pt>
                <c:pt idx="27">
                  <c:v>12.93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8-45E0-A909-F37D5F33A5B4}"/>
            </c:ext>
          </c:extLst>
        </c:ser>
        <c:ser>
          <c:idx val="1"/>
          <c:order val="1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Growth'!$E$8:$E$31</c:f>
              <c:numCache>
                <c:formatCode>0.00</c:formatCode>
                <c:ptCount val="24"/>
                <c:pt idx="0">
                  <c:v>16.724399999999999</c:v>
                </c:pt>
                <c:pt idx="1">
                  <c:v>16.8902</c:v>
                </c:pt>
                <c:pt idx="2">
                  <c:v>14.399290000000001</c:v>
                </c:pt>
                <c:pt idx="3">
                  <c:v>16.088529999999999</c:v>
                </c:pt>
                <c:pt idx="4">
                  <c:v>14.835290000000001</c:v>
                </c:pt>
                <c:pt idx="5">
                  <c:v>13.898</c:v>
                </c:pt>
                <c:pt idx="6">
                  <c:v>11.788399999999999</c:v>
                </c:pt>
                <c:pt idx="7">
                  <c:v>11.802020000000001</c:v>
                </c:pt>
                <c:pt idx="8">
                  <c:v>11.586499999999999</c:v>
                </c:pt>
                <c:pt idx="9">
                  <c:v>11.146000000000001</c:v>
                </c:pt>
                <c:pt idx="10">
                  <c:v>10.75</c:v>
                </c:pt>
                <c:pt idx="11">
                  <c:v>11.52</c:v>
                </c:pt>
                <c:pt idx="12">
                  <c:v>14.84</c:v>
                </c:pt>
                <c:pt idx="13">
                  <c:v>11.61</c:v>
                </c:pt>
                <c:pt idx="14">
                  <c:v>11.82</c:v>
                </c:pt>
                <c:pt idx="15">
                  <c:v>14.41</c:v>
                </c:pt>
                <c:pt idx="16" formatCode="General">
                  <c:v>15.13</c:v>
                </c:pt>
                <c:pt idx="17">
                  <c:v>15.4</c:v>
                </c:pt>
                <c:pt idx="18" formatCode="General">
                  <c:v>14.16</c:v>
                </c:pt>
                <c:pt idx="19">
                  <c:v>17.48</c:v>
                </c:pt>
                <c:pt idx="20" formatCode="General">
                  <c:v>15.71</c:v>
                </c:pt>
                <c:pt idx="21" formatCode="General">
                  <c:v>14.54</c:v>
                </c:pt>
                <c:pt idx="22">
                  <c:v>14.515000000000001</c:v>
                </c:pt>
                <c:pt idx="23">
                  <c:v>17.170000000000002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8-45E0-A909-F37D5F33A5B4}"/>
            </c:ext>
          </c:extLst>
        </c:ser>
        <c:ser>
          <c:idx val="2"/>
          <c:order val="2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Growth'!$F$8:$F$31</c:f>
              <c:numCache>
                <c:formatCode>0.00</c:formatCode>
                <c:ptCount val="24"/>
                <c:pt idx="0">
                  <c:v>18.968499999999999</c:v>
                </c:pt>
                <c:pt idx="1">
                  <c:v>19.311299999999999</c:v>
                </c:pt>
                <c:pt idx="2">
                  <c:v>16.245000000000001</c:v>
                </c:pt>
                <c:pt idx="3">
                  <c:v>18.077300000000001</c:v>
                </c:pt>
                <c:pt idx="4">
                  <c:v>17.03031</c:v>
                </c:pt>
                <c:pt idx="5">
                  <c:v>15.596780000000001</c:v>
                </c:pt>
                <c:pt idx="6">
                  <c:v>12.975300000000001</c:v>
                </c:pt>
                <c:pt idx="7">
                  <c:v>13.3308</c:v>
                </c:pt>
                <c:pt idx="8">
                  <c:v>13.036149999999999</c:v>
                </c:pt>
                <c:pt idx="9">
                  <c:v>13.143000000000001</c:v>
                </c:pt>
                <c:pt idx="10">
                  <c:v>12.51</c:v>
                </c:pt>
                <c:pt idx="11">
                  <c:v>13.62</c:v>
                </c:pt>
                <c:pt idx="12">
                  <c:v>16.899999999999999</c:v>
                </c:pt>
                <c:pt idx="13">
                  <c:v>13.53</c:v>
                </c:pt>
                <c:pt idx="14">
                  <c:v>13.64</c:v>
                </c:pt>
                <c:pt idx="15">
                  <c:v>16.45</c:v>
                </c:pt>
                <c:pt idx="16" formatCode="General">
                  <c:v>16.940000000000001</c:v>
                </c:pt>
                <c:pt idx="17" formatCode="General">
                  <c:v>17.66</c:v>
                </c:pt>
                <c:pt idx="18">
                  <c:v>15.5</c:v>
                </c:pt>
                <c:pt idx="19">
                  <c:v>19.989999999999998</c:v>
                </c:pt>
                <c:pt idx="20">
                  <c:v>17.16</c:v>
                </c:pt>
                <c:pt idx="21">
                  <c:v>16.010000000000002</c:v>
                </c:pt>
                <c:pt idx="22">
                  <c:v>16.59</c:v>
                </c:pt>
                <c:pt idx="23">
                  <c:v>19.77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8-45E0-A909-F37D5F33A5B4}"/>
            </c:ext>
          </c:extLst>
        </c:ser>
        <c:ser>
          <c:idx val="3"/>
          <c:order val="3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Growth'!$G$8:$G$31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E8-45E0-A909-F37D5F33A5B4}"/>
            </c:ext>
          </c:extLst>
        </c:ser>
        <c:ser>
          <c:idx val="4"/>
          <c:order val="4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Growth'!$H$8:$H$31</c:f>
              <c:numCache>
                <c:formatCode>0.00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8-45E0-A909-F37D5F33A5B4}"/>
            </c:ext>
          </c:extLst>
        </c:ser>
        <c:ser>
          <c:idx val="5"/>
          <c:order val="5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Growth'!$I$8:$I$31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E8-45E0-A909-F37D5F33A5B4}"/>
            </c:ext>
          </c:extLst>
        </c:ser>
        <c:ser>
          <c:idx val="6"/>
          <c:order val="6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Growth'!$J$8:$J$31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E8-45E0-A909-F37D5F33A5B4}"/>
            </c:ext>
          </c:extLst>
        </c:ser>
        <c:ser>
          <c:idx val="7"/>
          <c:order val="7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Growth'!$K$8:$K$31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E8-45E0-A909-F37D5F33A5B4}"/>
            </c:ext>
          </c:extLst>
        </c:ser>
        <c:ser>
          <c:idx val="8"/>
          <c:order val="8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Growth'!$L$8:$L$31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E8-45E0-A909-F37D5F33A5B4}"/>
            </c:ext>
          </c:extLst>
        </c:ser>
        <c:ser>
          <c:idx val="9"/>
          <c:order val="9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Growth'!$M$8:$M$31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E8-45E0-A909-F37D5F33A5B4}"/>
            </c:ext>
          </c:extLst>
        </c:ser>
        <c:ser>
          <c:idx val="10"/>
          <c:order val="10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Growth'!$N$8:$N$31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E8-45E0-A909-F37D5F33A5B4}"/>
            </c:ext>
          </c:extLst>
        </c:ser>
        <c:ser>
          <c:idx val="11"/>
          <c:order val="11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Growth'!$O$8:$O$31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E8-45E0-A909-F37D5F33A5B4}"/>
            </c:ext>
          </c:extLst>
        </c:ser>
        <c:ser>
          <c:idx val="12"/>
          <c:order val="12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Growth'!$P$8:$P$31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E8-45E0-A909-F37D5F33A5B4}"/>
            </c:ext>
          </c:extLst>
        </c:ser>
        <c:ser>
          <c:idx val="13"/>
          <c:order val="13"/>
          <c:xVal>
            <c:numRef>
              <c:f>'Shrub Growth'!$C$8:$C$31</c:f>
              <c:numCache>
                <c:formatCode>0.00</c:formatCode>
                <c:ptCount val="24"/>
                <c:pt idx="0">
                  <c:v>17.846399999999999</c:v>
                </c:pt>
                <c:pt idx="1">
                  <c:v>18.100760000000001</c:v>
                </c:pt>
                <c:pt idx="2">
                  <c:v>15.32216</c:v>
                </c:pt>
                <c:pt idx="3">
                  <c:v>17.082899999999999</c:v>
                </c:pt>
                <c:pt idx="4">
                  <c:v>15.9328</c:v>
                </c:pt>
                <c:pt idx="5">
                  <c:v>14.747389999999999</c:v>
                </c:pt>
                <c:pt idx="6">
                  <c:v>12.38185</c:v>
                </c:pt>
                <c:pt idx="7">
                  <c:v>12.5664</c:v>
                </c:pt>
                <c:pt idx="8">
                  <c:v>12.31132</c:v>
                </c:pt>
                <c:pt idx="9">
                  <c:v>12.145</c:v>
                </c:pt>
                <c:pt idx="10">
                  <c:v>11.58</c:v>
                </c:pt>
                <c:pt idx="11">
                  <c:v>12.54</c:v>
                </c:pt>
                <c:pt idx="12">
                  <c:v>15.85</c:v>
                </c:pt>
                <c:pt idx="13">
                  <c:v>12.53</c:v>
                </c:pt>
                <c:pt idx="14">
                  <c:v>12.72</c:v>
                </c:pt>
                <c:pt idx="15">
                  <c:v>15.41</c:v>
                </c:pt>
                <c:pt idx="16" formatCode="General">
                  <c:v>16.03</c:v>
                </c:pt>
                <c:pt idx="17" formatCode="General">
                  <c:v>16.489999999999998</c:v>
                </c:pt>
                <c:pt idx="18" formatCode="General">
                  <c:v>14.82</c:v>
                </c:pt>
                <c:pt idx="19" formatCode="General">
                  <c:v>18.71</c:v>
                </c:pt>
                <c:pt idx="20" formatCode="General">
                  <c:v>16.420000000000002</c:v>
                </c:pt>
                <c:pt idx="21" formatCode="General">
                  <c:v>15.28</c:v>
                </c:pt>
                <c:pt idx="22">
                  <c:v>15.535</c:v>
                </c:pt>
                <c:pt idx="23">
                  <c:v>18.440000000000001</c:v>
                </c:pt>
              </c:numCache>
            </c:numRef>
          </c:xVal>
          <c:yVal>
            <c:numRef>
              <c:f>'Shrub Growth'!$Q$8:$Q$31</c:f>
              <c:numCache>
                <c:formatCode>General</c:formatCode>
                <c:ptCount val="2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2011</c:v>
                </c:pt>
                <c:pt idx="23">
                  <c:v>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E8-45E0-A909-F37D5F33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19592"/>
        <c:axId val="518521552"/>
      </c:scatterChart>
      <c:valAx>
        <c:axId val="518519592"/>
        <c:scaling>
          <c:orientation val="minMax"/>
          <c:max val="2018"/>
          <c:min val="1986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Summe</a:t>
                </a:r>
                <a:r>
                  <a:rPr lang="en-CA" sz="9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 </a:t>
                </a:r>
              </a:p>
            </c:rich>
          </c:tx>
          <c:layout>
            <c:manualLayout>
              <c:xMode val="edge"/>
              <c:yMode val="edge"/>
              <c:x val="0.47744016208500484"/>
              <c:y val="0.92059664532105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21552"/>
        <c:crosses val="autoZero"/>
        <c:crossBetween val="midCat"/>
        <c:majorUnit val="2"/>
        <c:minorUnit val="1"/>
      </c:valAx>
      <c:valAx>
        <c:axId val="518521552"/>
        <c:scaling>
          <c:orientation val="minMax"/>
          <c:max val="22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Growth index (%)</a:t>
                </a:r>
              </a:p>
            </c:rich>
          </c:tx>
          <c:layout>
            <c:manualLayout>
              <c:xMode val="edge"/>
              <c:yMode val="edge"/>
              <c:x val="2.4484044757563252E-2"/>
              <c:y val="0.337469351957545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9592"/>
        <c:crosses val="autoZero"/>
        <c:crossBetween val="midCat"/>
        <c:majorUnit val="2"/>
        <c:minorUnit val="1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-3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Weasel Tracks</a:t>
            </a:r>
          </a:p>
        </c:rich>
      </c:tx>
      <c:layout>
        <c:manualLayout>
          <c:xMode val="edge"/>
          <c:yMode val="edge"/>
          <c:x val="0.41288433382137868"/>
          <c:y val="2.99272989106450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9601873536302"/>
          <c:y val="0.1179487671727955"/>
          <c:w val="0.86299765807963058"/>
          <c:h val="0.68888917638604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'Weasel Tracks'!$K$6:$K$36</c:f>
                <c:numCache>
                  <c:formatCode>General</c:formatCode>
                  <c:ptCount val="31"/>
                  <c:pt idx="0">
                    <c:v>0.88360000000000039</c:v>
                  </c:pt>
                  <c:pt idx="1">
                    <c:v>1.1160999999999999</c:v>
                  </c:pt>
                  <c:pt idx="2">
                    <c:v>1.1292</c:v>
                  </c:pt>
                  <c:pt idx="3">
                    <c:v>0.96779999999999955</c:v>
                  </c:pt>
                  <c:pt idx="4">
                    <c:v>1.9493000000000009</c:v>
                  </c:pt>
                  <c:pt idx="5">
                    <c:v>2.9405000000000001</c:v>
                  </c:pt>
                  <c:pt idx="6">
                    <c:v>2.5384000000000002</c:v>
                  </c:pt>
                  <c:pt idx="7">
                    <c:v>6.5661999999999985</c:v>
                  </c:pt>
                  <c:pt idx="8">
                    <c:v>4.0457000000000001</c:v>
                  </c:pt>
                  <c:pt idx="9">
                    <c:v>5.394499999999999</c:v>
                  </c:pt>
                  <c:pt idx="10">
                    <c:v>2.5631000000000004</c:v>
                  </c:pt>
                  <c:pt idx="11">
                    <c:v>5.5909999999999975</c:v>
                  </c:pt>
                  <c:pt idx="12">
                    <c:v>5.708400000000001</c:v>
                  </c:pt>
                  <c:pt idx="13">
                    <c:v>2.1433999999999997</c:v>
                  </c:pt>
                  <c:pt idx="14">
                    <c:v>8.6404999999999994</c:v>
                  </c:pt>
                  <c:pt idx="15">
                    <c:v>18.917399999999994</c:v>
                  </c:pt>
                  <c:pt idx="16">
                    <c:v>5.6822999999999997</c:v>
                  </c:pt>
                  <c:pt idx="17">
                    <c:v>3.3562000000000003</c:v>
                  </c:pt>
                  <c:pt idx="18">
                    <c:v>4.1494000000000009</c:v>
                  </c:pt>
                  <c:pt idx="19">
                    <c:v>10.326000000000001</c:v>
                  </c:pt>
                  <c:pt idx="20">
                    <c:v>14.931999999999999</c:v>
                  </c:pt>
                  <c:pt idx="21">
                    <c:v>12.619000000000007</c:v>
                  </c:pt>
                  <c:pt idx="22">
                    <c:v>17.712999999999994</c:v>
                  </c:pt>
                  <c:pt idx="23">
                    <c:v>20.741</c:v>
                  </c:pt>
                  <c:pt idx="24">
                    <c:v>6.6750000000000007</c:v>
                  </c:pt>
                  <c:pt idx="25">
                    <c:v>6.7959999999999994</c:v>
                  </c:pt>
                  <c:pt idx="26">
                    <c:v>15.850000000000001</c:v>
                  </c:pt>
                  <c:pt idx="27">
                    <c:v>17.695999999999998</c:v>
                  </c:pt>
                  <c:pt idx="28">
                    <c:v>4.1210000000000004</c:v>
                  </c:pt>
                  <c:pt idx="29">
                    <c:v>2.4159999999999995</c:v>
                  </c:pt>
                  <c:pt idx="30">
                    <c:v>7.5800000000000018</c:v>
                  </c:pt>
                </c:numCache>
              </c:numRef>
            </c:plus>
            <c:minus>
              <c:numRef>
                <c:f>'Weasel Tracks'!$J$6:$J$36</c:f>
                <c:numCache>
                  <c:formatCode>General</c:formatCode>
                  <c:ptCount val="31"/>
                  <c:pt idx="0">
                    <c:v>0.88640000000000008</c:v>
                  </c:pt>
                  <c:pt idx="1">
                    <c:v>1.1139000000000001</c:v>
                  </c:pt>
                  <c:pt idx="2">
                    <c:v>1.1308</c:v>
                  </c:pt>
                  <c:pt idx="3">
                    <c:v>0.96220000000000017</c:v>
                  </c:pt>
                  <c:pt idx="4">
                    <c:v>1.9506999999999994</c:v>
                  </c:pt>
                  <c:pt idx="5">
                    <c:v>2.9395000000000007</c:v>
                  </c:pt>
                  <c:pt idx="6">
                    <c:v>2.5415999999999999</c:v>
                  </c:pt>
                  <c:pt idx="7">
                    <c:v>6.5638000000000005</c:v>
                  </c:pt>
                  <c:pt idx="8">
                    <c:v>4.0442999999999998</c:v>
                  </c:pt>
                  <c:pt idx="9">
                    <c:v>5.3954999999999993</c:v>
                  </c:pt>
                  <c:pt idx="10">
                    <c:v>2.5668999999999995</c:v>
                  </c:pt>
                  <c:pt idx="11">
                    <c:v>5.5890000000000004</c:v>
                  </c:pt>
                  <c:pt idx="12">
                    <c:v>5.7115999999999989</c:v>
                  </c:pt>
                  <c:pt idx="13">
                    <c:v>2.1465999999999994</c:v>
                  </c:pt>
                  <c:pt idx="14">
                    <c:v>8.6395</c:v>
                  </c:pt>
                  <c:pt idx="15">
                    <c:v>18.922600000000003</c:v>
                  </c:pt>
                  <c:pt idx="16">
                    <c:v>5.6776999999999997</c:v>
                  </c:pt>
                  <c:pt idx="17">
                    <c:v>3.3537999999999997</c:v>
                  </c:pt>
                  <c:pt idx="18">
                    <c:v>4.1505999999999998</c:v>
                  </c:pt>
                  <c:pt idx="19">
                    <c:v>10.323999999999998</c:v>
                  </c:pt>
                  <c:pt idx="20">
                    <c:v>14.927999999999999</c:v>
                  </c:pt>
                  <c:pt idx="21">
                    <c:v>12.620999999999995</c:v>
                  </c:pt>
                  <c:pt idx="22">
                    <c:v>17.716999999999999</c:v>
                  </c:pt>
                  <c:pt idx="23">
                    <c:v>20.739000000000001</c:v>
                  </c:pt>
                  <c:pt idx="24">
                    <c:v>6.714999999999999</c:v>
                  </c:pt>
                  <c:pt idx="25">
                    <c:v>6.7940000000000005</c:v>
                  </c:pt>
                  <c:pt idx="26">
                    <c:v>15.85</c:v>
                  </c:pt>
                  <c:pt idx="27">
                    <c:v>17.694000000000003</c:v>
                  </c:pt>
                  <c:pt idx="28">
                    <c:v>4.1189999999999998</c:v>
                  </c:pt>
                  <c:pt idx="29">
                    <c:v>2.1440000000000001</c:v>
                  </c:pt>
                  <c:pt idx="30">
                    <c:v>7.5799999999999992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'Weasel Tracks'!$A$6:$A$34</c:f>
              <c:strCache>
                <c:ptCount val="29"/>
                <c:pt idx="0">
                  <c:v>87/88</c:v>
                </c:pt>
                <c:pt idx="1">
                  <c:v>88/89</c:v>
                </c:pt>
                <c:pt idx="2">
                  <c:v>89/90</c:v>
                </c:pt>
                <c:pt idx="3">
                  <c:v>90/91</c:v>
                </c:pt>
                <c:pt idx="4">
                  <c:v>91/92</c:v>
                </c:pt>
                <c:pt idx="5">
                  <c:v>92/93</c:v>
                </c:pt>
                <c:pt idx="6">
                  <c:v>93/94</c:v>
                </c:pt>
                <c:pt idx="7">
                  <c:v>94/95</c:v>
                </c:pt>
                <c:pt idx="8">
                  <c:v>95/96</c:v>
                </c:pt>
                <c:pt idx="9">
                  <c:v>96/97</c:v>
                </c:pt>
                <c:pt idx="10">
                  <c:v>97/98</c:v>
                </c:pt>
                <c:pt idx="11">
                  <c:v>98/99</c:v>
                </c:pt>
                <c:pt idx="12">
                  <c:v>99/00</c:v>
                </c:pt>
                <c:pt idx="13">
                  <c:v>00/01</c:v>
                </c:pt>
                <c:pt idx="14">
                  <c:v>01/02</c:v>
                </c:pt>
                <c:pt idx="15">
                  <c:v>02/03</c:v>
                </c:pt>
                <c:pt idx="16">
                  <c:v>03/04</c:v>
                </c:pt>
                <c:pt idx="17">
                  <c:v>04/05</c:v>
                </c:pt>
                <c:pt idx="18">
                  <c:v>05/06</c:v>
                </c:pt>
                <c:pt idx="19">
                  <c:v>06/07</c:v>
                </c:pt>
                <c:pt idx="20">
                  <c:v>07/08</c:v>
                </c:pt>
                <c:pt idx="21">
                  <c:v>08/09</c:v>
                </c:pt>
                <c:pt idx="22">
                  <c:v>09/10</c:v>
                </c:pt>
                <c:pt idx="23">
                  <c:v>10/11</c:v>
                </c:pt>
                <c:pt idx="24">
                  <c:v>11/12</c:v>
                </c:pt>
                <c:pt idx="25">
                  <c:v>12/13</c:v>
                </c:pt>
                <c:pt idx="26">
                  <c:v>13/14</c:v>
                </c:pt>
                <c:pt idx="27">
                  <c:v>14/15</c:v>
                </c:pt>
                <c:pt idx="28">
                  <c:v>15/16</c:v>
                </c:pt>
              </c:strCache>
            </c:strRef>
          </c:cat>
          <c:val>
            <c:numRef>
              <c:f>'Weasel Tracks'!$F$6:$F$36</c:f>
              <c:numCache>
                <c:formatCode>0.00</c:formatCode>
                <c:ptCount val="31"/>
                <c:pt idx="0">
                  <c:v>3.1463999999999999</c:v>
                </c:pt>
                <c:pt idx="1">
                  <c:v>3.9239000000000002</c:v>
                </c:pt>
                <c:pt idx="2">
                  <c:v>2.2208000000000001</c:v>
                </c:pt>
                <c:pt idx="3">
                  <c:v>3.2122000000000002</c:v>
                </c:pt>
                <c:pt idx="4">
                  <c:v>7.7706999999999997</c:v>
                </c:pt>
                <c:pt idx="5">
                  <c:v>12.0495</c:v>
                </c:pt>
                <c:pt idx="6">
                  <c:v>7.0515999999999996</c:v>
                </c:pt>
                <c:pt idx="7">
                  <c:v>26.683800000000002</c:v>
                </c:pt>
                <c:pt idx="8">
                  <c:v>9.7843</c:v>
                </c:pt>
                <c:pt idx="9">
                  <c:v>11.435499999999999</c:v>
                </c:pt>
                <c:pt idx="10">
                  <c:v>4.8968999999999996</c:v>
                </c:pt>
                <c:pt idx="11">
                  <c:v>16.309000000000001</c:v>
                </c:pt>
                <c:pt idx="12">
                  <c:v>17.221599999999999</c:v>
                </c:pt>
                <c:pt idx="13">
                  <c:v>7.8765999999999998</c:v>
                </c:pt>
                <c:pt idx="14">
                  <c:v>21.1995</c:v>
                </c:pt>
                <c:pt idx="15">
                  <c:v>50.822600000000001</c:v>
                </c:pt>
                <c:pt idx="16">
                  <c:v>14.947699999999999</c:v>
                </c:pt>
                <c:pt idx="17">
                  <c:v>6.4737999999999998</c:v>
                </c:pt>
                <c:pt idx="18">
                  <c:v>6.8106</c:v>
                </c:pt>
                <c:pt idx="19">
                  <c:v>35.423999999999999</c:v>
                </c:pt>
                <c:pt idx="20">
                  <c:v>30.398</c:v>
                </c:pt>
                <c:pt idx="21">
                  <c:v>35.720999999999997</c:v>
                </c:pt>
                <c:pt idx="22">
                  <c:v>75.637</c:v>
                </c:pt>
                <c:pt idx="23">
                  <c:v>39.649000000000001</c:v>
                </c:pt>
                <c:pt idx="24">
                  <c:v>11.824999999999999</c:v>
                </c:pt>
                <c:pt idx="25">
                  <c:v>21.064</c:v>
                </c:pt>
                <c:pt idx="26">
                  <c:v>20</c:v>
                </c:pt>
                <c:pt idx="27">
                  <c:v>48.024000000000001</c:v>
                </c:pt>
                <c:pt idx="28">
                  <c:v>5.3490000000000002</c:v>
                </c:pt>
                <c:pt idx="29">
                  <c:v>2.1440000000000001</c:v>
                </c:pt>
                <c:pt idx="30" formatCode="General">
                  <c:v>12.86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8-46B9-8C53-2ADB8226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524290864"/>
        <c:axId val="524293216"/>
      </c:lineChart>
      <c:catAx>
        <c:axId val="52429086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Winter Season</a:t>
                </a:r>
              </a:p>
            </c:rich>
          </c:tx>
          <c:layout>
            <c:manualLayout>
              <c:xMode val="edge"/>
              <c:yMode val="edge"/>
              <c:x val="0.45534407027818447"/>
              <c:y val="0.9277471953173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3216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52429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Mean Tracks / TN / 100 km</a:t>
                </a:r>
              </a:p>
            </c:rich>
          </c:tx>
          <c:layout>
            <c:manualLayout>
              <c:xMode val="edge"/>
              <c:yMode val="edge"/>
              <c:x val="1.171303074670583E-2"/>
              <c:y val="0.2330055977516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0864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Great Horned Owl Density 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 100 sq km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A" sz="12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6625421822272231"/>
          <c:y val="3.40329892780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38404513495765E-2"/>
          <c:y val="0.19274451110511986"/>
          <c:w val="0.72727290662309896"/>
          <c:h val="0.61905001801997894"/>
        </c:manualLayout>
      </c:layout>
      <c:scatterChart>
        <c:scatterStyle val="lineMarker"/>
        <c:varyColors val="0"/>
        <c:ser>
          <c:idx val="0"/>
          <c:order val="0"/>
          <c:tx>
            <c:v>Breeding owls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'G-H Owl'!$K$9:$K$29</c:f>
                <c:numCache>
                  <c:formatCode>General</c:formatCode>
                  <c:ptCount val="21"/>
                  <c:pt idx="0">
                    <c:v>3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4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1</c:v>
                  </c:pt>
                  <c:pt idx="10">
                    <c:v>3</c:v>
                  </c:pt>
                  <c:pt idx="11">
                    <c:v>4.3572984749455372</c:v>
                  </c:pt>
                  <c:pt idx="12">
                    <c:v>4.3572984749455372</c:v>
                  </c:pt>
                  <c:pt idx="13">
                    <c:v>4.3572984749455355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2.1786492374727651</c:v>
                  </c:pt>
                  <c:pt idx="20">
                    <c:v>2.1786492374727704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'G-H Owl'!$A$9:$A$31</c:f>
              <c:numCache>
                <c:formatCode>General</c:formatCode>
                <c:ptCount val="23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</c:numCache>
            </c:numRef>
          </c:xVal>
          <c:yVal>
            <c:numRef>
              <c:f>'G-H Owl'!$E$9:$E$31</c:f>
              <c:numCache>
                <c:formatCode>0.0</c:formatCode>
                <c:ptCount val="23"/>
                <c:pt idx="0">
                  <c:v>19</c:v>
                </c:pt>
                <c:pt idx="1">
                  <c:v>20</c:v>
                </c:pt>
                <c:pt idx="2">
                  <c:v>30</c:v>
                </c:pt>
                <c:pt idx="3">
                  <c:v>38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20</c:v>
                </c:pt>
                <c:pt idx="10">
                  <c:v>24</c:v>
                </c:pt>
                <c:pt idx="11">
                  <c:v>33.381263616557732</c:v>
                </c:pt>
                <c:pt idx="12">
                  <c:v>24.666666666666664</c:v>
                </c:pt>
                <c:pt idx="13">
                  <c:v>13.77342047930283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7.2374727668845322</c:v>
                </c:pt>
                <c:pt idx="18">
                  <c:v>7.2374727668845322</c:v>
                </c:pt>
                <c:pt idx="19">
                  <c:v>11.594771241830065</c:v>
                </c:pt>
                <c:pt idx="20">
                  <c:v>13.77342047930283</c:v>
                </c:pt>
                <c:pt idx="21">
                  <c:v>7.2374727668845322</c:v>
                </c:pt>
                <c:pt idx="22">
                  <c:v>7.2374727668845322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1-4E91-A1D6-69E32BF38E8C}"/>
            </c:ext>
          </c:extLst>
        </c:ser>
        <c:ser>
          <c:idx val="1"/>
          <c:order val="1"/>
          <c:tx>
            <c:v>Total owls</c:v>
          </c:tx>
          <c:spPr>
            <a:ln w="25400">
              <a:solidFill>
                <a:srgbClr val="3333CC"/>
              </a:solidFill>
              <a:prstDash val="solid"/>
            </a:ln>
          </c:spPr>
          <c:marker>
            <c:symbol val="x"/>
            <c:size val="6"/>
            <c:spPr>
              <a:solidFill>
                <a:srgbClr val="3333CC"/>
              </a:solidFill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'G-H Owl'!$A$9:$A$29</c:f>
              <c:numCache>
                <c:formatCode>General</c:formatCode>
                <c:ptCount val="21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</c:numCache>
            </c:numRef>
          </c:xVal>
          <c:yVal>
            <c:numRef>
              <c:f>'G-H Owl'!$D$9:$D$18</c:f>
              <c:numCache>
                <c:formatCode>0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35</c:v>
                </c:pt>
                <c:pt idx="3">
                  <c:v>53</c:v>
                </c:pt>
                <c:pt idx="4">
                  <c:v>72</c:v>
                </c:pt>
                <c:pt idx="5">
                  <c:v>50</c:v>
                </c:pt>
                <c:pt idx="6">
                  <c:v>28</c:v>
                </c:pt>
                <c:pt idx="7">
                  <c:v>20</c:v>
                </c:pt>
                <c:pt idx="8">
                  <c:v>22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1-4E91-A1D6-69E32BF3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99096"/>
        <c:axId val="524290080"/>
      </c:scatterChart>
      <c:valAx>
        <c:axId val="524299096"/>
        <c:scaling>
          <c:orientation val="minMax"/>
          <c:max val="2010"/>
          <c:min val="1986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0080"/>
        <c:crosses val="autoZero"/>
        <c:crossBetween val="midCat"/>
        <c:majorUnit val="2"/>
        <c:minorUnit val="1"/>
      </c:valAx>
      <c:valAx>
        <c:axId val="524290080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per 100 sq km.</a:t>
                </a:r>
              </a:p>
            </c:rich>
          </c:tx>
          <c:layout>
            <c:manualLayout>
              <c:xMode val="edge"/>
              <c:yMode val="edge"/>
              <c:x val="6.3147561100317011E-3"/>
              <c:y val="0.286444531676944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99096"/>
        <c:crosses val="autoZero"/>
        <c:crossBetween val="midCat"/>
        <c:majorUnit val="10"/>
        <c:minorUnit val="5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36363636363664"/>
          <c:y val="0.42815249266862182"/>
          <c:w val="0.14935064935064932"/>
          <c:h val="0.1173020527859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Birch Twig Growth Rates</a:t>
            </a:r>
          </a:p>
        </c:rich>
      </c:tx>
      <c:layout>
        <c:manualLayout>
          <c:xMode val="edge"/>
          <c:yMode val="edge"/>
          <c:x val="0.32915437926280761"/>
          <c:y val="3.3204130286006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4122719698591"/>
          <c:y val="0.16150468648134036"/>
          <c:w val="0.79248086016576758"/>
          <c:h val="0.6526559248218506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'Shrub Growth'!$S$40:$S$67</c:f>
                <c:numCache>
                  <c:formatCode>General</c:formatCode>
                  <c:ptCount val="28"/>
                  <c:pt idx="0">
                    <c:v>0.95880999999999972</c:v>
                  </c:pt>
                  <c:pt idx="1">
                    <c:v>1.2778900000000011</c:v>
                  </c:pt>
                  <c:pt idx="2">
                    <c:v>1.4250100000000003</c:v>
                  </c:pt>
                  <c:pt idx="3">
                    <c:v>1.2940900000000006</c:v>
                  </c:pt>
                  <c:pt idx="4">
                    <c:v>1.4256600000000006</c:v>
                  </c:pt>
                  <c:pt idx="5">
                    <c:v>1.7881500000000017</c:v>
                  </c:pt>
                  <c:pt idx="6">
                    <c:v>1.1771399999999979</c:v>
                  </c:pt>
                  <c:pt idx="7">
                    <c:v>0.98958000000000013</c:v>
                  </c:pt>
                  <c:pt idx="8">
                    <c:v>0.82869999999999955</c:v>
                  </c:pt>
                  <c:pt idx="9">
                    <c:v>0.52899999999999991</c:v>
                  </c:pt>
                  <c:pt idx="10">
                    <c:v>0.58999999999999986</c:v>
                  </c:pt>
                  <c:pt idx="11">
                    <c:v>0.51999999999999957</c:v>
                  </c:pt>
                  <c:pt idx="12">
                    <c:v>0.60000000000000142</c:v>
                  </c:pt>
                  <c:pt idx="13">
                    <c:v>0.74000000000000199</c:v>
                  </c:pt>
                  <c:pt idx="14">
                    <c:v>0.71000000000000085</c:v>
                  </c:pt>
                  <c:pt idx="15">
                    <c:v>0.80000000000000071</c:v>
                  </c:pt>
                  <c:pt idx="16">
                    <c:v>0.54999999999999893</c:v>
                  </c:pt>
                  <c:pt idx="17">
                    <c:v>0.48000000000000043</c:v>
                  </c:pt>
                  <c:pt idx="18">
                    <c:v>0.82000000000000028</c:v>
                  </c:pt>
                  <c:pt idx="19">
                    <c:v>0.73000000000000043</c:v>
                  </c:pt>
                  <c:pt idx="20">
                    <c:v>0.63000000000000256</c:v>
                  </c:pt>
                  <c:pt idx="21">
                    <c:v>0.69999999999999929</c:v>
                  </c:pt>
                  <c:pt idx="22">
                    <c:v>1.0899999999999999</c:v>
                  </c:pt>
                  <c:pt idx="23">
                    <c:v>1.0199999999999996</c:v>
                  </c:pt>
                  <c:pt idx="24">
                    <c:v>0.89000000000000057</c:v>
                  </c:pt>
                  <c:pt idx="25">
                    <c:v>0.71</c:v>
                  </c:pt>
                  <c:pt idx="26">
                    <c:v>0.88000000000000078</c:v>
                  </c:pt>
                  <c:pt idx="27">
                    <c:v>0.78000000000000114</c:v>
                  </c:pt>
                </c:numCache>
              </c:numRef>
            </c:plus>
            <c:minus>
              <c:numRef>
                <c:f>'Shrub Growth'!$R$40:$R$67</c:f>
                <c:numCache>
                  <c:formatCode>General</c:formatCode>
                  <c:ptCount val="28"/>
                  <c:pt idx="0">
                    <c:v>0.95882000000000112</c:v>
                  </c:pt>
                  <c:pt idx="1">
                    <c:v>1.2778700000000001</c:v>
                  </c:pt>
                  <c:pt idx="2">
                    <c:v>1.4251000000000005</c:v>
                  </c:pt>
                  <c:pt idx="3">
                    <c:v>1.2940699999999996</c:v>
                  </c:pt>
                  <c:pt idx="4">
                    <c:v>1.4257399999999976</c:v>
                  </c:pt>
                  <c:pt idx="5">
                    <c:v>1.7881499999999981</c:v>
                  </c:pt>
                  <c:pt idx="6">
                    <c:v>1.1771999999999991</c:v>
                  </c:pt>
                  <c:pt idx="7">
                    <c:v>0.98953999999999809</c:v>
                  </c:pt>
                  <c:pt idx="8">
                    <c:v>0.82868999999999993</c:v>
                  </c:pt>
                  <c:pt idx="9">
                    <c:v>0.52899999999999991</c:v>
                  </c:pt>
                  <c:pt idx="10">
                    <c:v>0.58000000000000007</c:v>
                  </c:pt>
                  <c:pt idx="11">
                    <c:v>0.49000000000000021</c:v>
                  </c:pt>
                  <c:pt idx="12">
                    <c:v>0.59999999999999964</c:v>
                  </c:pt>
                  <c:pt idx="13">
                    <c:v>0.69000000000000128</c:v>
                  </c:pt>
                  <c:pt idx="14">
                    <c:v>0.73000000000000043</c:v>
                  </c:pt>
                  <c:pt idx="15">
                    <c:v>0.77999999999999936</c:v>
                  </c:pt>
                  <c:pt idx="16">
                    <c:v>0.50999999999999979</c:v>
                  </c:pt>
                  <c:pt idx="17">
                    <c:v>0.46999999999999886</c:v>
                  </c:pt>
                  <c:pt idx="18">
                    <c:v>0.75</c:v>
                  </c:pt>
                  <c:pt idx="19">
                    <c:v>0.67999999999999972</c:v>
                  </c:pt>
                  <c:pt idx="20">
                    <c:v>0.64000000000000057</c:v>
                  </c:pt>
                  <c:pt idx="21">
                    <c:v>0.67000000000000171</c:v>
                  </c:pt>
                  <c:pt idx="22">
                    <c:v>1.0500000000000007</c:v>
                  </c:pt>
                  <c:pt idx="23">
                    <c:v>0.99000000000000021</c:v>
                  </c:pt>
                  <c:pt idx="24">
                    <c:v>0.90000000000000036</c:v>
                  </c:pt>
                  <c:pt idx="25">
                    <c:v>0.67999999999999972</c:v>
                  </c:pt>
                  <c:pt idx="26">
                    <c:v>0.85999999999999943</c:v>
                  </c:pt>
                  <c:pt idx="27">
                    <c:v>0.76999999999999957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'Shrub Growth'!$B$40:$B$67</c:f>
              <c:numCache>
                <c:formatCode>General</c:formatCode>
                <c:ptCount val="2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'Shrub Growth'!$C$40:$C$67</c:f>
              <c:numCache>
                <c:formatCode>0.00</c:formatCode>
                <c:ptCount val="28"/>
                <c:pt idx="0">
                  <c:v>12.377090000000001</c:v>
                </c:pt>
                <c:pt idx="1">
                  <c:v>12.6861</c:v>
                </c:pt>
                <c:pt idx="2">
                  <c:v>17.024190000000001</c:v>
                </c:pt>
                <c:pt idx="3">
                  <c:v>14.6563</c:v>
                </c:pt>
                <c:pt idx="4">
                  <c:v>16.801939999999998</c:v>
                </c:pt>
                <c:pt idx="5">
                  <c:v>25.54355</c:v>
                </c:pt>
                <c:pt idx="6">
                  <c:v>20.099460000000001</c:v>
                </c:pt>
                <c:pt idx="7">
                  <c:v>20.172899999999998</c:v>
                </c:pt>
                <c:pt idx="8">
                  <c:v>14.94247</c:v>
                </c:pt>
                <c:pt idx="9">
                  <c:v>11.584</c:v>
                </c:pt>
                <c:pt idx="10">
                  <c:v>12.53</c:v>
                </c:pt>
                <c:pt idx="11">
                  <c:v>8.66</c:v>
                </c:pt>
                <c:pt idx="12">
                  <c:v>12.37</c:v>
                </c:pt>
                <c:pt idx="13">
                  <c:v>17.43</c:v>
                </c:pt>
                <c:pt idx="14">
                  <c:v>17.93</c:v>
                </c:pt>
                <c:pt idx="15">
                  <c:v>15.79</c:v>
                </c:pt>
                <c:pt idx="16" formatCode="General">
                  <c:v>13.07</c:v>
                </c:pt>
                <c:pt idx="17" formatCode="General">
                  <c:v>11.28</c:v>
                </c:pt>
                <c:pt idx="18" formatCode="General">
                  <c:v>18.350000000000001</c:v>
                </c:pt>
                <c:pt idx="19" formatCode="General">
                  <c:v>14.98</c:v>
                </c:pt>
                <c:pt idx="20" formatCode="General">
                  <c:v>21.63</c:v>
                </c:pt>
                <c:pt idx="21" formatCode="General">
                  <c:v>20.62</c:v>
                </c:pt>
                <c:pt idx="22" formatCode="General">
                  <c:v>14.555</c:v>
                </c:pt>
                <c:pt idx="23" formatCode="General">
                  <c:v>16.02</c:v>
                </c:pt>
                <c:pt idx="24" formatCode="General">
                  <c:v>15.77</c:v>
                </c:pt>
                <c:pt idx="25" formatCode="General">
                  <c:v>7.01</c:v>
                </c:pt>
                <c:pt idx="26" formatCode="General">
                  <c:v>11.29</c:v>
                </c:pt>
                <c:pt idx="27" formatCode="General">
                  <c:v>15.86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46A4-A24F-2056E62E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20376"/>
        <c:axId val="518521160"/>
      </c:scatterChart>
      <c:valAx>
        <c:axId val="518520376"/>
        <c:scaling>
          <c:orientation val="minMax"/>
          <c:max val="2018"/>
          <c:min val="1986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Summer of growth</a:t>
                </a:r>
              </a:p>
            </c:rich>
          </c:tx>
          <c:layout>
            <c:manualLayout>
              <c:xMode val="edge"/>
              <c:yMode val="edge"/>
              <c:x val="0.4684789270451164"/>
              <c:y val="0.90758297046680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21160"/>
        <c:crosses val="autoZero"/>
        <c:crossBetween val="midCat"/>
        <c:majorUnit val="3"/>
        <c:minorUnit val="1"/>
      </c:valAx>
      <c:valAx>
        <c:axId val="518521160"/>
        <c:scaling>
          <c:orientation val="minMax"/>
          <c:max val="2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Growth index (%)</a:t>
                </a:r>
              </a:p>
            </c:rich>
          </c:tx>
          <c:layout>
            <c:manualLayout>
              <c:xMode val="edge"/>
              <c:yMode val="edge"/>
              <c:x val="2.2640154273909491E-2"/>
              <c:y val="0.309906519564714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20376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White Spruce Tree Growth</a:t>
            </a:r>
          </a:p>
        </c:rich>
      </c:tx>
      <c:layout>
        <c:manualLayout>
          <c:xMode val="edge"/>
          <c:yMode val="edge"/>
          <c:x val="0.33397905358917745"/>
          <c:y val="3.24853510958189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90456311933"/>
          <c:y val="0.15151559188552582"/>
          <c:w val="0.80645250207401631"/>
          <c:h val="0.66666860429631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'Tree Growth'!$D$8</c:f>
              <c:strCache>
                <c:ptCount val="1"/>
                <c:pt idx="0">
                  <c:v>1.022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x"/>
            <c:size val="8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'Tree Growth'!$A$8:$A$28</c:f>
              <c:numCache>
                <c:formatCode>General</c:formatCode>
                <c:ptCount val="2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</c:numCache>
            </c:numRef>
          </c:xVal>
          <c:yVal>
            <c:numRef>
              <c:f>'Tree Growth'!$D$9:$D$28</c:f>
              <c:numCache>
                <c:formatCode>0.000</c:formatCode>
                <c:ptCount val="20"/>
                <c:pt idx="0">
                  <c:v>0.78312799266107103</c:v>
                </c:pt>
                <c:pt idx="1">
                  <c:v>1.1276604526571945</c:v>
                </c:pt>
                <c:pt idx="2">
                  <c:v>1.1469982309299076</c:v>
                </c:pt>
                <c:pt idx="3">
                  <c:v>0.95644314344771175</c:v>
                </c:pt>
                <c:pt idx="4">
                  <c:v>0.92927828506557852</c:v>
                </c:pt>
                <c:pt idx="5">
                  <c:v>1.0164398478702827</c:v>
                </c:pt>
                <c:pt idx="6">
                  <c:v>1.0185356119161151</c:v>
                </c:pt>
                <c:pt idx="7">
                  <c:v>0.858328930466707</c:v>
                </c:pt>
                <c:pt idx="8">
                  <c:v>0.98559160229802245</c:v>
                </c:pt>
                <c:pt idx="9">
                  <c:v>0.8090267803509914</c:v>
                </c:pt>
                <c:pt idx="10">
                  <c:v>1.009525086468295</c:v>
                </c:pt>
                <c:pt idx="11">
                  <c:v>0.83475193560283545</c:v>
                </c:pt>
                <c:pt idx="12">
                  <c:v>1.0316876580424599</c:v>
                </c:pt>
                <c:pt idx="13">
                  <c:v>1.040829235194523</c:v>
                </c:pt>
                <c:pt idx="14">
                  <c:v>1.0214971511518951</c:v>
                </c:pt>
                <c:pt idx="15">
                  <c:v>1.2240386983208826</c:v>
                </c:pt>
                <c:pt idx="16">
                  <c:v>1.2246907497688251</c:v>
                </c:pt>
                <c:pt idx="17">
                  <c:v>1.1005543379414948</c:v>
                </c:pt>
                <c:pt idx="18">
                  <c:v>0.75070744065318751</c:v>
                </c:pt>
                <c:pt idx="19">
                  <c:v>1.172654631336745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3-4F6F-87C8-CCF7254F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16848"/>
        <c:axId val="518522336"/>
      </c:scatterChart>
      <c:valAx>
        <c:axId val="518516848"/>
        <c:scaling>
          <c:orientation val="minMax"/>
          <c:max val="2016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Yrear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522336"/>
        <c:crosses val="autoZero"/>
        <c:crossBetween val="midCat"/>
        <c:majorUnit val="5"/>
        <c:minorUnit val="1"/>
      </c:valAx>
      <c:valAx>
        <c:axId val="518522336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Ring Width Index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516848"/>
        <c:crossesAt val="1986"/>
        <c:crossBetween val="midCat"/>
        <c:minorUnit val="5.0000000000000017E-2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ln>
            <a:noFill/>
          </a:ln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White Spruce Cone Counts - Average All Kluane Sites</a:t>
            </a:r>
          </a:p>
        </c:rich>
      </c:tx>
      <c:layout>
        <c:manualLayout>
          <c:xMode val="edge"/>
          <c:yMode val="edge"/>
          <c:x val="0.22210069463617188"/>
          <c:y val="4.051877593513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1891610772525E-2"/>
          <c:y val="0.17494660394217418"/>
          <c:w val="0.89912413083333331"/>
          <c:h val="0.66738889652014854"/>
        </c:manualLayout>
      </c:layout>
      <c:barChart>
        <c:barDir val="col"/>
        <c:grouping val="clustered"/>
        <c:varyColors val="0"/>
        <c:ser>
          <c:idx val="0"/>
          <c:order val="0"/>
          <c:tx>
            <c:v>Cones as index counts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'Cones-index'!$F$77:$F$108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2.3200000000000003</c:v>
                  </c:pt>
                  <c:pt idx="2">
                    <c:v>4.7820000000000107</c:v>
                  </c:pt>
                  <c:pt idx="3">
                    <c:v>0</c:v>
                  </c:pt>
                  <c:pt idx="4">
                    <c:v>5.2689999999999984</c:v>
                  </c:pt>
                  <c:pt idx="5">
                    <c:v>0.68699999999999983</c:v>
                  </c:pt>
                  <c:pt idx="6">
                    <c:v>9.6980000000000075</c:v>
                  </c:pt>
                  <c:pt idx="7">
                    <c:v>14.213999999999999</c:v>
                  </c:pt>
                  <c:pt idx="8">
                    <c:v>0.57999999999999985</c:v>
                  </c:pt>
                  <c:pt idx="9">
                    <c:v>11.49799999999999</c:v>
                  </c:pt>
                  <c:pt idx="10">
                    <c:v>11.119000000000007</c:v>
                  </c:pt>
                  <c:pt idx="11">
                    <c:v>7.7839999999999989</c:v>
                  </c:pt>
                  <c:pt idx="12">
                    <c:v>47.69</c:v>
                  </c:pt>
                  <c:pt idx="13">
                    <c:v>7.1499999999999986</c:v>
                  </c:pt>
                  <c:pt idx="14">
                    <c:v>1.8600000000000012</c:v>
                  </c:pt>
                  <c:pt idx="15">
                    <c:v>1.92</c:v>
                  </c:pt>
                  <c:pt idx="16">
                    <c:v>6.1899999999999977</c:v>
                  </c:pt>
                  <c:pt idx="17">
                    <c:v>2.8599999999999994</c:v>
                  </c:pt>
                  <c:pt idx="18">
                    <c:v>2.4799999999999969</c:v>
                  </c:pt>
                  <c:pt idx="19">
                    <c:v>18.939999999999998</c:v>
                  </c:pt>
                  <c:pt idx="20">
                    <c:v>1.5299999999999998</c:v>
                  </c:pt>
                  <c:pt idx="21">
                    <c:v>5.9199999999999946</c:v>
                  </c:pt>
                  <c:pt idx="22">
                    <c:v>4.6500000000000004</c:v>
                  </c:pt>
                  <c:pt idx="23">
                    <c:v>4.8599999999999959</c:v>
                  </c:pt>
                  <c:pt idx="24">
                    <c:v>41.850000000000023</c:v>
                  </c:pt>
                  <c:pt idx="25">
                    <c:v>0.2</c:v>
                  </c:pt>
                  <c:pt idx="26">
                    <c:v>4.1900000000000013</c:v>
                  </c:pt>
                  <c:pt idx="27">
                    <c:v>6.5499999999999972</c:v>
                  </c:pt>
                  <c:pt idx="28">
                    <c:v>32.42999999999995</c:v>
                  </c:pt>
                  <c:pt idx="29">
                    <c:v>0.59</c:v>
                  </c:pt>
                  <c:pt idx="30">
                    <c:v>3.16</c:v>
                  </c:pt>
                  <c:pt idx="31">
                    <c:v>4.629999999999999</c:v>
                  </c:pt>
                </c:numCache>
              </c:numRef>
            </c:plus>
            <c:minus>
              <c:numRef>
                <c:f>'Cones-index'!$E$77:$E$108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2.3299999999999983</c:v>
                  </c:pt>
                  <c:pt idx="2">
                    <c:v>4.8069999999999951</c:v>
                  </c:pt>
                  <c:pt idx="3">
                    <c:v>0</c:v>
                  </c:pt>
                  <c:pt idx="4">
                    <c:v>5.0940000000000012</c:v>
                  </c:pt>
                  <c:pt idx="5">
                    <c:v>0.59000000000000008</c:v>
                  </c:pt>
                  <c:pt idx="6">
                    <c:v>9.438999999999993</c:v>
                  </c:pt>
                  <c:pt idx="7">
                    <c:v>13.752999999999986</c:v>
                  </c:pt>
                  <c:pt idx="8">
                    <c:v>0.51400000000000001</c:v>
                  </c:pt>
                  <c:pt idx="9">
                    <c:v>10.513000000000005</c:v>
                  </c:pt>
                  <c:pt idx="10">
                    <c:v>9.8629999999999995</c:v>
                  </c:pt>
                  <c:pt idx="11">
                    <c:v>7.4600000000000009</c:v>
                  </c:pt>
                  <c:pt idx="12">
                    <c:v>44.069999999999993</c:v>
                  </c:pt>
                  <c:pt idx="13">
                    <c:v>6.3200000000000038</c:v>
                  </c:pt>
                  <c:pt idx="14">
                    <c:v>1.6199999999999992</c:v>
                  </c:pt>
                  <c:pt idx="15">
                    <c:v>1.9000000000000004</c:v>
                  </c:pt>
                  <c:pt idx="16">
                    <c:v>6.1400000000000006</c:v>
                  </c:pt>
                  <c:pt idx="17">
                    <c:v>2.5700000000000003</c:v>
                  </c:pt>
                  <c:pt idx="18">
                    <c:v>2.4000000000000021</c:v>
                  </c:pt>
                  <c:pt idx="19">
                    <c:v>18.170000000000016</c:v>
                  </c:pt>
                  <c:pt idx="20">
                    <c:v>1.1599999999999997</c:v>
                  </c:pt>
                  <c:pt idx="21">
                    <c:v>5.8700000000000045</c:v>
                  </c:pt>
                  <c:pt idx="22">
                    <c:v>3.6599999999999993</c:v>
                  </c:pt>
                  <c:pt idx="23">
                    <c:v>4.5800000000000018</c:v>
                  </c:pt>
                  <c:pt idx="24">
                    <c:v>41.839999999999975</c:v>
                  </c:pt>
                  <c:pt idx="25">
                    <c:v>0.18</c:v>
                  </c:pt>
                  <c:pt idx="26">
                    <c:v>3.9399999999999977</c:v>
                  </c:pt>
                  <c:pt idx="27">
                    <c:v>6.3800000000000026</c:v>
                  </c:pt>
                  <c:pt idx="28">
                    <c:v>30.700000000000045</c:v>
                  </c:pt>
                  <c:pt idx="29">
                    <c:v>-9.999999999999995E-3</c:v>
                  </c:pt>
                  <c:pt idx="30">
                    <c:v>0.79</c:v>
                  </c:pt>
                  <c:pt idx="31">
                    <c:v>4.09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'Cones-index'!$A$9:$A$40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cat>
          <c:val>
            <c:numRef>
              <c:f>'Cones-index'!$H$9:$H$40</c:f>
              <c:numCache>
                <c:formatCode>0.00</c:formatCode>
                <c:ptCount val="32"/>
                <c:pt idx="0">
                  <c:v>166.30099999999999</c:v>
                </c:pt>
                <c:pt idx="1">
                  <c:v>44.64</c:v>
                </c:pt>
                <c:pt idx="2">
                  <c:v>65.855999999999995</c:v>
                </c:pt>
                <c:pt idx="3">
                  <c:v>0</c:v>
                </c:pt>
                <c:pt idx="4">
                  <c:v>42.591000000000001</c:v>
                </c:pt>
                <c:pt idx="5">
                  <c:v>2.097</c:v>
                </c:pt>
                <c:pt idx="6">
                  <c:v>91.522999999999996</c:v>
                </c:pt>
                <c:pt idx="7">
                  <c:v>175.339</c:v>
                </c:pt>
                <c:pt idx="8">
                  <c:v>1.825</c:v>
                </c:pt>
                <c:pt idx="9">
                  <c:v>111.52200000000001</c:v>
                </c:pt>
                <c:pt idx="10">
                  <c:v>58.994999999999997</c:v>
                </c:pt>
                <c:pt idx="11">
                  <c:v>50.716000000000001</c:v>
                </c:pt>
                <c:pt idx="12">
                  <c:v>458.4</c:v>
                </c:pt>
                <c:pt idx="13">
                  <c:v>34.200000000000003</c:v>
                </c:pt>
                <c:pt idx="14">
                  <c:v>10.7</c:v>
                </c:pt>
                <c:pt idx="15">
                  <c:v>11.9</c:v>
                </c:pt>
                <c:pt idx="16">
                  <c:v>75.900000000000006</c:v>
                </c:pt>
                <c:pt idx="17">
                  <c:v>17.5</c:v>
                </c:pt>
                <c:pt idx="18">
                  <c:v>18.100000000000001</c:v>
                </c:pt>
                <c:pt idx="19">
                  <c:v>162.80000000000001</c:v>
                </c:pt>
                <c:pt idx="20">
                  <c:v>3.4</c:v>
                </c:pt>
                <c:pt idx="21">
                  <c:v>49.2</c:v>
                </c:pt>
                <c:pt idx="22">
                  <c:v>11.1</c:v>
                </c:pt>
                <c:pt idx="23">
                  <c:v>27.3</c:v>
                </c:pt>
                <c:pt idx="24">
                  <c:v>552.79999999999995</c:v>
                </c:pt>
                <c:pt idx="25">
                  <c:v>0.3</c:v>
                </c:pt>
                <c:pt idx="26">
                  <c:v>21.9</c:v>
                </c:pt>
                <c:pt idx="27">
                  <c:v>53.7</c:v>
                </c:pt>
                <c:pt idx="28">
                  <c:v>343.6</c:v>
                </c:pt>
                <c:pt idx="29">
                  <c:v>0.1</c:v>
                </c:pt>
                <c:pt idx="30">
                  <c:v>4.8</c:v>
                </c:pt>
                <c:pt idx="31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C-4834-8E59-82F35680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8514888"/>
        <c:axId val="518518024"/>
      </c:barChart>
      <c:catAx>
        <c:axId val="51851488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8024"/>
        <c:crosses val="autoZero"/>
        <c:auto val="1"/>
        <c:lblAlgn val="ctr"/>
        <c:lblOffset val="200"/>
        <c:tickLblSkip val="2"/>
        <c:tickMarkSkip val="1"/>
        <c:noMultiLvlLbl val="0"/>
      </c:catAx>
      <c:valAx>
        <c:axId val="518518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of cones</a:t>
                </a:r>
              </a:p>
            </c:rich>
          </c:tx>
          <c:layout>
            <c:manualLayout>
              <c:xMode val="edge"/>
              <c:yMode val="edge"/>
              <c:x val="6.8549215359300303E-3"/>
              <c:y val="0.380876552442118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4888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White Spruce Whole Tree Cone Counts - Average All Kluane Sites</a:t>
            </a:r>
          </a:p>
        </c:rich>
      </c:tx>
      <c:layout>
        <c:manualLayout>
          <c:xMode val="edge"/>
          <c:yMode val="edge"/>
          <c:x val="0.22210068965079485"/>
          <c:y val="4.051877593513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95645964449681E-2"/>
          <c:y val="0.17494660394217418"/>
          <c:w val="0.89226619949410757"/>
          <c:h val="0.66738889652014854"/>
        </c:manualLayout>
      </c:layout>
      <c:barChart>
        <c:barDir val="col"/>
        <c:grouping val="clustered"/>
        <c:varyColors val="0"/>
        <c:ser>
          <c:idx val="0"/>
          <c:order val="0"/>
          <c:tx>
            <c:v>Total Cones</c:v>
          </c:tx>
          <c:spPr>
            <a:solidFill>
              <a:srgbClr val="339933"/>
            </a:solidFill>
            <a:ln w="15875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'Total Cones'!$M$9:$M$40</c:f>
                <c:numCache>
                  <c:formatCode>General</c:formatCode>
                  <c:ptCount val="32"/>
                  <c:pt idx="0">
                    <c:v>103.46221144901881</c:v>
                  </c:pt>
                  <c:pt idx="1">
                    <c:v>7.50466632713416</c:v>
                  </c:pt>
                  <c:pt idx="2">
                    <c:v>16.680002530252324</c:v>
                  </c:pt>
                  <c:pt idx="3">
                    <c:v>0</c:v>
                  </c:pt>
                  <c:pt idx="4">
                    <c:v>17.002179638336699</c:v>
                  </c:pt>
                  <c:pt idx="5">
                    <c:v>1.2767577006707733</c:v>
                  </c:pt>
                  <c:pt idx="6">
                    <c:v>36.106935307380922</c:v>
                  </c:pt>
                  <c:pt idx="7">
                    <c:v>59.710045138977875</c:v>
                  </c:pt>
                  <c:pt idx="8">
                    <c:v>1.0492687673511325</c:v>
                  </c:pt>
                  <c:pt idx="9">
                    <c:v>44.42725670289542</c:v>
                  </c:pt>
                  <c:pt idx="10">
                    <c:v>38.372140557675635</c:v>
                  </c:pt>
                  <c:pt idx="11">
                    <c:v>26.027923350043608</c:v>
                  </c:pt>
                  <c:pt idx="12">
                    <c:v>244.88000000000011</c:v>
                  </c:pt>
                  <c:pt idx="13">
                    <c:v>27.599999999999994</c:v>
                  </c:pt>
                  <c:pt idx="14">
                    <c:v>6.18</c:v>
                  </c:pt>
                  <c:pt idx="15">
                    <c:v>6.8599999999999994</c:v>
                  </c:pt>
                  <c:pt idx="16">
                    <c:v>25.139999999999986</c:v>
                  </c:pt>
                  <c:pt idx="17">
                    <c:v>11</c:v>
                  </c:pt>
                  <c:pt idx="18">
                    <c:v>9.470000000000006</c:v>
                  </c:pt>
                  <c:pt idx="19">
                    <c:v>89.319999999999936</c:v>
                  </c:pt>
                  <c:pt idx="20">
                    <c:v>5.07</c:v>
                  </c:pt>
                  <c:pt idx="21">
                    <c:v>24.330000000000013</c:v>
                  </c:pt>
                  <c:pt idx="22">
                    <c:v>18.479999999999997</c:v>
                  </c:pt>
                  <c:pt idx="23">
                    <c:v>17.689999999999998</c:v>
                  </c:pt>
                  <c:pt idx="24">
                    <c:v>245.63999999999987</c:v>
                  </c:pt>
                  <c:pt idx="25">
                    <c:v>0.52000000000000013</c:v>
                  </c:pt>
                  <c:pt idx="26">
                    <c:v>16.579999999999998</c:v>
                  </c:pt>
                  <c:pt idx="27">
                    <c:v>25.669999999999987</c:v>
                  </c:pt>
                  <c:pt idx="28">
                    <c:v>171</c:v>
                  </c:pt>
                  <c:pt idx="29">
                    <c:v>0.41</c:v>
                  </c:pt>
                  <c:pt idx="30">
                    <c:v>6.0100000000000016</c:v>
                  </c:pt>
                  <c:pt idx="31">
                    <c:v>20.100000000000009</c:v>
                  </c:pt>
                </c:numCache>
              </c:numRef>
            </c:plus>
            <c:minus>
              <c:numRef>
                <c:f>'Total Cones'!$L$9:$L$40</c:f>
                <c:numCache>
                  <c:formatCode>General</c:formatCode>
                  <c:ptCount val="32"/>
                  <c:pt idx="0">
                    <c:v>95.542576182546782</c:v>
                  </c:pt>
                  <c:pt idx="1">
                    <c:v>7.4631277727646506</c:v>
                  </c:pt>
                  <c:pt idx="2">
                    <c:v>16.537776690643227</c:v>
                  </c:pt>
                  <c:pt idx="3">
                    <c:v>0</c:v>
                  </c:pt>
                  <c:pt idx="4">
                    <c:v>16.063392799906282</c:v>
                  </c:pt>
                  <c:pt idx="5">
                    <c:v>1.0354672373569032</c:v>
                  </c:pt>
                  <c:pt idx="6">
                    <c:v>34.454260960650714</c:v>
                  </c:pt>
                  <c:pt idx="7">
                    <c:v>56.908679778740066</c:v>
                  </c:pt>
                  <c:pt idx="8">
                    <c:v>0.87880307021960413</c:v>
                  </c:pt>
                  <c:pt idx="9">
                    <c:v>39.871349290809917</c:v>
                  </c:pt>
                  <c:pt idx="10">
                    <c:v>32.914465352260919</c:v>
                  </c:pt>
                  <c:pt idx="11">
                    <c:v>24.244790530829462</c:v>
                  </c:pt>
                  <c:pt idx="12">
                    <c:v>230.85000000000014</c:v>
                  </c:pt>
                  <c:pt idx="13">
                    <c:v>24.010000000000005</c:v>
                  </c:pt>
                  <c:pt idx="14">
                    <c:v>5.52</c:v>
                  </c:pt>
                  <c:pt idx="15">
                    <c:v>6.3000000000000043</c:v>
                  </c:pt>
                  <c:pt idx="16">
                    <c:v>24.239999999999981</c:v>
                  </c:pt>
                  <c:pt idx="17">
                    <c:v>9.6300000000000026</c:v>
                  </c:pt>
                  <c:pt idx="18">
                    <c:v>8.6299999999999955</c:v>
                  </c:pt>
                  <c:pt idx="19">
                    <c:v>85.040000000000077</c:v>
                  </c:pt>
                  <c:pt idx="20">
                    <c:v>4.3899999999999997</c:v>
                  </c:pt>
                  <c:pt idx="21">
                    <c:v>23.489999999999981</c:v>
                  </c:pt>
                  <c:pt idx="22">
                    <c:v>14.490000000000002</c:v>
                  </c:pt>
                  <c:pt idx="23">
                    <c:v>16.519999999999996</c:v>
                  </c:pt>
                  <c:pt idx="24">
                    <c:v>237.15000000000009</c:v>
                  </c:pt>
                  <c:pt idx="25">
                    <c:v>0.38</c:v>
                  </c:pt>
                  <c:pt idx="26">
                    <c:v>14.5</c:v>
                  </c:pt>
                  <c:pt idx="27">
                    <c:v>24.420000000000016</c:v>
                  </c:pt>
                  <c:pt idx="28">
                    <c:v>155.20000000000005</c:v>
                  </c:pt>
                  <c:pt idx="29">
                    <c:v>0.16</c:v>
                  </c:pt>
                  <c:pt idx="30">
                    <c:v>4.5</c:v>
                  </c:pt>
                  <c:pt idx="31">
                    <c:v>18.200000000000003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'Total Cones'!$A$9:$A$41</c:f>
              <c:numCache>
                <c:formatCode>General</c:formatCode>
                <c:ptCount val="33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</c:numCache>
            </c:numRef>
          </c:cat>
          <c:val>
            <c:numRef>
              <c:f>'Total Cones'!$B$9:$B$41</c:f>
              <c:numCache>
                <c:formatCode>0.00</c:formatCode>
                <c:ptCount val="33"/>
                <c:pt idx="0">
                  <c:v>577.35333862760456</c:v>
                </c:pt>
                <c:pt idx="1">
                  <c:v>120.8779962327604</c:v>
                </c:pt>
                <c:pt idx="2">
                  <c:v>191.91754962608184</c:v>
                </c:pt>
                <c:pt idx="3">
                  <c:v>5.5251560719095484E-3</c:v>
                </c:pt>
                <c:pt idx="4">
                  <c:v>114.31089548981411</c:v>
                </c:pt>
                <c:pt idx="5">
                  <c:v>3.201946340478504</c:v>
                </c:pt>
                <c:pt idx="6">
                  <c:v>283.82888383153977</c:v>
                </c:pt>
                <c:pt idx="7">
                  <c:v>614.85110311373614</c:v>
                </c:pt>
                <c:pt idx="8">
                  <c:v>2.7166531889508874</c:v>
                </c:pt>
                <c:pt idx="9">
                  <c:v>359.0106102035499</c:v>
                </c:pt>
                <c:pt idx="10">
                  <c:v>168.38695357181103</c:v>
                </c:pt>
                <c:pt idx="11">
                  <c:v>140.68062120815429</c:v>
                </c:pt>
                <c:pt idx="12">
                  <c:v>2055.9</c:v>
                </c:pt>
                <c:pt idx="13">
                  <c:v>108.9</c:v>
                </c:pt>
                <c:pt idx="14">
                  <c:v>29.5</c:v>
                </c:pt>
                <c:pt idx="15">
                  <c:v>35.200000000000003</c:v>
                </c:pt>
                <c:pt idx="16">
                  <c:v>266.2</c:v>
                </c:pt>
                <c:pt idx="17">
                  <c:v>55.5</c:v>
                </c:pt>
                <c:pt idx="18">
                  <c:v>55.4</c:v>
                </c:pt>
                <c:pt idx="19">
                  <c:v>706.6</c:v>
                </c:pt>
                <c:pt idx="20">
                  <c:v>10.6</c:v>
                </c:pt>
                <c:pt idx="21">
                  <c:v>170.1</c:v>
                </c:pt>
                <c:pt idx="22">
                  <c:v>35.700000000000003</c:v>
                </c:pt>
                <c:pt idx="23">
                  <c:v>87.8</c:v>
                </c:pt>
                <c:pt idx="24">
                  <c:v>2639.6</c:v>
                </c:pt>
                <c:pt idx="25">
                  <c:v>0.6</c:v>
                </c:pt>
                <c:pt idx="26">
                  <c:v>67.2</c:v>
                </c:pt>
                <c:pt idx="27">
                  <c:v>173.9</c:v>
                </c:pt>
                <c:pt idx="28">
                  <c:v>1503</c:v>
                </c:pt>
                <c:pt idx="29">
                  <c:v>0.2</c:v>
                </c:pt>
                <c:pt idx="30">
                  <c:v>12.5</c:v>
                </c:pt>
                <c:pt idx="31">
                  <c:v>87.8</c:v>
                </c:pt>
                <c:pt idx="3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8-4B5E-8F74-E718CF63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8515280"/>
        <c:axId val="518515672"/>
      </c:barChart>
      <c:catAx>
        <c:axId val="51851528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5672"/>
        <c:crosses val="autoZero"/>
        <c:auto val="1"/>
        <c:lblAlgn val="ctr"/>
        <c:lblOffset val="200"/>
        <c:tickLblSkip val="2"/>
        <c:tickMarkSkip val="1"/>
        <c:noMultiLvlLbl val="0"/>
      </c:catAx>
      <c:valAx>
        <c:axId val="518515672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of cones per tree</a:t>
                </a:r>
              </a:p>
            </c:rich>
          </c:tx>
          <c:layout>
            <c:manualLayout>
              <c:xMode val="edge"/>
              <c:yMode val="edge"/>
              <c:x val="6.8548599257260683E-3"/>
              <c:y val="0.291491077581782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5280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White Spruce Seed Production</a:t>
            </a:r>
          </a:p>
        </c:rich>
      </c:tx>
      <c:layout>
        <c:manualLayout>
          <c:xMode val="edge"/>
          <c:yMode val="edge"/>
          <c:x val="0.34100972672533575"/>
          <c:y val="4.3502020112654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2504687169311"/>
          <c:y val="0.16739161529310317"/>
          <c:w val="0.84061405267299261"/>
          <c:h val="0.64347945619167901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Seeds!$F$71:$F$90</c:f>
                <c:numCache>
                  <c:formatCode>General</c:formatCode>
                  <c:ptCount val="20"/>
                  <c:pt idx="0">
                    <c:v>20.843853000000003</c:v>
                  </c:pt>
                  <c:pt idx="1">
                    <c:v>0.56987140000000003</c:v>
                  </c:pt>
                  <c:pt idx="2">
                    <c:v>27.879497999999998</c:v>
                  </c:pt>
                  <c:pt idx="3">
                    <c:v>7.805802899999998</c:v>
                  </c:pt>
                  <c:pt idx="4">
                    <c:v>83.774682999999996</c:v>
                  </c:pt>
                  <c:pt idx="5">
                    <c:v>234.53860765999991</c:v>
                  </c:pt>
                  <c:pt idx="6">
                    <c:v>5.505113999999999</c:v>
                  </c:pt>
                  <c:pt idx="7">
                    <c:v>154.53586999999999</c:v>
                  </c:pt>
                  <c:pt idx="8">
                    <c:v>150.96894999999998</c:v>
                  </c:pt>
                  <c:pt idx="9">
                    <c:v>23.139813</c:v>
                  </c:pt>
                  <c:pt idx="10">
                    <c:v>594.41108999999983</c:v>
                  </c:pt>
                  <c:pt idx="11">
                    <c:v>279.71177</c:v>
                  </c:pt>
                  <c:pt idx="12">
                    <c:v>2.1100000000000003</c:v>
                  </c:pt>
                  <c:pt idx="13">
                    <c:v>13.660000000000004</c:v>
                  </c:pt>
                  <c:pt idx="14">
                    <c:v>311.99</c:v>
                  </c:pt>
                  <c:pt idx="15">
                    <c:v>2.7300000000000004</c:v>
                  </c:pt>
                  <c:pt idx="16">
                    <c:v>75.399999999999991</c:v>
                  </c:pt>
                  <c:pt idx="17">
                    <c:v>30.354199999999992</c:v>
                  </c:pt>
                  <c:pt idx="18">
                    <c:v>0.1</c:v>
                  </c:pt>
                  <c:pt idx="19">
                    <c:v>169.25655285303014</c:v>
                  </c:pt>
                </c:numCache>
              </c:numRef>
            </c:plus>
            <c:minus>
              <c:numRef>
                <c:f>Seeds!$E$71:$E$90</c:f>
                <c:numCache>
                  <c:formatCode>General</c:formatCode>
                  <c:ptCount val="20"/>
                  <c:pt idx="0">
                    <c:v>17.132840000000002</c:v>
                  </c:pt>
                  <c:pt idx="1">
                    <c:v>0.33174540000000002</c:v>
                  </c:pt>
                  <c:pt idx="2">
                    <c:v>21.936460999999998</c:v>
                  </c:pt>
                  <c:pt idx="3">
                    <c:v>5.8412634000000008</c:v>
                  </c:pt>
                  <c:pt idx="4">
                    <c:v>48.228180999999999</c:v>
                  </c:pt>
                  <c:pt idx="5">
                    <c:v>184.45077234000007</c:v>
                  </c:pt>
                  <c:pt idx="6">
                    <c:v>4.3666767000000002</c:v>
                  </c:pt>
                  <c:pt idx="7">
                    <c:v>127.69106999999997</c:v>
                  </c:pt>
                  <c:pt idx="8">
                    <c:v>102.78431399999999</c:v>
                  </c:pt>
                  <c:pt idx="9">
                    <c:v>17.968890000000002</c:v>
                  </c:pt>
                  <c:pt idx="10">
                    <c:v>515.74160000000006</c:v>
                  </c:pt>
                  <c:pt idx="11">
                    <c:v>147.951594</c:v>
                  </c:pt>
                  <c:pt idx="12">
                    <c:v>1.51</c:v>
                  </c:pt>
                  <c:pt idx="13">
                    <c:v>11.01</c:v>
                  </c:pt>
                  <c:pt idx="14">
                    <c:v>226.82999999999998</c:v>
                  </c:pt>
                  <c:pt idx="15">
                    <c:v>2.54</c:v>
                  </c:pt>
                  <c:pt idx="16">
                    <c:v>58.58</c:v>
                  </c:pt>
                  <c:pt idx="17">
                    <c:v>25.865800000000007</c:v>
                  </c:pt>
                  <c:pt idx="18">
                    <c:v>0</c:v>
                  </c:pt>
                  <c:pt idx="19">
                    <c:v>137.8802661410694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Seeds!$A$13:$A$32</c:f>
              <c:numCache>
                <c:formatCode>General</c:formatCode>
                <c:ptCount val="2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</c:numCache>
            </c:numRef>
          </c:xVal>
          <c:yVal>
            <c:numRef>
              <c:f>Seeds!$H$13:$H$32</c:f>
              <c:numCache>
                <c:formatCode>0.0</c:formatCode>
                <c:ptCount val="20"/>
                <c:pt idx="0">
                  <c:v>50.072679000000001</c:v>
                </c:pt>
                <c:pt idx="1">
                  <c:v>0.33174540000000002</c:v>
                </c:pt>
                <c:pt idx="2">
                  <c:v>45.656419999999997</c:v>
                </c:pt>
                <c:pt idx="3">
                  <c:v>8.5873781000000005</c:v>
                </c:pt>
                <c:pt idx="4">
                  <c:v>92.549627000000001</c:v>
                </c:pt>
                <c:pt idx="5">
                  <c:v>675.31898234000005</c:v>
                </c:pt>
                <c:pt idx="6">
                  <c:v>11.877921000000001</c:v>
                </c:pt>
                <c:pt idx="7">
                  <c:v>455.13029999999998</c:v>
                </c:pt>
                <c:pt idx="8">
                  <c:v>161.38647</c:v>
                </c:pt>
                <c:pt idx="9">
                  <c:v>26.553169</c:v>
                </c:pt>
                <c:pt idx="10">
                  <c:v>1977.9545000000001</c:v>
                </c:pt>
                <c:pt idx="11">
                  <c:v>232.25146000000001</c:v>
                </c:pt>
                <c:pt idx="12">
                  <c:v>3.46</c:v>
                </c:pt>
                <c:pt idx="13">
                  <c:v>23.68</c:v>
                </c:pt>
                <c:pt idx="14">
                  <c:v>451.14</c:v>
                </c:pt>
                <c:pt idx="15">
                  <c:v>9.9</c:v>
                </c:pt>
                <c:pt idx="16">
                  <c:v>100.42</c:v>
                </c:pt>
                <c:pt idx="17">
                  <c:v>100.2158</c:v>
                </c:pt>
                <c:pt idx="18">
                  <c:v>0</c:v>
                </c:pt>
                <c:pt idx="19">
                  <c:v>304.81445408736539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7-4213-AD5F-1B7D413C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16456"/>
        <c:axId val="518517240"/>
      </c:scatterChart>
      <c:valAx>
        <c:axId val="51851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 of production</a:t>
                </a:r>
              </a:p>
            </c:rich>
          </c:tx>
          <c:layout>
            <c:manualLayout>
              <c:xMode val="edge"/>
              <c:yMode val="edge"/>
              <c:x val="0.43105996365839089"/>
              <c:y val="0.9081040431743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7240"/>
        <c:crosses val="autoZero"/>
        <c:crossBetween val="midCat"/>
        <c:majorUnit val="2"/>
        <c:minorUnit val="1"/>
      </c:valAx>
      <c:valAx>
        <c:axId val="518517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No. seeds per sq m</a:t>
                </a:r>
              </a:p>
            </c:rich>
          </c:tx>
          <c:layout>
            <c:manualLayout>
              <c:xMode val="edge"/>
              <c:yMode val="edge"/>
              <c:x val="7.3812266679335221E-3"/>
              <c:y val="0.274606151759120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516456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-3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Mushroom Biomass - All Kluane Areas</a:t>
            </a:r>
            <a:endParaRPr lang="en-CA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(wet weight)</a:t>
            </a:r>
          </a:p>
        </c:rich>
      </c:tx>
      <c:layout>
        <c:manualLayout>
          <c:xMode val="edge"/>
          <c:yMode val="edge"/>
          <c:x val="0.28901039901657882"/>
          <c:y val="0.1000513553691966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3502539743129"/>
          <c:y val="0.22176016615809216"/>
          <c:w val="0.85615162310076365"/>
          <c:h val="0.6652722474731317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Mushroom!$G$121:$G$144</c:f>
                <c:numCache>
                  <c:formatCode>General</c:formatCode>
                  <c:ptCount val="24"/>
                  <c:pt idx="0">
                    <c:v>4.9032189600283012</c:v>
                  </c:pt>
                  <c:pt idx="1">
                    <c:v>2.5221082419525975E-2</c:v>
                  </c:pt>
                  <c:pt idx="2">
                    <c:v>0.19675627874071455</c:v>
                  </c:pt>
                  <c:pt idx="3">
                    <c:v>0.40679165192783873</c:v>
                  </c:pt>
                  <c:pt idx="4">
                    <c:v>17.920000000000009</c:v>
                  </c:pt>
                  <c:pt idx="5">
                    <c:v>0.20350000000000001</c:v>
                  </c:pt>
                  <c:pt idx="6">
                    <c:v>0.47</c:v>
                  </c:pt>
                  <c:pt idx="7">
                    <c:v>7.8999999999999915</c:v>
                  </c:pt>
                  <c:pt idx="8">
                    <c:v>1.5</c:v>
                  </c:pt>
                  <c:pt idx="9">
                    <c:v>0.64999999999999991</c:v>
                  </c:pt>
                  <c:pt idx="10">
                    <c:v>1.4123000000000001</c:v>
                  </c:pt>
                  <c:pt idx="11">
                    <c:v>1.2299999999999995</c:v>
                  </c:pt>
                  <c:pt idx="12">
                    <c:v>4.269999999999996</c:v>
                  </c:pt>
                  <c:pt idx="13">
                    <c:v>2.08</c:v>
                  </c:pt>
                  <c:pt idx="14">
                    <c:v>11.400000000000006</c:v>
                  </c:pt>
                  <c:pt idx="15">
                    <c:v>0.43999999999999995</c:v>
                  </c:pt>
                  <c:pt idx="16">
                    <c:v>0.89999999999999991</c:v>
                  </c:pt>
                  <c:pt idx="17">
                    <c:v>2.5599999999999987</c:v>
                  </c:pt>
                  <c:pt idx="18">
                    <c:v>8.57</c:v>
                  </c:pt>
                  <c:pt idx="19">
                    <c:v>3.4299999999999997</c:v>
                  </c:pt>
                  <c:pt idx="20">
                    <c:v>1.5599999999999996</c:v>
                  </c:pt>
                  <c:pt idx="21">
                    <c:v>0.39999999999999991</c:v>
                  </c:pt>
                  <c:pt idx="22">
                    <c:v>0.59999999999999964</c:v>
                  </c:pt>
                  <c:pt idx="23">
                    <c:v>2.7799999999999994</c:v>
                  </c:pt>
                </c:numCache>
              </c:numRef>
            </c:plus>
            <c:minus>
              <c:numRef>
                <c:f>Mushroom!$F$121:$F$144</c:f>
                <c:numCache>
                  <c:formatCode>General</c:formatCode>
                  <c:ptCount val="24"/>
                  <c:pt idx="0">
                    <c:v>4.6530951538733589</c:v>
                  </c:pt>
                  <c:pt idx="1">
                    <c:v>7.130527060488151E-2</c:v>
                  </c:pt>
                  <c:pt idx="2">
                    <c:v>0.13525645560665014</c:v>
                  </c:pt>
                  <c:pt idx="3">
                    <c:v>0.34205871949062605</c:v>
                  </c:pt>
                  <c:pt idx="4">
                    <c:v>13.86</c:v>
                  </c:pt>
                  <c:pt idx="5">
                    <c:v>0.1065</c:v>
                  </c:pt>
                  <c:pt idx="6">
                    <c:v>0.39</c:v>
                  </c:pt>
                  <c:pt idx="7">
                    <c:v>7.0900000000000034</c:v>
                  </c:pt>
                  <c:pt idx="8">
                    <c:v>1.42</c:v>
                  </c:pt>
                  <c:pt idx="9">
                    <c:v>0.49000000000000021</c:v>
                  </c:pt>
                  <c:pt idx="10">
                    <c:v>1.3656999999999995</c:v>
                  </c:pt>
                  <c:pt idx="11">
                    <c:v>1.0300000000000002</c:v>
                  </c:pt>
                  <c:pt idx="12">
                    <c:v>3.980000000000004</c:v>
                  </c:pt>
                  <c:pt idx="13">
                    <c:v>1.6199999999999992</c:v>
                  </c:pt>
                  <c:pt idx="14">
                    <c:v>11.059999999999988</c:v>
                  </c:pt>
                  <c:pt idx="15">
                    <c:v>0.39</c:v>
                  </c:pt>
                  <c:pt idx="16">
                    <c:v>0.69000000000000006</c:v>
                  </c:pt>
                  <c:pt idx="17">
                    <c:v>2.08</c:v>
                  </c:pt>
                  <c:pt idx="18">
                    <c:v>7.8900000000000006</c:v>
                  </c:pt>
                  <c:pt idx="19">
                    <c:v>3.2699999999999996</c:v>
                  </c:pt>
                  <c:pt idx="20">
                    <c:v>1.2400000000000002</c:v>
                  </c:pt>
                  <c:pt idx="21">
                    <c:v>0.3600000000000001</c:v>
                  </c:pt>
                  <c:pt idx="22">
                    <c:v>0.56000000000000005</c:v>
                  </c:pt>
                  <c:pt idx="23">
                    <c:v>2.3800000000000008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Mushroom!$G$5:$G$30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xVal>
          <c:yVal>
            <c:numRef>
              <c:f>Mushroom!$H$5:$H$30</c:f>
              <c:numCache>
                <c:formatCode>0.000</c:formatCode>
                <c:ptCount val="26"/>
                <c:pt idx="0">
                  <c:v>25.004810753448883</c:v>
                </c:pt>
                <c:pt idx="1">
                  <c:v>0.1</c:v>
                </c:pt>
                <c:pt idx="2">
                  <c:v>0.31378493102228511</c:v>
                </c:pt>
                <c:pt idx="3">
                  <c:v>0.8687654757693668</c:v>
                </c:pt>
                <c:pt idx="4">
                  <c:v>57.87</c:v>
                </c:pt>
                <c:pt idx="5">
                  <c:v>0.1065</c:v>
                </c:pt>
                <c:pt idx="6">
                  <c:v>0.96</c:v>
                </c:pt>
                <c:pt idx="7">
                  <c:v>59.09</c:v>
                </c:pt>
                <c:pt idx="8">
                  <c:v>14</c:v>
                </c:pt>
                <c:pt idx="9">
                  <c:v>1.87</c:v>
                </c:pt>
                <c:pt idx="10">
                  <c:v>9.0376999999999992</c:v>
                </c:pt>
                <c:pt idx="11">
                  <c:v>4.58</c:v>
                </c:pt>
                <c:pt idx="12">
                  <c:v>36.53</c:v>
                </c:pt>
                <c:pt idx="13">
                  <c:v>10.61</c:v>
                </c:pt>
                <c:pt idx="14">
                  <c:v>109.96</c:v>
                </c:pt>
                <c:pt idx="15">
                  <c:v>1.32</c:v>
                </c:pt>
                <c:pt idx="16" formatCode="General">
                  <c:v>1.37</c:v>
                </c:pt>
                <c:pt idx="17" formatCode="General">
                  <c:v>7.48</c:v>
                </c:pt>
                <c:pt idx="18" formatCode="General">
                  <c:v>45.72</c:v>
                </c:pt>
                <c:pt idx="19" formatCode="General">
                  <c:v>26.7</c:v>
                </c:pt>
                <c:pt idx="20" formatCode="General">
                  <c:v>4.04</c:v>
                </c:pt>
                <c:pt idx="21" formatCode="General">
                  <c:v>1.53</c:v>
                </c:pt>
                <c:pt idx="22" formatCode="General">
                  <c:v>2.7</c:v>
                </c:pt>
                <c:pt idx="23" formatCode="General">
                  <c:v>13.22</c:v>
                </c:pt>
                <c:pt idx="24" formatCode="General">
                  <c:v>29.21</c:v>
                </c:pt>
                <c:pt idx="25" formatCode="General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C-4E36-8928-60925E03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81576"/>
        <c:axId val="520081968"/>
      </c:scatterChart>
      <c:valAx>
        <c:axId val="520081576"/>
        <c:scaling>
          <c:orientation val="minMax"/>
          <c:min val="1992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1968"/>
        <c:crosses val="autoZero"/>
        <c:crossBetween val="midCat"/>
        <c:majorUnit val="2"/>
        <c:minorUnit val="1"/>
      </c:valAx>
      <c:valAx>
        <c:axId val="520081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Biomass per 10 sq m</a:t>
                </a:r>
              </a:p>
            </c:rich>
          </c:tx>
          <c:layout>
            <c:manualLayout>
              <c:xMode val="edge"/>
              <c:yMode val="edge"/>
              <c:x val="2.9769361108342468E-2"/>
              <c:y val="0.350602963247484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1576"/>
        <c:crosses val="autoZero"/>
        <c:crossBetween val="midCat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7</xdr:row>
      <xdr:rowOff>85725</xdr:rowOff>
    </xdr:from>
    <xdr:to>
      <xdr:col>17</xdr:col>
      <xdr:colOff>390525</xdr:colOff>
      <xdr:row>27</xdr:row>
      <xdr:rowOff>133350</xdr:rowOff>
    </xdr:to>
    <xdr:graphicFrame macro="">
      <xdr:nvGraphicFramePr>
        <xdr:cNvPr id="7445" name="Chart 1">
          <a:extLst>
            <a:ext uri="{FF2B5EF4-FFF2-40B4-BE49-F238E27FC236}">
              <a16:creationId xmlns:a16="http://schemas.microsoft.com/office/drawing/2014/main" id="{00000000-0008-0000-0000-000015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32</xdr:row>
      <xdr:rowOff>161925</xdr:rowOff>
    </xdr:from>
    <xdr:to>
      <xdr:col>17</xdr:col>
      <xdr:colOff>285750</xdr:colOff>
      <xdr:row>51</xdr:row>
      <xdr:rowOff>19050</xdr:rowOff>
    </xdr:to>
    <xdr:graphicFrame macro="">
      <xdr:nvGraphicFramePr>
        <xdr:cNvPr id="7446" name="Chart 2">
          <a:extLst>
            <a:ext uri="{FF2B5EF4-FFF2-40B4-BE49-F238E27FC236}">
              <a16:creationId xmlns:a16="http://schemas.microsoft.com/office/drawing/2014/main" id="{00000000-0008-0000-0000-000016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34</xdr:row>
      <xdr:rowOff>123825</xdr:rowOff>
    </xdr:from>
    <xdr:to>
      <xdr:col>8</xdr:col>
      <xdr:colOff>523875</xdr:colOff>
      <xdr:row>55</xdr:row>
      <xdr:rowOff>9525</xdr:rowOff>
    </xdr:to>
    <xdr:graphicFrame macro="">
      <xdr:nvGraphicFramePr>
        <xdr:cNvPr id="3853" name="Chart 7">
          <a:extLst>
            <a:ext uri="{FF2B5EF4-FFF2-40B4-BE49-F238E27FC236}">
              <a16:creationId xmlns:a16="http://schemas.microsoft.com/office/drawing/2014/main" id="{00000000-0008-0000-0900-00000D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104775</xdr:rowOff>
    </xdr:from>
    <xdr:to>
      <xdr:col>13</xdr:col>
      <xdr:colOff>857250</xdr:colOff>
      <xdr:row>55</xdr:row>
      <xdr:rowOff>0</xdr:rowOff>
    </xdr:to>
    <xdr:graphicFrame macro="">
      <xdr:nvGraphicFramePr>
        <xdr:cNvPr id="3854" name="Chart 8">
          <a:extLst>
            <a:ext uri="{FF2B5EF4-FFF2-40B4-BE49-F238E27FC236}">
              <a16:creationId xmlns:a16="http://schemas.microsoft.com/office/drawing/2014/main" id="{00000000-0008-0000-0900-00000E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58</xdr:row>
      <xdr:rowOff>0</xdr:rowOff>
    </xdr:from>
    <xdr:to>
      <xdr:col>8</xdr:col>
      <xdr:colOff>523875</xdr:colOff>
      <xdr:row>78</xdr:row>
      <xdr:rowOff>66675</xdr:rowOff>
    </xdr:to>
    <xdr:graphicFrame macro="">
      <xdr:nvGraphicFramePr>
        <xdr:cNvPr id="3855" name="Chart 9">
          <a:extLst>
            <a:ext uri="{FF2B5EF4-FFF2-40B4-BE49-F238E27FC236}">
              <a16:creationId xmlns:a16="http://schemas.microsoft.com/office/drawing/2014/main" id="{00000000-0008-0000-0900-00000F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13</xdr:col>
      <xdr:colOff>876300</xdr:colOff>
      <xdr:row>78</xdr:row>
      <xdr:rowOff>76200</xdr:rowOff>
    </xdr:to>
    <xdr:graphicFrame macro="">
      <xdr:nvGraphicFramePr>
        <xdr:cNvPr id="3856" name="Chart 10">
          <a:extLst>
            <a:ext uri="{FF2B5EF4-FFF2-40B4-BE49-F238E27FC236}">
              <a16:creationId xmlns:a16="http://schemas.microsoft.com/office/drawing/2014/main" id="{00000000-0008-0000-0900-000010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20</xdr:col>
      <xdr:colOff>590550</xdr:colOff>
      <xdr:row>78</xdr:row>
      <xdr:rowOff>85725</xdr:rowOff>
    </xdr:to>
    <xdr:graphicFrame macro="">
      <xdr:nvGraphicFramePr>
        <xdr:cNvPr id="3857" name="Chart 51">
          <a:extLst>
            <a:ext uri="{FF2B5EF4-FFF2-40B4-BE49-F238E27FC236}">
              <a16:creationId xmlns:a16="http://schemas.microsoft.com/office/drawing/2014/main" id="{00000000-0008-0000-0900-000011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35</xdr:row>
      <xdr:rowOff>123825</xdr:rowOff>
    </xdr:from>
    <xdr:to>
      <xdr:col>12</xdr:col>
      <xdr:colOff>419100</xdr:colOff>
      <xdr:row>60</xdr:row>
      <xdr:rowOff>104775</xdr:rowOff>
    </xdr:to>
    <xdr:graphicFrame macro="">
      <xdr:nvGraphicFramePr>
        <xdr:cNvPr id="4242" name="Chart 8">
          <a:extLst>
            <a:ext uri="{FF2B5EF4-FFF2-40B4-BE49-F238E27FC236}">
              <a16:creationId xmlns:a16="http://schemas.microsoft.com/office/drawing/2014/main" id="{00000000-0008-0000-0A00-00009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90</xdr:row>
      <xdr:rowOff>66675</xdr:rowOff>
    </xdr:from>
    <xdr:to>
      <xdr:col>16</xdr:col>
      <xdr:colOff>504825</xdr:colOff>
      <xdr:row>115</xdr:row>
      <xdr:rowOff>76200</xdr:rowOff>
    </xdr:to>
    <xdr:graphicFrame macro="">
      <xdr:nvGraphicFramePr>
        <xdr:cNvPr id="2233" name="Chart 6">
          <a:extLst>
            <a:ext uri="{FF2B5EF4-FFF2-40B4-BE49-F238E27FC236}">
              <a16:creationId xmlns:a16="http://schemas.microsoft.com/office/drawing/2014/main" id="{00000000-0008-0000-0B00-0000B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</xdr:row>
      <xdr:rowOff>28574</xdr:rowOff>
    </xdr:from>
    <xdr:to>
      <xdr:col>17</xdr:col>
      <xdr:colOff>314325</xdr:colOff>
      <xdr:row>19</xdr:row>
      <xdr:rowOff>171449</xdr:rowOff>
    </xdr:to>
    <xdr:graphicFrame macro="">
      <xdr:nvGraphicFramePr>
        <xdr:cNvPr id="17698" name="Chart 1">
          <a:extLst>
            <a:ext uri="{FF2B5EF4-FFF2-40B4-BE49-F238E27FC236}">
              <a16:creationId xmlns:a16="http://schemas.microsoft.com/office/drawing/2014/main" id="{00000000-0008-0000-0C00-0000224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255270</xdr:colOff>
      <xdr:row>21</xdr:row>
      <xdr:rowOff>57150</xdr:rowOff>
    </xdr:from>
    <xdr:ext cx="5300169" cy="1117229"/>
    <xdr:sp macro="" textlink="">
      <xdr:nvSpPr>
        <xdr:cNvPr id="17410" name="Text Box 2">
          <a:extLst>
            <a:ext uri="{FF2B5EF4-FFF2-40B4-BE49-F238E27FC236}">
              <a16:creationId xmlns:a16="http://schemas.microsoft.com/office/drawing/2014/main" id="{00000000-0008-0000-0C00-000002440000}"/>
            </a:ext>
          </a:extLst>
        </xdr:cNvPr>
        <xdr:cNvSpPr txBox="1">
          <a:spLocks noChangeArrowheads="1"/>
        </xdr:cNvSpPr>
      </xdr:nvSpPr>
      <xdr:spPr bwMode="auto">
        <a:xfrm>
          <a:off x="6979920" y="4410075"/>
          <a:ext cx="5300169" cy="1117229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Protocol stopped in 2008 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and started again in 2010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76</xdr:row>
      <xdr:rowOff>57150</xdr:rowOff>
    </xdr:from>
    <xdr:to>
      <xdr:col>6</xdr:col>
      <xdr:colOff>1276350</xdr:colOff>
      <xdr:row>97</xdr:row>
      <xdr:rowOff>104775</xdr:rowOff>
    </xdr:to>
    <xdr:graphicFrame macro="">
      <xdr:nvGraphicFramePr>
        <xdr:cNvPr id="5735" name="Chart 2">
          <a:extLst>
            <a:ext uri="{FF2B5EF4-FFF2-40B4-BE49-F238E27FC236}">
              <a16:creationId xmlns:a16="http://schemas.microsoft.com/office/drawing/2014/main" id="{00000000-0008-0000-0D00-000067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76</xdr:row>
      <xdr:rowOff>19050</xdr:rowOff>
    </xdr:from>
    <xdr:to>
      <xdr:col>17</xdr:col>
      <xdr:colOff>304800</xdr:colOff>
      <xdr:row>97</xdr:row>
      <xdr:rowOff>76200</xdr:rowOff>
    </xdr:to>
    <xdr:graphicFrame macro="">
      <xdr:nvGraphicFramePr>
        <xdr:cNvPr id="5736" name="Chart 8">
          <a:extLst>
            <a:ext uri="{FF2B5EF4-FFF2-40B4-BE49-F238E27FC236}">
              <a16:creationId xmlns:a16="http://schemas.microsoft.com/office/drawing/2014/main" id="{00000000-0008-0000-0D00-000068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98</xdr:row>
      <xdr:rowOff>95250</xdr:rowOff>
    </xdr:from>
    <xdr:to>
      <xdr:col>7</xdr:col>
      <xdr:colOff>371475</xdr:colOff>
      <xdr:row>119</xdr:row>
      <xdr:rowOff>66675</xdr:rowOff>
    </xdr:to>
    <xdr:graphicFrame macro="">
      <xdr:nvGraphicFramePr>
        <xdr:cNvPr id="5737" name="Chart 13">
          <a:extLst>
            <a:ext uri="{FF2B5EF4-FFF2-40B4-BE49-F238E27FC236}">
              <a16:creationId xmlns:a16="http://schemas.microsoft.com/office/drawing/2014/main" id="{00000000-0008-0000-0D00-000069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523874</xdr:colOff>
      <xdr:row>98</xdr:row>
      <xdr:rowOff>104775</xdr:rowOff>
    </xdr:from>
    <xdr:to>
      <xdr:col>18</xdr:col>
      <xdr:colOff>114299</xdr:colOff>
      <xdr:row>119</xdr:row>
      <xdr:rowOff>76200</xdr:rowOff>
    </xdr:to>
    <xdr:graphicFrame macro="">
      <xdr:nvGraphicFramePr>
        <xdr:cNvPr id="5738" name="Chart 16">
          <a:extLst>
            <a:ext uri="{FF2B5EF4-FFF2-40B4-BE49-F238E27FC236}">
              <a16:creationId xmlns:a16="http://schemas.microsoft.com/office/drawing/2014/main" id="{00000000-0008-0000-0D00-00006A1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31</xdr:row>
      <xdr:rowOff>76200</xdr:rowOff>
    </xdr:from>
    <xdr:to>
      <xdr:col>23</xdr:col>
      <xdr:colOff>247650</xdr:colOff>
      <xdr:row>53</xdr:row>
      <xdr:rowOff>19050</xdr:rowOff>
    </xdr:to>
    <xdr:graphicFrame macro="">
      <xdr:nvGraphicFramePr>
        <xdr:cNvPr id="6302" name="Chart 7">
          <a:extLst>
            <a:ext uri="{FF2B5EF4-FFF2-40B4-BE49-F238E27FC236}">
              <a16:creationId xmlns:a16="http://schemas.microsoft.com/office/drawing/2014/main" id="{00000000-0008-0000-0E00-00009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68</xdr:row>
      <xdr:rowOff>9525</xdr:rowOff>
    </xdr:from>
    <xdr:to>
      <xdr:col>25</xdr:col>
      <xdr:colOff>400050</xdr:colOff>
      <xdr:row>97</xdr:row>
      <xdr:rowOff>104775</xdr:rowOff>
    </xdr:to>
    <xdr:graphicFrame macro="">
      <xdr:nvGraphicFramePr>
        <xdr:cNvPr id="8349" name="Chart 3">
          <a:extLst>
            <a:ext uri="{FF2B5EF4-FFF2-40B4-BE49-F238E27FC236}">
              <a16:creationId xmlns:a16="http://schemas.microsoft.com/office/drawing/2014/main" id="{00000000-0008-0000-0F00-00009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73</xdr:row>
      <xdr:rowOff>0</xdr:rowOff>
    </xdr:from>
    <xdr:to>
      <xdr:col>8</xdr:col>
      <xdr:colOff>123825</xdr:colOff>
      <xdr:row>93</xdr:row>
      <xdr:rowOff>38100</xdr:rowOff>
    </xdr:to>
    <xdr:graphicFrame macro="">
      <xdr:nvGraphicFramePr>
        <xdr:cNvPr id="32034" name="Chart 3">
          <a:extLst>
            <a:ext uri="{FF2B5EF4-FFF2-40B4-BE49-F238E27FC236}">
              <a16:creationId xmlns:a16="http://schemas.microsoft.com/office/drawing/2014/main" id="{00000000-0008-0000-1000-0000227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72</xdr:row>
      <xdr:rowOff>123825</xdr:rowOff>
    </xdr:from>
    <xdr:to>
      <xdr:col>17</xdr:col>
      <xdr:colOff>219075</xdr:colOff>
      <xdr:row>93</xdr:row>
      <xdr:rowOff>9525</xdr:rowOff>
    </xdr:to>
    <xdr:graphicFrame macro="">
      <xdr:nvGraphicFramePr>
        <xdr:cNvPr id="32035" name="Chart 15">
          <a:extLst>
            <a:ext uri="{FF2B5EF4-FFF2-40B4-BE49-F238E27FC236}">
              <a16:creationId xmlns:a16="http://schemas.microsoft.com/office/drawing/2014/main" id="{00000000-0008-0000-1000-0000237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42</xdr:row>
      <xdr:rowOff>66675</xdr:rowOff>
    </xdr:from>
    <xdr:to>
      <xdr:col>19</xdr:col>
      <xdr:colOff>523875</xdr:colOff>
      <xdr:row>64</xdr:row>
      <xdr:rowOff>9525</xdr:rowOff>
    </xdr:to>
    <xdr:graphicFrame macro="">
      <xdr:nvGraphicFramePr>
        <xdr:cNvPr id="32924" name="Chart 15">
          <a:extLst>
            <a:ext uri="{FF2B5EF4-FFF2-40B4-BE49-F238E27FC236}">
              <a16:creationId xmlns:a16="http://schemas.microsoft.com/office/drawing/2014/main" id="{00000000-0008-0000-1100-00009C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586740</xdr:colOff>
      <xdr:row>20</xdr:row>
      <xdr:rowOff>66675</xdr:rowOff>
    </xdr:from>
    <xdr:ext cx="5171929" cy="2179058"/>
    <xdr:sp macro="" textlink="">
      <xdr:nvSpPr>
        <xdr:cNvPr id="30721" name="Text Box 1">
          <a:extLst>
            <a:ext uri="{FF2B5EF4-FFF2-40B4-BE49-F238E27FC236}">
              <a16:creationId xmlns:a16="http://schemas.microsoft.com/office/drawing/2014/main" id="{00000000-0008-0000-1200-000001780000}"/>
            </a:ext>
          </a:extLst>
        </xdr:cNvPr>
        <xdr:cNvSpPr txBox="1">
          <a:spLocks noChangeArrowheads="1"/>
        </xdr:cNvSpPr>
      </xdr:nvSpPr>
      <xdr:spPr bwMode="auto">
        <a:xfrm>
          <a:off x="3329940" y="3362325"/>
          <a:ext cx="5171929" cy="2179058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Protocol stopped in 2002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and replaced by snow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track censuses as an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index of population size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268604</xdr:colOff>
      <xdr:row>6</xdr:row>
      <xdr:rowOff>167640</xdr:rowOff>
    </xdr:from>
    <xdr:to>
      <xdr:col>16</xdr:col>
      <xdr:colOff>57150</xdr:colOff>
      <xdr:row>35</xdr:row>
      <xdr:rowOff>139065</xdr:rowOff>
    </xdr:to>
    <xdr:graphicFrame macro="">
      <xdr:nvGraphicFramePr>
        <xdr:cNvPr id="10215" name="Chart 1">
          <a:extLst>
            <a:ext uri="{FF2B5EF4-FFF2-40B4-BE49-F238E27FC236}">
              <a16:creationId xmlns:a16="http://schemas.microsoft.com/office/drawing/2014/main" id="{00000000-0008-0000-0100-0000E72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790574</xdr:colOff>
      <xdr:row>39</xdr:row>
      <xdr:rowOff>9525</xdr:rowOff>
    </xdr:from>
    <xdr:to>
      <xdr:col>15</xdr:col>
      <xdr:colOff>297179</xdr:colOff>
      <xdr:row>62</xdr:row>
      <xdr:rowOff>30480</xdr:rowOff>
    </xdr:to>
    <xdr:graphicFrame macro="">
      <xdr:nvGraphicFramePr>
        <xdr:cNvPr id="10216" name="Chart 2">
          <a:extLst>
            <a:ext uri="{FF2B5EF4-FFF2-40B4-BE49-F238E27FC236}">
              <a16:creationId xmlns:a16="http://schemas.microsoft.com/office/drawing/2014/main" id="{00000000-0008-0000-0100-0000E82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11</xdr:row>
      <xdr:rowOff>152400</xdr:rowOff>
    </xdr:from>
    <xdr:to>
      <xdr:col>24</xdr:col>
      <xdr:colOff>276225</xdr:colOff>
      <xdr:row>38</xdr:row>
      <xdr:rowOff>57150</xdr:rowOff>
    </xdr:to>
    <xdr:graphicFrame macro="">
      <xdr:nvGraphicFramePr>
        <xdr:cNvPr id="18572" name="Chart 1">
          <a:extLst>
            <a:ext uri="{FF2B5EF4-FFF2-40B4-BE49-F238E27FC236}">
              <a16:creationId xmlns:a16="http://schemas.microsoft.com/office/drawing/2014/main" id="{00000000-0008-0000-1300-00008C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38</xdr:row>
      <xdr:rowOff>1269</xdr:rowOff>
    </xdr:from>
    <xdr:to>
      <xdr:col>22</xdr:col>
      <xdr:colOff>346075</xdr:colOff>
      <xdr:row>70</xdr:row>
      <xdr:rowOff>10794</xdr:rowOff>
    </xdr:to>
    <xdr:graphicFrame macro="">
      <xdr:nvGraphicFramePr>
        <xdr:cNvPr id="19596" name="Chart 2">
          <a:extLst>
            <a:ext uri="{FF2B5EF4-FFF2-40B4-BE49-F238E27FC236}">
              <a16:creationId xmlns:a16="http://schemas.microsoft.com/office/drawing/2014/main" id="{00000000-0008-0000-1400-00008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5</xdr:row>
      <xdr:rowOff>57151</xdr:rowOff>
    </xdr:from>
    <xdr:to>
      <xdr:col>23</xdr:col>
      <xdr:colOff>57150</xdr:colOff>
      <xdr:row>28</xdr:row>
      <xdr:rowOff>104776</xdr:rowOff>
    </xdr:to>
    <xdr:graphicFrame macro="">
      <xdr:nvGraphicFramePr>
        <xdr:cNvPr id="20619" name="Chart 1">
          <a:extLst>
            <a:ext uri="{FF2B5EF4-FFF2-40B4-BE49-F238E27FC236}">
              <a16:creationId xmlns:a16="http://schemas.microsoft.com/office/drawing/2014/main" id="{00000000-0008-0000-1500-00008B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5</xdr:row>
      <xdr:rowOff>76200</xdr:rowOff>
    </xdr:from>
    <xdr:to>
      <xdr:col>24</xdr:col>
      <xdr:colOff>257174</xdr:colOff>
      <xdr:row>32</xdr:row>
      <xdr:rowOff>9525</xdr:rowOff>
    </xdr:to>
    <xdr:graphicFrame macro="">
      <xdr:nvGraphicFramePr>
        <xdr:cNvPr id="21643" name="Chart 1">
          <a:extLst>
            <a:ext uri="{FF2B5EF4-FFF2-40B4-BE49-F238E27FC236}">
              <a16:creationId xmlns:a16="http://schemas.microsoft.com/office/drawing/2014/main" id="{00000000-0008-0000-1600-00008B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0</xdr:rowOff>
    </xdr:from>
    <xdr:to>
      <xdr:col>6</xdr:col>
      <xdr:colOff>885825</xdr:colOff>
      <xdr:row>58</xdr:row>
      <xdr:rowOff>9525</xdr:rowOff>
    </xdr:to>
    <xdr:graphicFrame macro="">
      <xdr:nvGraphicFramePr>
        <xdr:cNvPr id="23972" name="Chart 5">
          <a:extLst>
            <a:ext uri="{FF2B5EF4-FFF2-40B4-BE49-F238E27FC236}">
              <a16:creationId xmlns:a16="http://schemas.microsoft.com/office/drawing/2014/main" id="{00000000-0008-0000-1700-0000A45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1002030</xdr:colOff>
      <xdr:row>51</xdr:row>
      <xdr:rowOff>104775</xdr:rowOff>
    </xdr:from>
    <xdr:to>
      <xdr:col>4</xdr:col>
      <xdr:colOff>434438</xdr:colOff>
      <xdr:row>53</xdr:row>
      <xdr:rowOff>122052</xdr:rowOff>
    </xdr:to>
    <xdr:sp macro="" textlink="">
      <xdr:nvSpPr>
        <xdr:cNvPr id="23559" name="Text Box 7">
          <a:extLst>
            <a:ext uri="{FF2B5EF4-FFF2-40B4-BE49-F238E27FC236}">
              <a16:creationId xmlns:a16="http://schemas.microsoft.com/office/drawing/2014/main" id="{00000000-0008-0000-1700-0000075C0000}"/>
            </a:ext>
          </a:extLst>
        </xdr:cNvPr>
        <xdr:cNvSpPr txBox="1">
          <a:spLocks noChangeArrowheads="1"/>
        </xdr:cNvSpPr>
      </xdr:nvSpPr>
      <xdr:spPr bwMode="auto">
        <a:xfrm>
          <a:off x="3876675" y="8267700"/>
          <a:ext cx="762000" cy="342900"/>
        </a:xfrm>
        <a:prstGeom prst="rect">
          <a:avLst/>
        </a:prstGeom>
        <a:solidFill>
          <a:srgbClr val="69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CA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 breeding</a:t>
          </a:r>
        </a:p>
      </xdr:txBody>
    </xdr:sp>
    <xdr:clientData/>
  </xdr:twoCellAnchor>
  <xdr:twoCellAnchor>
    <xdr:from>
      <xdr:col>4</xdr:col>
      <xdr:colOff>1920240</xdr:colOff>
      <xdr:row>51</xdr:row>
      <xdr:rowOff>133350</xdr:rowOff>
    </xdr:from>
    <xdr:to>
      <xdr:col>5</xdr:col>
      <xdr:colOff>660956</xdr:colOff>
      <xdr:row>53</xdr:row>
      <xdr:rowOff>150627</xdr:rowOff>
    </xdr:to>
    <xdr:sp macro="" textlink="">
      <xdr:nvSpPr>
        <xdr:cNvPr id="23560" name="Text Box 8">
          <a:extLst>
            <a:ext uri="{FF2B5EF4-FFF2-40B4-BE49-F238E27FC236}">
              <a16:creationId xmlns:a16="http://schemas.microsoft.com/office/drawing/2014/main" id="{00000000-0008-0000-1700-0000085C0000}"/>
            </a:ext>
          </a:extLst>
        </xdr:cNvPr>
        <xdr:cNvSpPr txBox="1">
          <a:spLocks noChangeArrowheads="1"/>
        </xdr:cNvSpPr>
      </xdr:nvSpPr>
      <xdr:spPr bwMode="auto">
        <a:xfrm>
          <a:off x="6124575" y="8296275"/>
          <a:ext cx="714375" cy="342900"/>
        </a:xfrm>
        <a:prstGeom prst="rect">
          <a:avLst/>
        </a:prstGeom>
        <a:solidFill>
          <a:srgbClr val="69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CA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 breeding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1106805</xdr:colOff>
      <xdr:row>23</xdr:row>
      <xdr:rowOff>112395</xdr:rowOff>
    </xdr:from>
    <xdr:ext cx="5736442" cy="1648143"/>
    <xdr:sp macro="" textlink="">
      <xdr:nvSpPr>
        <xdr:cNvPr id="29697" name="Text Box 1">
          <a:extLst>
            <a:ext uri="{FF2B5EF4-FFF2-40B4-BE49-F238E27FC236}">
              <a16:creationId xmlns:a16="http://schemas.microsoft.com/office/drawing/2014/main" id="{00000000-0008-0000-1800-000001740000}"/>
            </a:ext>
          </a:extLst>
        </xdr:cNvPr>
        <xdr:cNvSpPr txBox="1">
          <a:spLocks noChangeArrowheads="1"/>
        </xdr:cNvSpPr>
      </xdr:nvSpPr>
      <xdr:spPr bwMode="auto">
        <a:xfrm>
          <a:off x="2945130" y="3893820"/>
          <a:ext cx="5736442" cy="1648143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Protocol stopped in 2002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because Parks stopped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providing standardized data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28575</xdr:rowOff>
    </xdr:from>
    <xdr:to>
      <xdr:col>16</xdr:col>
      <xdr:colOff>390525</xdr:colOff>
      <xdr:row>26</xdr:row>
      <xdr:rowOff>19050</xdr:rowOff>
    </xdr:to>
    <xdr:graphicFrame macro="">
      <xdr:nvGraphicFramePr>
        <xdr:cNvPr id="10379" name="Chart 1">
          <a:extLst>
            <a:ext uri="{FF2B5EF4-FFF2-40B4-BE49-F238E27FC236}">
              <a16:creationId xmlns:a16="http://schemas.microsoft.com/office/drawing/2014/main" id="{00000000-0008-0000-0200-00008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43</xdr:row>
      <xdr:rowOff>57150</xdr:rowOff>
    </xdr:from>
    <xdr:to>
      <xdr:col>12</xdr:col>
      <xdr:colOff>619125</xdr:colOff>
      <xdr:row>64</xdr:row>
      <xdr:rowOff>66675</xdr:rowOff>
    </xdr:to>
    <xdr:graphicFrame macro="">
      <xdr:nvGraphicFramePr>
        <xdr:cNvPr id="11445" name="Chart 1">
          <a:extLst>
            <a:ext uri="{FF2B5EF4-FFF2-40B4-BE49-F238E27FC236}">
              <a16:creationId xmlns:a16="http://schemas.microsoft.com/office/drawing/2014/main" id="{00000000-0008-0000-0300-0000B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0</xdr:row>
      <xdr:rowOff>0</xdr:rowOff>
    </xdr:from>
    <xdr:ext cx="6249147" cy="1117229"/>
    <xdr:sp macro="" textlink="">
      <xdr:nvSpPr>
        <xdr:cNvPr id="3" name="Text Box 31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6249147" cy="1117229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GB" sz="3600" b="0" i="0" u="sng" strike="noStrike" baseline="0">
              <a:solidFill>
                <a:srgbClr val="0000FF"/>
              </a:solidFill>
              <a:latin typeface="Arial"/>
              <a:cs typeface="Arial"/>
            </a:rPr>
            <a:t>Note</a:t>
          </a: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: these are index counts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not complete tree cone counts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43</xdr:row>
      <xdr:rowOff>38099</xdr:rowOff>
    </xdr:from>
    <xdr:to>
      <xdr:col>11</xdr:col>
      <xdr:colOff>95250</xdr:colOff>
      <xdr:row>65</xdr:row>
      <xdr:rowOff>142874</xdr:rowOff>
    </xdr:to>
    <xdr:graphicFrame macro="">
      <xdr:nvGraphicFramePr>
        <xdr:cNvPr id="525587" name="Chart 1">
          <a:extLst>
            <a:ext uri="{FF2B5EF4-FFF2-40B4-BE49-F238E27FC236}">
              <a16:creationId xmlns:a16="http://schemas.microsoft.com/office/drawing/2014/main" id="{00000000-0008-0000-0400-00001305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1588770</xdr:colOff>
      <xdr:row>10</xdr:row>
      <xdr:rowOff>32385</xdr:rowOff>
    </xdr:from>
    <xdr:ext cx="3426579" cy="2709973"/>
    <xdr:sp macro="" textlink="">
      <xdr:nvSpPr>
        <xdr:cNvPr id="1343" name="Text Box 319"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SpPr txBox="1">
          <a:spLocks noChangeArrowheads="1"/>
        </xdr:cNvSpPr>
      </xdr:nvSpPr>
      <xdr:spPr bwMode="auto">
        <a:xfrm>
          <a:off x="5160645" y="1765935"/>
          <a:ext cx="3426579" cy="2709973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GB" sz="3600" b="0" i="0" u="sng" strike="noStrike" baseline="0">
              <a:solidFill>
                <a:srgbClr val="0000FF"/>
              </a:solidFill>
              <a:latin typeface="Arial"/>
              <a:cs typeface="Arial"/>
            </a:rPr>
            <a:t>Note</a:t>
          </a: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: these are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complete tree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cone count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estimates, 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not index counts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34</xdr:row>
      <xdr:rowOff>57150</xdr:rowOff>
    </xdr:from>
    <xdr:to>
      <xdr:col>11</xdr:col>
      <xdr:colOff>428625</xdr:colOff>
      <xdr:row>55</xdr:row>
      <xdr:rowOff>47625</xdr:rowOff>
    </xdr:to>
    <xdr:graphicFrame macro="">
      <xdr:nvGraphicFramePr>
        <xdr:cNvPr id="1351" name="Chart 38">
          <a:extLst>
            <a:ext uri="{FF2B5EF4-FFF2-40B4-BE49-F238E27FC236}">
              <a16:creationId xmlns:a16="http://schemas.microsoft.com/office/drawing/2014/main" id="{00000000-0008-0000-0500-000047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472440</xdr:colOff>
      <xdr:row>0</xdr:row>
      <xdr:rowOff>144780</xdr:rowOff>
    </xdr:from>
    <xdr:ext cx="5171929" cy="586314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00000000-0008-0000-0500-000034040000}"/>
            </a:ext>
          </a:extLst>
        </xdr:cNvPr>
        <xdr:cNvSpPr txBox="1">
          <a:spLocks noChangeArrowheads="1"/>
        </xdr:cNvSpPr>
      </xdr:nvSpPr>
      <xdr:spPr bwMode="auto">
        <a:xfrm>
          <a:off x="4815840" y="144780"/>
          <a:ext cx="5171929" cy="586314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Protocol stopped in 2008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188595</xdr:colOff>
      <xdr:row>10</xdr:row>
      <xdr:rowOff>57150</xdr:rowOff>
    </xdr:from>
    <xdr:ext cx="4144981" cy="1648143"/>
    <xdr:sp macro="" textlink="">
      <xdr:nvSpPr>
        <xdr:cNvPr id="28674" name="Text Box 2">
          <a:extLst>
            <a:ext uri="{FF2B5EF4-FFF2-40B4-BE49-F238E27FC236}">
              <a16:creationId xmlns:a16="http://schemas.microsoft.com/office/drawing/2014/main" id="{00000000-0008-0000-0600-000002700000}"/>
            </a:ext>
          </a:extLst>
        </xdr:cNvPr>
        <xdr:cNvSpPr txBox="1">
          <a:spLocks noChangeArrowheads="1"/>
        </xdr:cNvSpPr>
      </xdr:nvSpPr>
      <xdr:spPr bwMode="auto">
        <a:xfrm>
          <a:off x="6970395" y="1762125"/>
          <a:ext cx="4144981" cy="1648143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Protocol stopped in 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2008 as bark beetle</a:t>
          </a:r>
        </a:p>
        <a:p>
          <a:pPr algn="l" rtl="0">
            <a:defRPr sz="1000"/>
          </a:pPr>
          <a:r>
            <a:rPr lang="en-CA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has declined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853440</xdr:colOff>
      <xdr:row>13</xdr:row>
      <xdr:rowOff>182880</xdr:rowOff>
    </xdr:from>
    <xdr:ext cx="5093702" cy="1648143"/>
    <xdr:sp macro="" textlink="">
      <xdr:nvSpPr>
        <xdr:cNvPr id="2" name="Text Box 319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3764280" y="3307080"/>
          <a:ext cx="5093702" cy="1648143"/>
        </a:xfrm>
        <a:prstGeom prst="rect">
          <a:avLst/>
        </a:prstGeom>
        <a:noFill/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64008" tIns="54864" rIns="0" bIns="0" anchor="t" upright="1">
          <a:spAutoFit/>
        </a:bodyPr>
        <a:lstStyle/>
        <a:p>
          <a:pPr algn="l" rtl="0">
            <a:defRPr sz="1000"/>
          </a:pPr>
          <a:r>
            <a:rPr lang="en-GB" sz="3600" b="0" i="0" u="sng" strike="noStrike" baseline="0">
              <a:solidFill>
                <a:srgbClr val="0000FF"/>
              </a:solidFill>
              <a:latin typeface="Arial"/>
              <a:cs typeface="Arial"/>
            </a:rPr>
            <a:t>Note</a:t>
          </a: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: unable to follow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these marked seedlings</a:t>
          </a:r>
        </a:p>
        <a:p>
          <a:pPr algn="l" rtl="0">
            <a:defRPr sz="1000"/>
          </a:pPr>
          <a:r>
            <a:rPr lang="en-GB" sz="3600" b="0" i="0" u="none" strike="noStrike" baseline="0">
              <a:solidFill>
                <a:srgbClr val="0000FF"/>
              </a:solidFill>
              <a:latin typeface="Arial"/>
              <a:cs typeface="Arial"/>
            </a:rPr>
            <a:t>- lacking person-power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105</xdr:row>
      <xdr:rowOff>43815</xdr:rowOff>
    </xdr:from>
    <xdr:to>
      <xdr:col>21</xdr:col>
      <xdr:colOff>253365</xdr:colOff>
      <xdr:row>126</xdr:row>
      <xdr:rowOff>158115</xdr:rowOff>
    </xdr:to>
    <xdr:graphicFrame macro="">
      <xdr:nvGraphicFramePr>
        <xdr:cNvPr id="12434" name="Chart 1">
          <a:extLst>
            <a:ext uri="{FF2B5EF4-FFF2-40B4-BE49-F238E27FC236}">
              <a16:creationId xmlns:a16="http://schemas.microsoft.com/office/drawing/2014/main" id="{00000000-0008-0000-0800-000092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workbookViewId="0">
      <pane ySplit="7" topLeftCell="A8" activePane="bottomLeft" state="frozenSplit"/>
      <selection activeCell="M2" sqref="M2"/>
      <selection pane="bottomLeft" activeCell="E56" sqref="E56"/>
    </sheetView>
  </sheetViews>
  <sheetFormatPr defaultRowHeight="12.75" x14ac:dyDescent="0.2"/>
  <cols>
    <col min="3" max="3" width="19.7109375" customWidth="1"/>
    <col min="4" max="4" width="14.28515625" customWidth="1"/>
    <col min="6" max="6" width="11.5703125" customWidth="1"/>
    <col min="7" max="7" width="12.140625" customWidth="1"/>
    <col min="22" max="22" width="17.85546875" style="7" customWidth="1"/>
  </cols>
  <sheetData>
    <row r="1" spans="1:22" ht="16.5" thickBot="1" x14ac:dyDescent="0.3">
      <c r="A1" s="332" t="s">
        <v>142</v>
      </c>
      <c r="B1" s="109"/>
      <c r="C1" s="109"/>
      <c r="D1" s="109"/>
      <c r="E1" s="109"/>
      <c r="F1" s="109"/>
      <c r="G1" s="109"/>
      <c r="H1" s="110"/>
      <c r="I1" s="109"/>
      <c r="J1" s="109"/>
      <c r="K1" s="110"/>
    </row>
    <row r="3" spans="1:22" x14ac:dyDescent="0.2">
      <c r="A3" s="106" t="s">
        <v>252</v>
      </c>
      <c r="F3" s="37" t="s">
        <v>493</v>
      </c>
    </row>
    <row r="4" spans="1:22" ht="13.5" thickBot="1" x14ac:dyDescent="0.25"/>
    <row r="5" spans="1:22" ht="13.5" thickBot="1" x14ac:dyDescent="0.25">
      <c r="A5" s="103" t="s">
        <v>2</v>
      </c>
      <c r="B5" s="104"/>
      <c r="C5" s="105"/>
    </row>
    <row r="6" spans="1:22" x14ac:dyDescent="0.2">
      <c r="C6" s="113" t="s">
        <v>143</v>
      </c>
      <c r="D6" s="7" t="s">
        <v>143</v>
      </c>
      <c r="F6" s="24" t="s">
        <v>238</v>
      </c>
      <c r="V6" s="7" t="s">
        <v>537</v>
      </c>
    </row>
    <row r="7" spans="1:22" ht="13.5" thickBot="1" x14ac:dyDescent="0.25">
      <c r="A7" s="3"/>
      <c r="B7" s="4" t="s">
        <v>4</v>
      </c>
      <c r="C7" s="25" t="s">
        <v>145</v>
      </c>
      <c r="D7" s="4" t="s">
        <v>144</v>
      </c>
      <c r="E7" s="4" t="s">
        <v>5</v>
      </c>
      <c r="F7" s="4" t="s">
        <v>342</v>
      </c>
      <c r="G7" s="4" t="s">
        <v>343</v>
      </c>
      <c r="S7" t="s">
        <v>379</v>
      </c>
      <c r="T7" t="s">
        <v>378</v>
      </c>
      <c r="V7" s="7" t="s">
        <v>538</v>
      </c>
    </row>
    <row r="8" spans="1:22" x14ac:dyDescent="0.2">
      <c r="A8" s="20" t="s">
        <v>6</v>
      </c>
      <c r="B8" s="7" t="s">
        <v>161</v>
      </c>
      <c r="C8" s="9">
        <v>2</v>
      </c>
      <c r="D8" s="64"/>
      <c r="E8" s="6">
        <v>614</v>
      </c>
      <c r="F8" s="9">
        <v>1</v>
      </c>
      <c r="G8" s="21">
        <v>3</v>
      </c>
      <c r="H8" s="11"/>
      <c r="I8" s="11"/>
      <c r="R8" s="7" t="s">
        <v>161</v>
      </c>
      <c r="S8" s="11">
        <f>C8-F8</f>
        <v>1</v>
      </c>
      <c r="T8" s="11">
        <f>G8-C8</f>
        <v>1</v>
      </c>
      <c r="V8" s="9">
        <f>C8+D8</f>
        <v>2</v>
      </c>
    </row>
    <row r="9" spans="1:22" x14ac:dyDescent="0.2">
      <c r="A9" s="20" t="s">
        <v>7</v>
      </c>
      <c r="B9" s="7" t="s">
        <v>160</v>
      </c>
      <c r="C9" s="9">
        <v>7.5</v>
      </c>
      <c r="D9" s="64">
        <v>3.55</v>
      </c>
      <c r="E9" s="6">
        <v>614</v>
      </c>
      <c r="F9" s="9">
        <v>6</v>
      </c>
      <c r="G9" s="21">
        <v>10</v>
      </c>
      <c r="H9" s="11"/>
      <c r="I9" s="11"/>
      <c r="R9" s="7" t="s">
        <v>160</v>
      </c>
      <c r="S9" s="11">
        <f t="shared" ref="S9:S54" si="0">C9-F9</f>
        <v>1.5</v>
      </c>
      <c r="T9" s="11">
        <f t="shared" ref="T9:T54" si="1">G9-C9</f>
        <v>2.5</v>
      </c>
      <c r="V9" s="9">
        <f t="shared" ref="V9:V54" si="2">C9+D9</f>
        <v>11.05</v>
      </c>
    </row>
    <row r="10" spans="1:22" x14ac:dyDescent="0.2">
      <c r="A10" s="20" t="s">
        <v>8</v>
      </c>
      <c r="B10" s="7" t="s">
        <v>159</v>
      </c>
      <c r="C10" s="9">
        <v>7.3</v>
      </c>
      <c r="D10" s="64">
        <v>5.25</v>
      </c>
      <c r="E10" s="6">
        <v>571</v>
      </c>
      <c r="F10" s="9">
        <v>5</v>
      </c>
      <c r="G10" s="21">
        <v>10</v>
      </c>
      <c r="H10" s="11"/>
      <c r="I10" s="11"/>
      <c r="R10" s="7" t="s">
        <v>159</v>
      </c>
      <c r="S10" s="11">
        <f t="shared" si="0"/>
        <v>2.2999999999999998</v>
      </c>
      <c r="T10" s="11">
        <f t="shared" si="1"/>
        <v>2.7</v>
      </c>
      <c r="V10" s="9">
        <f t="shared" si="2"/>
        <v>12.55</v>
      </c>
    </row>
    <row r="11" spans="1:22" x14ac:dyDescent="0.2">
      <c r="A11" s="20" t="s">
        <v>162</v>
      </c>
      <c r="B11" s="7" t="s">
        <v>158</v>
      </c>
      <c r="C11" s="21">
        <v>18.600000000000001</v>
      </c>
      <c r="D11" s="64">
        <v>12.25</v>
      </c>
      <c r="E11" s="6">
        <v>555</v>
      </c>
      <c r="F11" s="9">
        <v>17</v>
      </c>
      <c r="G11" s="21">
        <v>21</v>
      </c>
      <c r="H11" s="11"/>
      <c r="I11" s="11"/>
      <c r="R11" s="7" t="s">
        <v>158</v>
      </c>
      <c r="S11" s="11">
        <f t="shared" si="0"/>
        <v>1.6000000000000014</v>
      </c>
      <c r="T11" s="11">
        <f t="shared" si="1"/>
        <v>2.3999999999999986</v>
      </c>
      <c r="V11" s="9">
        <f t="shared" si="2"/>
        <v>30.85</v>
      </c>
    </row>
    <row r="12" spans="1:22" x14ac:dyDescent="0.2">
      <c r="A12" s="20"/>
      <c r="B12" s="7" t="s">
        <v>157</v>
      </c>
      <c r="C12" s="21">
        <v>12.9</v>
      </c>
      <c r="D12" s="64">
        <v>8.25</v>
      </c>
      <c r="E12" s="6">
        <v>643</v>
      </c>
      <c r="F12" s="9">
        <v>11</v>
      </c>
      <c r="G12" s="21">
        <v>16</v>
      </c>
      <c r="H12" s="11"/>
      <c r="I12" s="11"/>
      <c r="R12" s="7" t="s">
        <v>157</v>
      </c>
      <c r="S12" s="11">
        <f t="shared" si="0"/>
        <v>1.9000000000000004</v>
      </c>
      <c r="T12" s="11">
        <f t="shared" si="1"/>
        <v>3.0999999999999996</v>
      </c>
      <c r="V12" s="9">
        <f t="shared" si="2"/>
        <v>21.15</v>
      </c>
    </row>
    <row r="13" spans="1:22" x14ac:dyDescent="0.2">
      <c r="A13" s="20"/>
      <c r="B13" s="7" t="s">
        <v>156</v>
      </c>
      <c r="C13" s="21">
        <v>2.1</v>
      </c>
      <c r="D13" s="64">
        <v>2.14</v>
      </c>
      <c r="E13" s="6">
        <v>652</v>
      </c>
      <c r="F13" s="9">
        <v>1</v>
      </c>
      <c r="G13" s="21">
        <v>3</v>
      </c>
      <c r="H13" s="11"/>
      <c r="I13" s="11"/>
      <c r="R13" s="7" t="s">
        <v>156</v>
      </c>
      <c r="S13" s="11">
        <f t="shared" si="0"/>
        <v>1.1000000000000001</v>
      </c>
      <c r="T13" s="11">
        <f t="shared" si="1"/>
        <v>0.89999999999999991</v>
      </c>
      <c r="V13" s="9">
        <f t="shared" si="2"/>
        <v>4.24</v>
      </c>
    </row>
    <row r="14" spans="1:22" x14ac:dyDescent="0.2">
      <c r="A14" s="20"/>
      <c r="B14" s="7" t="s">
        <v>155</v>
      </c>
      <c r="C14" s="21">
        <v>0.5</v>
      </c>
      <c r="D14" s="64">
        <v>0.32</v>
      </c>
      <c r="E14" s="6">
        <v>617</v>
      </c>
      <c r="F14" s="9">
        <v>0</v>
      </c>
      <c r="G14" s="21">
        <v>1</v>
      </c>
      <c r="H14" s="11"/>
      <c r="I14" s="11"/>
      <c r="R14" s="7" t="s">
        <v>155</v>
      </c>
      <c r="S14" s="11">
        <f t="shared" si="0"/>
        <v>0.5</v>
      </c>
      <c r="T14" s="11">
        <f t="shared" si="1"/>
        <v>0.5</v>
      </c>
      <c r="V14" s="9">
        <f t="shared" si="2"/>
        <v>0.82000000000000006</v>
      </c>
    </row>
    <row r="15" spans="1:22" x14ac:dyDescent="0.2">
      <c r="A15" s="20"/>
      <c r="B15" s="7" t="s">
        <v>154</v>
      </c>
      <c r="C15" s="21">
        <v>0</v>
      </c>
      <c r="D15" s="64">
        <v>0.2</v>
      </c>
      <c r="E15" s="6">
        <v>541</v>
      </c>
      <c r="F15" s="9">
        <v>0</v>
      </c>
      <c r="G15" s="21">
        <v>1</v>
      </c>
      <c r="H15" s="11"/>
      <c r="I15" s="11"/>
      <c r="R15" s="7" t="s">
        <v>154</v>
      </c>
      <c r="S15" s="11">
        <f t="shared" si="0"/>
        <v>0</v>
      </c>
      <c r="T15" s="11">
        <f t="shared" si="1"/>
        <v>1</v>
      </c>
      <c r="V15" s="9">
        <f t="shared" si="2"/>
        <v>0.2</v>
      </c>
    </row>
    <row r="16" spans="1:22" x14ac:dyDescent="0.2">
      <c r="A16" s="20"/>
      <c r="B16" s="7" t="s">
        <v>153</v>
      </c>
      <c r="C16" s="21">
        <v>0.6</v>
      </c>
      <c r="D16" s="64">
        <v>0.3</v>
      </c>
      <c r="E16" s="6">
        <v>356</v>
      </c>
      <c r="F16" s="9">
        <v>0</v>
      </c>
      <c r="G16" s="21">
        <v>2</v>
      </c>
      <c r="H16" s="11"/>
      <c r="I16" s="11"/>
      <c r="R16" s="7" t="s">
        <v>153</v>
      </c>
      <c r="S16" s="11">
        <f t="shared" si="0"/>
        <v>0.6</v>
      </c>
      <c r="T16" s="11">
        <f t="shared" si="1"/>
        <v>1.4</v>
      </c>
      <c r="V16" s="9">
        <f t="shared" si="2"/>
        <v>0.89999999999999991</v>
      </c>
    </row>
    <row r="17" spans="1:22" x14ac:dyDescent="0.2">
      <c r="A17" s="20"/>
      <c r="B17" s="7" t="s">
        <v>146</v>
      </c>
      <c r="C17" s="9">
        <v>2.8</v>
      </c>
      <c r="D17" s="65">
        <v>5.3</v>
      </c>
      <c r="E17" s="6">
        <v>606</v>
      </c>
      <c r="F17" s="9">
        <v>2</v>
      </c>
      <c r="G17" s="66">
        <v>4</v>
      </c>
      <c r="R17" s="7" t="s">
        <v>146</v>
      </c>
      <c r="S17" s="11">
        <f t="shared" si="0"/>
        <v>0.79999999999999982</v>
      </c>
      <c r="T17" s="11">
        <f t="shared" si="1"/>
        <v>1.2000000000000002</v>
      </c>
      <c r="V17" s="9">
        <f t="shared" si="2"/>
        <v>8.1</v>
      </c>
    </row>
    <row r="18" spans="1:22" x14ac:dyDescent="0.2">
      <c r="B18" s="7" t="s">
        <v>147</v>
      </c>
      <c r="C18" s="9">
        <v>5.37</v>
      </c>
      <c r="D18" s="9">
        <v>1.84</v>
      </c>
      <c r="E18" s="6">
        <v>652</v>
      </c>
      <c r="F18" s="9">
        <v>3.91</v>
      </c>
      <c r="G18" s="9">
        <v>7.15</v>
      </c>
      <c r="R18" s="7" t="s">
        <v>147</v>
      </c>
      <c r="S18" s="11">
        <f t="shared" si="0"/>
        <v>1.46</v>
      </c>
      <c r="T18" s="11">
        <f t="shared" si="1"/>
        <v>1.7800000000000002</v>
      </c>
      <c r="V18" s="9">
        <f t="shared" si="2"/>
        <v>7.21</v>
      </c>
    </row>
    <row r="19" spans="1:22" x14ac:dyDescent="0.2">
      <c r="B19" s="7" t="s">
        <v>148</v>
      </c>
      <c r="C19" s="9">
        <v>6.72</v>
      </c>
      <c r="D19" s="9">
        <v>2.2999999999999998</v>
      </c>
      <c r="E19" s="6">
        <v>610</v>
      </c>
      <c r="F19" s="9">
        <v>4.92</v>
      </c>
      <c r="G19" s="9">
        <v>8.8800000000000008</v>
      </c>
      <c r="R19" s="7" t="s">
        <v>148</v>
      </c>
      <c r="S19" s="11">
        <f t="shared" si="0"/>
        <v>1.7999999999999998</v>
      </c>
      <c r="T19" s="11">
        <f t="shared" si="1"/>
        <v>2.160000000000001</v>
      </c>
      <c r="V19" s="9">
        <f t="shared" si="2"/>
        <v>9.02</v>
      </c>
    </row>
    <row r="20" spans="1:22" x14ac:dyDescent="0.2">
      <c r="B20" s="7" t="s">
        <v>149</v>
      </c>
      <c r="C20" s="9">
        <v>8.9499999999999993</v>
      </c>
      <c r="D20" s="9">
        <v>11.27</v>
      </c>
      <c r="E20" s="6">
        <v>648</v>
      </c>
      <c r="F20" s="9">
        <v>6.59</v>
      </c>
      <c r="G20" s="9">
        <v>11.66</v>
      </c>
      <c r="R20" s="7" t="s">
        <v>149</v>
      </c>
      <c r="S20" s="11">
        <f t="shared" si="0"/>
        <v>2.3599999999999994</v>
      </c>
      <c r="T20" s="11">
        <f t="shared" si="1"/>
        <v>2.7100000000000009</v>
      </c>
      <c r="V20" s="9">
        <f t="shared" si="2"/>
        <v>20.22</v>
      </c>
    </row>
    <row r="21" spans="1:22" x14ac:dyDescent="0.2">
      <c r="B21" s="7" t="s">
        <v>150</v>
      </c>
      <c r="C21" s="9">
        <v>1.37</v>
      </c>
      <c r="D21" s="9">
        <v>1.67</v>
      </c>
      <c r="E21" s="6">
        <v>657</v>
      </c>
      <c r="F21" s="9">
        <v>0.72</v>
      </c>
      <c r="G21" s="9">
        <v>2.37</v>
      </c>
      <c r="R21" s="7" t="s">
        <v>150</v>
      </c>
      <c r="S21" s="11">
        <f t="shared" si="0"/>
        <v>0.65000000000000013</v>
      </c>
      <c r="T21" s="11">
        <f t="shared" si="1"/>
        <v>1</v>
      </c>
      <c r="V21" s="9">
        <f t="shared" si="2"/>
        <v>3.04</v>
      </c>
    </row>
    <row r="22" spans="1:22" x14ac:dyDescent="0.2">
      <c r="B22" s="7" t="s">
        <v>151</v>
      </c>
      <c r="C22" s="9">
        <v>0.15</v>
      </c>
      <c r="D22" s="9">
        <v>0.3</v>
      </c>
      <c r="E22" s="6">
        <v>658</v>
      </c>
      <c r="F22" s="9">
        <v>0.01</v>
      </c>
      <c r="G22" s="9">
        <v>0.72</v>
      </c>
      <c r="R22" s="7" t="s">
        <v>151</v>
      </c>
      <c r="S22" s="11">
        <f t="shared" si="0"/>
        <v>0.13999999999999999</v>
      </c>
      <c r="T22" s="11">
        <f t="shared" si="1"/>
        <v>0.56999999999999995</v>
      </c>
      <c r="V22" s="9">
        <f t="shared" si="2"/>
        <v>0.44999999999999996</v>
      </c>
    </row>
    <row r="23" spans="1:22" x14ac:dyDescent="0.2">
      <c r="B23" s="7" t="s">
        <v>152</v>
      </c>
      <c r="C23" s="9">
        <v>0</v>
      </c>
      <c r="D23" s="9">
        <v>0.15</v>
      </c>
      <c r="E23" s="6">
        <v>661</v>
      </c>
      <c r="F23" s="9">
        <v>0</v>
      </c>
      <c r="G23" s="9">
        <v>0</v>
      </c>
      <c r="R23" s="7" t="s">
        <v>152</v>
      </c>
      <c r="S23" s="11">
        <f t="shared" si="0"/>
        <v>0</v>
      </c>
      <c r="T23" s="11">
        <f t="shared" si="1"/>
        <v>0</v>
      </c>
      <c r="V23" s="9">
        <f t="shared" si="2"/>
        <v>0.15</v>
      </c>
    </row>
    <row r="24" spans="1:22" x14ac:dyDescent="0.2">
      <c r="B24" s="7" t="s">
        <v>301</v>
      </c>
      <c r="C24" s="9">
        <v>0.3</v>
      </c>
      <c r="D24" s="9">
        <v>1.21</v>
      </c>
      <c r="E24" s="6">
        <v>659</v>
      </c>
      <c r="F24" s="9">
        <v>0.05</v>
      </c>
      <c r="G24" s="9">
        <v>0.95</v>
      </c>
      <c r="R24" s="7" t="s">
        <v>301</v>
      </c>
      <c r="S24" s="11">
        <f t="shared" si="0"/>
        <v>0.25</v>
      </c>
      <c r="T24" s="11">
        <f t="shared" si="1"/>
        <v>0.64999999999999991</v>
      </c>
      <c r="V24" s="9">
        <f t="shared" si="2"/>
        <v>1.51</v>
      </c>
    </row>
    <row r="25" spans="1:22" x14ac:dyDescent="0.2">
      <c r="A25" s="22"/>
      <c r="B25" s="23" t="s">
        <v>306</v>
      </c>
      <c r="C25" s="53">
        <v>0.76800000000000002</v>
      </c>
      <c r="D25" s="53">
        <v>2.9186000000000001</v>
      </c>
      <c r="E25" s="23">
        <v>651</v>
      </c>
      <c r="F25" s="53">
        <v>0.30299999999999999</v>
      </c>
      <c r="G25" s="53">
        <v>1.599</v>
      </c>
      <c r="R25" s="23" t="s">
        <v>306</v>
      </c>
      <c r="S25" s="11">
        <f t="shared" si="0"/>
        <v>0.46500000000000002</v>
      </c>
      <c r="T25" s="11">
        <f t="shared" si="1"/>
        <v>0.83099999999999996</v>
      </c>
      <c r="V25" s="9">
        <f t="shared" si="2"/>
        <v>3.6866000000000003</v>
      </c>
    </row>
    <row r="26" spans="1:22" x14ac:dyDescent="0.2">
      <c r="A26" s="22"/>
      <c r="B26" s="23" t="s">
        <v>356</v>
      </c>
      <c r="C26" s="53">
        <v>0.62</v>
      </c>
      <c r="D26" s="53">
        <v>2.93</v>
      </c>
      <c r="E26" s="23">
        <v>648</v>
      </c>
      <c r="F26" s="53">
        <v>0.21</v>
      </c>
      <c r="G26" s="53">
        <v>1.4</v>
      </c>
      <c r="R26" s="23" t="s">
        <v>356</v>
      </c>
      <c r="S26" s="11">
        <f t="shared" si="0"/>
        <v>0.41000000000000003</v>
      </c>
      <c r="T26" s="11">
        <f t="shared" si="1"/>
        <v>0.77999999999999992</v>
      </c>
      <c r="V26" s="9">
        <f t="shared" si="2"/>
        <v>3.5500000000000003</v>
      </c>
    </row>
    <row r="27" spans="1:22" x14ac:dyDescent="0.2">
      <c r="A27" s="22"/>
      <c r="B27" s="23" t="s">
        <v>357</v>
      </c>
      <c r="C27" s="53">
        <v>2.59</v>
      </c>
      <c r="D27" s="53">
        <v>5.79</v>
      </c>
      <c r="E27" s="23">
        <v>656</v>
      </c>
      <c r="F27" s="53">
        <v>1.61</v>
      </c>
      <c r="G27" s="53">
        <v>3.95</v>
      </c>
      <c r="R27" s="23" t="s">
        <v>357</v>
      </c>
      <c r="S27" s="11">
        <f t="shared" si="0"/>
        <v>0.97999999999999976</v>
      </c>
      <c r="T27" s="11">
        <f t="shared" si="1"/>
        <v>1.3600000000000003</v>
      </c>
      <c r="V27" s="9">
        <f t="shared" si="2"/>
        <v>8.379999999999999</v>
      </c>
    </row>
    <row r="28" spans="1:22" x14ac:dyDescent="0.2">
      <c r="A28" s="22"/>
      <c r="B28" s="23" t="s">
        <v>456</v>
      </c>
      <c r="C28" s="53">
        <v>0.46</v>
      </c>
      <c r="D28" s="53">
        <v>4.78</v>
      </c>
      <c r="E28" s="23">
        <v>649</v>
      </c>
      <c r="F28" s="53">
        <v>0.13</v>
      </c>
      <c r="G28" s="53">
        <v>1.19</v>
      </c>
      <c r="R28" s="23" t="s">
        <v>456</v>
      </c>
      <c r="S28" s="11">
        <f t="shared" si="0"/>
        <v>0.33</v>
      </c>
      <c r="T28" s="11">
        <f t="shared" si="1"/>
        <v>0.73</v>
      </c>
      <c r="V28" s="9">
        <f t="shared" si="2"/>
        <v>5.24</v>
      </c>
    </row>
    <row r="29" spans="1:22" x14ac:dyDescent="0.2">
      <c r="A29" s="22"/>
      <c r="B29" s="23" t="s">
        <v>490</v>
      </c>
      <c r="C29" s="53"/>
      <c r="D29" s="53"/>
      <c r="E29" s="23"/>
      <c r="F29" s="53"/>
      <c r="G29" s="53"/>
      <c r="R29" s="23"/>
      <c r="S29" s="11"/>
      <c r="T29" s="11"/>
      <c r="V29" s="9"/>
    </row>
    <row r="30" spans="1:22" ht="13.5" thickBot="1" x14ac:dyDescent="0.25">
      <c r="E30" s="8">
        <f>AVERAGE(E8:E28)</f>
        <v>615.14285714285711</v>
      </c>
      <c r="S30" s="11"/>
      <c r="T30" s="11"/>
      <c r="V30" s="9"/>
    </row>
    <row r="31" spans="1:22" ht="13.5" thickBot="1" x14ac:dyDescent="0.25">
      <c r="A31" s="95" t="s">
        <v>9</v>
      </c>
      <c r="B31" s="96"/>
      <c r="C31" s="97"/>
      <c r="S31" s="11"/>
      <c r="T31" s="11"/>
      <c r="V31" s="9"/>
    </row>
    <row r="32" spans="1:22" x14ac:dyDescent="0.2">
      <c r="A32" s="5"/>
      <c r="C32" s="113" t="s">
        <v>143</v>
      </c>
      <c r="D32" s="7" t="s">
        <v>143</v>
      </c>
      <c r="F32" s="24" t="s">
        <v>216</v>
      </c>
      <c r="S32" s="11"/>
      <c r="T32" s="11"/>
      <c r="V32" s="9"/>
    </row>
    <row r="33" spans="1:22" ht="13.5" thickBot="1" x14ac:dyDescent="0.25">
      <c r="A33" s="3"/>
      <c r="B33" s="4" t="s">
        <v>4</v>
      </c>
      <c r="C33" s="25" t="s">
        <v>145</v>
      </c>
      <c r="D33" s="4" t="s">
        <v>144</v>
      </c>
      <c r="E33" s="4" t="s">
        <v>5</v>
      </c>
      <c r="F33" s="4" t="s">
        <v>342</v>
      </c>
      <c r="G33" s="4" t="s">
        <v>343</v>
      </c>
      <c r="S33" s="11"/>
      <c r="T33" s="11"/>
      <c r="V33" s="9"/>
    </row>
    <row r="34" spans="1:22" x14ac:dyDescent="0.2">
      <c r="A34" s="20" t="s">
        <v>6</v>
      </c>
      <c r="B34" s="7" t="s">
        <v>161</v>
      </c>
      <c r="C34" s="21">
        <v>0</v>
      </c>
      <c r="D34" s="64"/>
      <c r="E34" s="6">
        <v>186</v>
      </c>
      <c r="F34" s="21">
        <v>0</v>
      </c>
      <c r="G34" s="21">
        <v>3</v>
      </c>
      <c r="H34" s="11"/>
      <c r="I34" s="11"/>
      <c r="R34" s="7" t="s">
        <v>161</v>
      </c>
      <c r="S34" s="11">
        <f t="shared" si="0"/>
        <v>0</v>
      </c>
      <c r="T34" s="11">
        <f t="shared" si="1"/>
        <v>3</v>
      </c>
      <c r="V34" s="9">
        <f t="shared" si="2"/>
        <v>0</v>
      </c>
    </row>
    <row r="35" spans="1:22" x14ac:dyDescent="0.2">
      <c r="A35" s="20" t="s">
        <v>7</v>
      </c>
      <c r="B35" s="7" t="s">
        <v>160</v>
      </c>
      <c r="C35" s="21">
        <v>6</v>
      </c>
      <c r="D35" s="64">
        <v>22.25</v>
      </c>
      <c r="E35" s="6">
        <v>186</v>
      </c>
      <c r="F35" s="21">
        <v>3</v>
      </c>
      <c r="G35" s="21">
        <v>10</v>
      </c>
      <c r="H35" s="11"/>
      <c r="I35" s="11"/>
      <c r="R35" s="7" t="s">
        <v>160</v>
      </c>
      <c r="S35" s="11">
        <f t="shared" si="0"/>
        <v>3</v>
      </c>
      <c r="T35" s="11">
        <f t="shared" si="1"/>
        <v>4</v>
      </c>
      <c r="V35" s="9">
        <f t="shared" si="2"/>
        <v>28.25</v>
      </c>
    </row>
    <row r="36" spans="1:22" x14ac:dyDescent="0.2">
      <c r="A36" s="20" t="s">
        <v>8</v>
      </c>
      <c r="B36" s="7" t="s">
        <v>159</v>
      </c>
      <c r="C36" s="21">
        <v>55.6</v>
      </c>
      <c r="D36" s="64">
        <v>23.28</v>
      </c>
      <c r="E36" s="6">
        <v>189</v>
      </c>
      <c r="F36" s="21">
        <v>50</v>
      </c>
      <c r="G36" s="21">
        <v>61</v>
      </c>
      <c r="H36" s="11"/>
      <c r="I36" s="11"/>
      <c r="R36" s="7" t="s">
        <v>159</v>
      </c>
      <c r="S36" s="11">
        <f t="shared" si="0"/>
        <v>5.6000000000000014</v>
      </c>
      <c r="T36" s="11">
        <f t="shared" si="1"/>
        <v>5.3999999999999986</v>
      </c>
      <c r="V36" s="9">
        <f t="shared" si="2"/>
        <v>78.88</v>
      </c>
    </row>
    <row r="37" spans="1:22" x14ac:dyDescent="0.2">
      <c r="A37" s="20" t="s">
        <v>162</v>
      </c>
      <c r="B37" s="7" t="s">
        <v>158</v>
      </c>
      <c r="C37" s="21">
        <v>76.900000000000006</v>
      </c>
      <c r="D37" s="64">
        <v>17.75</v>
      </c>
      <c r="E37" s="6">
        <v>169</v>
      </c>
      <c r="F37" s="21">
        <v>71</v>
      </c>
      <c r="G37" s="21">
        <v>82</v>
      </c>
      <c r="H37" s="11"/>
      <c r="I37" s="11"/>
      <c r="R37" s="7" t="s">
        <v>158</v>
      </c>
      <c r="S37" s="11">
        <f t="shared" si="0"/>
        <v>5.9000000000000057</v>
      </c>
      <c r="T37" s="11">
        <f t="shared" si="1"/>
        <v>5.0999999999999943</v>
      </c>
      <c r="V37" s="9">
        <f t="shared" si="2"/>
        <v>94.65</v>
      </c>
    </row>
    <row r="38" spans="1:22" x14ac:dyDescent="0.2">
      <c r="A38" s="20"/>
      <c r="B38" s="7" t="s">
        <v>157</v>
      </c>
      <c r="C38" s="21">
        <v>85.7</v>
      </c>
      <c r="D38" s="64">
        <v>9.3000000000000007</v>
      </c>
      <c r="E38" s="6">
        <v>119</v>
      </c>
      <c r="F38" s="21">
        <v>78</v>
      </c>
      <c r="G38" s="21">
        <v>91</v>
      </c>
      <c r="H38" s="11"/>
      <c r="I38" s="11"/>
      <c r="R38" s="7" t="s">
        <v>157</v>
      </c>
      <c r="S38" s="11">
        <f t="shared" si="0"/>
        <v>7.7000000000000028</v>
      </c>
      <c r="T38" s="11">
        <f t="shared" si="1"/>
        <v>5.2999999999999972</v>
      </c>
      <c r="V38" s="9">
        <f t="shared" si="2"/>
        <v>95</v>
      </c>
    </row>
    <row r="39" spans="1:22" x14ac:dyDescent="0.2">
      <c r="A39" s="20"/>
      <c r="B39" s="7" t="s">
        <v>156</v>
      </c>
      <c r="C39" s="21">
        <v>33</v>
      </c>
      <c r="D39" s="64">
        <v>9.82</v>
      </c>
      <c r="E39" s="6">
        <v>112</v>
      </c>
      <c r="F39" s="21">
        <v>24</v>
      </c>
      <c r="G39" s="21">
        <v>43</v>
      </c>
      <c r="H39" s="11"/>
      <c r="I39" s="11"/>
      <c r="R39" s="7" t="s">
        <v>156</v>
      </c>
      <c r="S39" s="11">
        <f t="shared" si="0"/>
        <v>9</v>
      </c>
      <c r="T39" s="11">
        <f t="shared" si="1"/>
        <v>10</v>
      </c>
      <c r="V39" s="9">
        <f t="shared" si="2"/>
        <v>42.82</v>
      </c>
    </row>
    <row r="40" spans="1:22" x14ac:dyDescent="0.2">
      <c r="A40" s="20"/>
      <c r="B40" s="7" t="s">
        <v>155</v>
      </c>
      <c r="C40" s="21">
        <v>0.9</v>
      </c>
      <c r="D40" s="64">
        <v>0</v>
      </c>
      <c r="E40" s="6">
        <v>110</v>
      </c>
      <c r="F40" s="21">
        <v>0</v>
      </c>
      <c r="G40" s="21">
        <v>5</v>
      </c>
      <c r="H40" s="11"/>
      <c r="I40" s="11"/>
      <c r="R40" s="7" t="s">
        <v>155</v>
      </c>
      <c r="S40" s="11">
        <f t="shared" si="0"/>
        <v>0.9</v>
      </c>
      <c r="T40" s="11">
        <f t="shared" si="1"/>
        <v>4.0999999999999996</v>
      </c>
      <c r="V40" s="9">
        <f t="shared" si="2"/>
        <v>0.9</v>
      </c>
    </row>
    <row r="41" spans="1:22" x14ac:dyDescent="0.2">
      <c r="A41" s="20"/>
      <c r="B41" s="7" t="s">
        <v>154</v>
      </c>
      <c r="C41" s="21">
        <v>0.1</v>
      </c>
      <c r="D41" s="64">
        <v>2.75</v>
      </c>
      <c r="E41" s="6">
        <v>111</v>
      </c>
      <c r="F41" s="21">
        <v>0</v>
      </c>
      <c r="G41" s="21">
        <v>3</v>
      </c>
      <c r="H41" s="11"/>
      <c r="I41" s="11"/>
      <c r="R41" s="7" t="s">
        <v>154</v>
      </c>
      <c r="S41" s="11">
        <f t="shared" si="0"/>
        <v>0.1</v>
      </c>
      <c r="T41" s="11">
        <f t="shared" si="1"/>
        <v>2.9</v>
      </c>
      <c r="V41" s="9">
        <f t="shared" si="2"/>
        <v>2.85</v>
      </c>
    </row>
    <row r="42" spans="1:22" x14ac:dyDescent="0.2">
      <c r="A42" s="20"/>
      <c r="B42" s="7" t="s">
        <v>153</v>
      </c>
      <c r="C42" s="21">
        <v>2.1</v>
      </c>
      <c r="D42" s="64">
        <v>1.1000000000000001</v>
      </c>
      <c r="E42" s="6">
        <v>94</v>
      </c>
      <c r="F42" s="21">
        <v>0</v>
      </c>
      <c r="G42" s="21">
        <v>7</v>
      </c>
      <c r="H42" s="11"/>
      <c r="I42" s="11"/>
      <c r="R42" s="7" t="s">
        <v>153</v>
      </c>
      <c r="S42" s="11">
        <f t="shared" si="0"/>
        <v>2.1</v>
      </c>
      <c r="T42" s="11">
        <f t="shared" si="1"/>
        <v>4.9000000000000004</v>
      </c>
      <c r="V42" s="9">
        <f t="shared" si="2"/>
        <v>3.2</v>
      </c>
    </row>
    <row r="43" spans="1:22" x14ac:dyDescent="0.2">
      <c r="A43" s="20"/>
      <c r="B43" s="7" t="s">
        <v>146</v>
      </c>
      <c r="C43" s="9">
        <v>8.5</v>
      </c>
      <c r="D43" s="65">
        <v>22.9</v>
      </c>
      <c r="E43" s="6">
        <v>118</v>
      </c>
      <c r="F43" s="66">
        <v>4</v>
      </c>
      <c r="G43" s="66">
        <v>15</v>
      </c>
      <c r="R43" s="7" t="s">
        <v>146</v>
      </c>
      <c r="S43" s="11">
        <f t="shared" si="0"/>
        <v>4.5</v>
      </c>
      <c r="T43" s="11">
        <f t="shared" si="1"/>
        <v>6.5</v>
      </c>
      <c r="V43" s="9">
        <f t="shared" si="2"/>
        <v>31.4</v>
      </c>
    </row>
    <row r="44" spans="1:22" x14ac:dyDescent="0.2">
      <c r="A44" s="20"/>
      <c r="B44" s="7" t="s">
        <v>147</v>
      </c>
      <c r="C44" s="9">
        <v>21.74</v>
      </c>
      <c r="D44" s="9">
        <v>32.17</v>
      </c>
      <c r="E44" s="6">
        <v>115</v>
      </c>
      <c r="F44" s="9">
        <v>14.59</v>
      </c>
      <c r="G44" s="9">
        <v>30.4</v>
      </c>
      <c r="R44" s="7" t="s">
        <v>147</v>
      </c>
      <c r="S44" s="11">
        <f t="shared" si="0"/>
        <v>7.1499999999999986</v>
      </c>
      <c r="T44" s="11">
        <f t="shared" si="1"/>
        <v>8.66</v>
      </c>
      <c r="V44" s="9">
        <f t="shared" si="2"/>
        <v>53.91</v>
      </c>
    </row>
    <row r="45" spans="1:22" x14ac:dyDescent="0.2">
      <c r="B45" s="7" t="s">
        <v>148</v>
      </c>
      <c r="C45" s="9">
        <v>26.55</v>
      </c>
      <c r="D45" s="9">
        <v>44.25</v>
      </c>
      <c r="E45" s="6">
        <v>113</v>
      </c>
      <c r="F45" s="9">
        <v>18.68</v>
      </c>
      <c r="G45" s="9">
        <v>35.68</v>
      </c>
      <c r="R45" s="7" t="s">
        <v>148</v>
      </c>
      <c r="S45" s="11">
        <f t="shared" si="0"/>
        <v>7.870000000000001</v>
      </c>
      <c r="T45" s="11">
        <f t="shared" si="1"/>
        <v>9.129999999999999</v>
      </c>
      <c r="V45" s="9">
        <f t="shared" si="2"/>
        <v>70.8</v>
      </c>
    </row>
    <row r="46" spans="1:22" x14ac:dyDescent="0.2">
      <c r="B46" s="7" t="s">
        <v>149</v>
      </c>
      <c r="C46" s="9">
        <v>31.21</v>
      </c>
      <c r="D46" s="9">
        <v>43.03</v>
      </c>
      <c r="E46" s="6">
        <v>330</v>
      </c>
      <c r="F46" s="9">
        <v>28.74</v>
      </c>
      <c r="G46" s="9">
        <v>33.909999999999997</v>
      </c>
      <c r="R46" s="7" t="s">
        <v>149</v>
      </c>
      <c r="S46" s="11">
        <f t="shared" si="0"/>
        <v>2.4700000000000024</v>
      </c>
      <c r="T46" s="11">
        <f t="shared" si="1"/>
        <v>2.6999999999999957</v>
      </c>
      <c r="V46" s="9">
        <f t="shared" si="2"/>
        <v>74.240000000000009</v>
      </c>
    </row>
    <row r="47" spans="1:22" x14ac:dyDescent="0.2">
      <c r="B47" s="7" t="s">
        <v>150</v>
      </c>
      <c r="C47" s="9">
        <v>1.19</v>
      </c>
      <c r="D47" s="9">
        <v>11.57</v>
      </c>
      <c r="E47" s="6">
        <v>337</v>
      </c>
      <c r="F47" s="9">
        <v>0.32</v>
      </c>
      <c r="G47" s="9">
        <v>3.01</v>
      </c>
      <c r="R47" s="7" t="s">
        <v>150</v>
      </c>
      <c r="S47" s="11">
        <f t="shared" si="0"/>
        <v>0.86999999999999988</v>
      </c>
      <c r="T47" s="11">
        <f t="shared" si="1"/>
        <v>1.8199999999999998</v>
      </c>
      <c r="V47" s="9">
        <f t="shared" si="2"/>
        <v>12.76</v>
      </c>
    </row>
    <row r="48" spans="1:22" x14ac:dyDescent="0.2">
      <c r="B48" s="7" t="s">
        <v>151</v>
      </c>
      <c r="C48" s="9">
        <v>0.28999999999999998</v>
      </c>
      <c r="D48" s="9">
        <v>0</v>
      </c>
      <c r="E48" s="6">
        <v>339</v>
      </c>
      <c r="F48" s="9">
        <v>0.01</v>
      </c>
      <c r="G48" s="9">
        <v>1.63</v>
      </c>
      <c r="R48" s="7" t="s">
        <v>151</v>
      </c>
      <c r="S48" s="11">
        <f t="shared" si="0"/>
        <v>0.27999999999999997</v>
      </c>
      <c r="T48" s="11">
        <f t="shared" si="1"/>
        <v>1.3399999999999999</v>
      </c>
      <c r="V48" s="9">
        <f t="shared" si="2"/>
        <v>0.28999999999999998</v>
      </c>
    </row>
    <row r="49" spans="2:22" x14ac:dyDescent="0.2">
      <c r="B49" s="7" t="s">
        <v>152</v>
      </c>
      <c r="C49" s="9">
        <v>0</v>
      </c>
      <c r="D49" s="9">
        <v>0.59</v>
      </c>
      <c r="E49" s="6">
        <v>339</v>
      </c>
      <c r="F49" s="9">
        <v>0</v>
      </c>
      <c r="G49" s="9">
        <v>0</v>
      </c>
      <c r="R49" s="7" t="s">
        <v>152</v>
      </c>
      <c r="S49" s="11">
        <f t="shared" si="0"/>
        <v>0</v>
      </c>
      <c r="T49" s="11">
        <f t="shared" si="1"/>
        <v>0</v>
      </c>
      <c r="V49" s="9">
        <f t="shared" si="2"/>
        <v>0.59</v>
      </c>
    </row>
    <row r="50" spans="2:22" x14ac:dyDescent="0.2">
      <c r="B50" s="7" t="s">
        <v>301</v>
      </c>
      <c r="C50" s="9">
        <v>0.59</v>
      </c>
      <c r="D50" s="9">
        <v>1.76</v>
      </c>
      <c r="E50" s="6">
        <v>340</v>
      </c>
      <c r="F50" s="9">
        <v>7.0000000000000007E-2</v>
      </c>
      <c r="G50" s="9">
        <v>2.11</v>
      </c>
      <c r="R50" s="7" t="s">
        <v>301</v>
      </c>
      <c r="S50" s="11">
        <f t="shared" si="0"/>
        <v>0.52</v>
      </c>
      <c r="T50" s="11">
        <f t="shared" si="1"/>
        <v>1.52</v>
      </c>
      <c r="V50" s="9">
        <f t="shared" si="2"/>
        <v>2.35</v>
      </c>
    </row>
    <row r="51" spans="2:22" x14ac:dyDescent="0.2">
      <c r="B51" s="7" t="s">
        <v>306</v>
      </c>
      <c r="C51" s="9">
        <v>0</v>
      </c>
      <c r="D51" s="9">
        <v>6</v>
      </c>
      <c r="E51" s="6">
        <v>333</v>
      </c>
      <c r="F51" s="9">
        <v>0</v>
      </c>
      <c r="G51" s="9">
        <v>1.1000000000000001</v>
      </c>
      <c r="R51" s="23" t="s">
        <v>306</v>
      </c>
      <c r="S51" s="11">
        <f t="shared" si="0"/>
        <v>0</v>
      </c>
      <c r="T51" s="11">
        <f t="shared" si="1"/>
        <v>1.1000000000000001</v>
      </c>
      <c r="V51" s="9">
        <f t="shared" si="2"/>
        <v>6</v>
      </c>
    </row>
    <row r="52" spans="2:22" x14ac:dyDescent="0.2">
      <c r="B52" s="7" t="s">
        <v>356</v>
      </c>
      <c r="C52" s="9">
        <v>0</v>
      </c>
      <c r="D52" s="9">
        <v>8.64</v>
      </c>
      <c r="E52" s="6">
        <v>243</v>
      </c>
      <c r="F52" s="9">
        <v>0</v>
      </c>
      <c r="G52" s="9">
        <v>1.51</v>
      </c>
      <c r="R52" s="23" t="s">
        <v>356</v>
      </c>
      <c r="S52" s="11">
        <f t="shared" si="0"/>
        <v>0</v>
      </c>
      <c r="T52" s="11">
        <f t="shared" si="1"/>
        <v>1.51</v>
      </c>
      <c r="V52" s="9">
        <f t="shared" si="2"/>
        <v>8.64</v>
      </c>
    </row>
    <row r="53" spans="2:22" x14ac:dyDescent="0.2">
      <c r="B53" s="7" t="s">
        <v>357</v>
      </c>
      <c r="C53" s="9">
        <v>3.25</v>
      </c>
      <c r="D53" s="9">
        <v>50</v>
      </c>
      <c r="E53" s="6">
        <v>246</v>
      </c>
      <c r="F53" s="9">
        <v>1.41</v>
      </c>
      <c r="G53" s="9">
        <v>6.31</v>
      </c>
      <c r="R53" s="23" t="s">
        <v>357</v>
      </c>
      <c r="S53" s="11">
        <f t="shared" si="0"/>
        <v>1.84</v>
      </c>
      <c r="T53" s="11">
        <f t="shared" si="1"/>
        <v>3.0599999999999996</v>
      </c>
      <c r="V53" s="9">
        <f t="shared" si="2"/>
        <v>53.25</v>
      </c>
    </row>
    <row r="54" spans="2:22" x14ac:dyDescent="0.2">
      <c r="B54" s="23" t="s">
        <v>456</v>
      </c>
      <c r="C54" s="9">
        <v>2.4</v>
      </c>
      <c r="D54" s="9">
        <v>27.2</v>
      </c>
      <c r="E54" s="6">
        <v>250</v>
      </c>
      <c r="F54" s="9">
        <v>0.88</v>
      </c>
      <c r="G54" s="9">
        <v>5.15</v>
      </c>
      <c r="R54" s="23" t="s">
        <v>456</v>
      </c>
      <c r="S54" s="11">
        <f t="shared" si="0"/>
        <v>1.52</v>
      </c>
      <c r="T54" s="11">
        <f t="shared" si="1"/>
        <v>2.7500000000000004</v>
      </c>
      <c r="V54" s="9">
        <f t="shared" si="2"/>
        <v>29.599999999999998</v>
      </c>
    </row>
    <row r="55" spans="2:22" x14ac:dyDescent="0.2">
      <c r="B55" s="262" t="s">
        <v>490</v>
      </c>
      <c r="R55" s="262" t="s">
        <v>490</v>
      </c>
    </row>
    <row r="56" spans="2:22" x14ac:dyDescent="0.2">
      <c r="E56" s="8">
        <f>AVERAGE(E34:E54)</f>
        <v>208.52380952380952</v>
      </c>
    </row>
  </sheetData>
  <phoneticPr fontId="0" type="noConversion"/>
  <printOptions gridLines="1"/>
  <pageMargins left="0.8" right="0.25" top="1" bottom="1" header="0.5" footer="0.5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24"/>
  <sheetViews>
    <sheetView zoomScaleNormal="100" workbookViewId="0">
      <pane ySplit="7" topLeftCell="A20" activePane="bottomLeft" state="frozenSplit"/>
      <selection pane="bottomLeft" activeCell="C18" sqref="C18:C32"/>
    </sheetView>
  </sheetViews>
  <sheetFormatPr defaultRowHeight="12.75" x14ac:dyDescent="0.2"/>
  <cols>
    <col min="1" max="1" width="10.28515625" customWidth="1"/>
    <col min="2" max="2" width="12.140625" customWidth="1"/>
    <col min="3" max="3" width="15.7109375" customWidth="1"/>
    <col min="4" max="4" width="14.85546875" customWidth="1"/>
    <col min="5" max="5" width="14.28515625" customWidth="1"/>
    <col min="6" max="6" width="16.28515625" customWidth="1"/>
    <col min="7" max="7" width="14" customWidth="1"/>
    <col min="8" max="8" width="14.85546875" customWidth="1"/>
    <col min="9" max="9" width="16.7109375" customWidth="1"/>
    <col min="10" max="10" width="16.28515625" customWidth="1"/>
    <col min="11" max="11" width="14.7109375" customWidth="1"/>
    <col min="12" max="12" width="16.140625" customWidth="1"/>
    <col min="13" max="13" width="15.28515625" customWidth="1"/>
    <col min="14" max="14" width="14" customWidth="1"/>
    <col min="15" max="15" width="15.5703125" customWidth="1"/>
    <col min="16" max="16" width="16" customWidth="1"/>
    <col min="17" max="17" width="13.42578125" customWidth="1"/>
    <col min="18" max="18" width="25.140625" style="7" customWidth="1"/>
    <col min="20" max="20" width="10.42578125" style="7" customWidth="1"/>
    <col min="22" max="22" width="16.28515625" style="7" customWidth="1"/>
    <col min="23" max="23" width="16.7109375" style="7" customWidth="1"/>
  </cols>
  <sheetData>
    <row r="1" spans="1:23" ht="16.5" thickBot="1" x14ac:dyDescent="0.3">
      <c r="A1" s="322" t="s">
        <v>10</v>
      </c>
      <c r="B1" s="155"/>
      <c r="C1" s="155"/>
      <c r="D1" s="155"/>
      <c r="E1" s="156"/>
      <c r="F1" s="97"/>
    </row>
    <row r="2" spans="1:23" x14ac:dyDescent="0.2">
      <c r="A2" t="s">
        <v>11</v>
      </c>
      <c r="H2" s="99" t="s">
        <v>290</v>
      </c>
      <c r="K2" s="231" t="s">
        <v>402</v>
      </c>
    </row>
    <row r="3" spans="1:23" x14ac:dyDescent="0.2">
      <c r="A3" t="s">
        <v>12</v>
      </c>
      <c r="H3" s="188" t="s">
        <v>477</v>
      </c>
    </row>
    <row r="4" spans="1:23" x14ac:dyDescent="0.2">
      <c r="A4" t="s">
        <v>288</v>
      </c>
      <c r="K4" s="296" t="s">
        <v>455</v>
      </c>
    </row>
    <row r="5" spans="1:23" x14ac:dyDescent="0.2">
      <c r="T5" s="7" t="s">
        <v>508</v>
      </c>
      <c r="V5" s="642" t="s">
        <v>729</v>
      </c>
      <c r="W5" s="7" t="s">
        <v>740</v>
      </c>
    </row>
    <row r="6" spans="1:23" x14ac:dyDescent="0.2">
      <c r="C6" s="15" t="s">
        <v>13</v>
      </c>
      <c r="E6" s="13"/>
      <c r="F6" s="161" t="s">
        <v>14</v>
      </c>
      <c r="G6" s="162"/>
      <c r="H6" s="162"/>
      <c r="I6" s="54" t="s">
        <v>15</v>
      </c>
      <c r="J6" s="55"/>
      <c r="K6" s="55"/>
      <c r="L6" s="15" t="s">
        <v>717</v>
      </c>
      <c r="N6" s="13"/>
      <c r="O6" s="57" t="s">
        <v>407</v>
      </c>
      <c r="P6" s="58"/>
      <c r="Q6" s="58"/>
      <c r="R6" s="346" t="s">
        <v>484</v>
      </c>
      <c r="T6" s="7" t="s">
        <v>484</v>
      </c>
      <c r="V6" s="642" t="s">
        <v>730</v>
      </c>
      <c r="W6" s="7" t="s">
        <v>741</v>
      </c>
    </row>
    <row r="7" spans="1:23" ht="13.5" thickBot="1" x14ac:dyDescent="0.25">
      <c r="A7" s="4" t="s">
        <v>16</v>
      </c>
      <c r="B7" s="4" t="s">
        <v>17</v>
      </c>
      <c r="C7" s="12" t="s">
        <v>18</v>
      </c>
      <c r="D7" s="4" t="s">
        <v>19</v>
      </c>
      <c r="E7" s="14" t="s">
        <v>20</v>
      </c>
      <c r="F7" s="163" t="s">
        <v>18</v>
      </c>
      <c r="G7" s="163" t="s">
        <v>19</v>
      </c>
      <c r="H7" s="163" t="s">
        <v>20</v>
      </c>
      <c r="I7" s="160" t="s">
        <v>18</v>
      </c>
      <c r="J7" s="160" t="s">
        <v>19</v>
      </c>
      <c r="K7" s="160" t="s">
        <v>20</v>
      </c>
      <c r="L7" s="12" t="s">
        <v>18</v>
      </c>
      <c r="M7" s="4" t="s">
        <v>19</v>
      </c>
      <c r="N7" s="14" t="s">
        <v>20</v>
      </c>
      <c r="O7" s="158" t="s">
        <v>18</v>
      </c>
      <c r="P7" s="158" t="s">
        <v>19</v>
      </c>
      <c r="Q7" s="158" t="s">
        <v>20</v>
      </c>
      <c r="R7" s="476" t="s">
        <v>485</v>
      </c>
      <c r="S7" s="22"/>
      <c r="T7" s="262" t="s">
        <v>507</v>
      </c>
      <c r="V7" s="642" t="s">
        <v>731</v>
      </c>
      <c r="W7" s="7" t="s">
        <v>742</v>
      </c>
    </row>
    <row r="8" spans="1:23" x14ac:dyDescent="0.2">
      <c r="A8" s="6">
        <v>1994</v>
      </c>
      <c r="B8" s="6"/>
      <c r="C8" s="16"/>
      <c r="D8" s="9"/>
      <c r="E8" s="17"/>
      <c r="F8" s="164"/>
      <c r="G8" s="164"/>
      <c r="H8" s="164"/>
      <c r="I8" s="159"/>
      <c r="J8" s="159"/>
      <c r="K8" s="159"/>
      <c r="L8" s="16"/>
      <c r="M8" s="9"/>
      <c r="N8" s="17"/>
      <c r="O8" s="157"/>
      <c r="P8" s="157"/>
      <c r="Q8" s="157"/>
      <c r="R8" s="346"/>
      <c r="S8" s="6">
        <v>1994</v>
      </c>
    </row>
    <row r="9" spans="1:23" x14ac:dyDescent="0.2">
      <c r="A9" s="6">
        <v>1995</v>
      </c>
      <c r="B9" s="6">
        <v>45</v>
      </c>
      <c r="C9" s="496">
        <v>8.1875</v>
      </c>
      <c r="D9" s="453">
        <v>3.7290000000000001</v>
      </c>
      <c r="E9" s="482">
        <v>14.234</v>
      </c>
      <c r="F9" s="165"/>
      <c r="G9" s="165"/>
      <c r="H9" s="165"/>
      <c r="I9" s="56"/>
      <c r="J9" s="56"/>
      <c r="K9" s="56"/>
      <c r="L9" s="9"/>
      <c r="M9" s="9"/>
      <c r="N9" s="17"/>
      <c r="O9" s="59"/>
      <c r="P9" s="59"/>
      <c r="Q9" s="59"/>
      <c r="R9" s="346"/>
      <c r="S9" s="6">
        <v>1995</v>
      </c>
    </row>
    <row r="10" spans="1:23" x14ac:dyDescent="0.2">
      <c r="A10" s="6">
        <v>1996</v>
      </c>
      <c r="B10" s="6">
        <v>45</v>
      </c>
      <c r="C10" s="496">
        <v>3.74769</v>
      </c>
      <c r="D10" s="453">
        <v>1.0839000000000001</v>
      </c>
      <c r="E10" s="482">
        <v>7.9710999999999999</v>
      </c>
      <c r="F10" s="165"/>
      <c r="G10" s="165"/>
      <c r="H10" s="165"/>
      <c r="I10" s="56"/>
      <c r="J10" s="56"/>
      <c r="K10" s="56"/>
      <c r="L10" s="9"/>
      <c r="M10" s="9"/>
      <c r="N10" s="17"/>
      <c r="O10" s="59"/>
      <c r="P10" s="59"/>
      <c r="Q10" s="59"/>
      <c r="R10" s="346"/>
      <c r="S10" s="6">
        <v>1996</v>
      </c>
    </row>
    <row r="11" spans="1:23" ht="14.25" x14ac:dyDescent="0.2">
      <c r="A11" s="295">
        <v>1997</v>
      </c>
      <c r="B11" s="6">
        <v>178</v>
      </c>
      <c r="C11" s="496">
        <v>4.71</v>
      </c>
      <c r="D11" s="453">
        <v>3.04</v>
      </c>
      <c r="E11" s="482">
        <v>6.78</v>
      </c>
      <c r="F11" s="166">
        <v>3.8</v>
      </c>
      <c r="G11" s="483">
        <v>2.44</v>
      </c>
      <c r="H11" s="483">
        <v>5.32</v>
      </c>
      <c r="I11" s="494">
        <v>34.25</v>
      </c>
      <c r="J11" s="485">
        <v>19.88</v>
      </c>
      <c r="K11" s="485">
        <v>51.18</v>
      </c>
      <c r="L11" s="637">
        <v>0</v>
      </c>
      <c r="M11" s="487">
        <v>0</v>
      </c>
      <c r="N11" s="487">
        <v>0</v>
      </c>
      <c r="O11" s="491">
        <v>7.27</v>
      </c>
      <c r="P11" s="489">
        <v>3.33</v>
      </c>
      <c r="Q11" s="489">
        <v>12.61</v>
      </c>
      <c r="R11" s="565">
        <f>C11+F11+I11+L11+O11</f>
        <v>50.03</v>
      </c>
      <c r="S11" s="295">
        <v>1997</v>
      </c>
      <c r="T11" s="9">
        <f>C11+F11+L11+O11</f>
        <v>15.78</v>
      </c>
      <c r="V11" s="643">
        <f>C11+F11+I11+L11+O11</f>
        <v>50.03</v>
      </c>
      <c r="W11" s="9">
        <f>C11+I11+F11</f>
        <v>42.76</v>
      </c>
    </row>
    <row r="12" spans="1:23" ht="14.25" x14ac:dyDescent="0.2">
      <c r="A12" s="295">
        <v>1998</v>
      </c>
      <c r="B12" s="6">
        <v>314</v>
      </c>
      <c r="C12" s="496">
        <v>3.58</v>
      </c>
      <c r="D12" s="453">
        <v>2.78</v>
      </c>
      <c r="E12" s="482">
        <v>4.46</v>
      </c>
      <c r="F12" s="166">
        <v>4.83</v>
      </c>
      <c r="G12" s="483">
        <v>3.96</v>
      </c>
      <c r="H12" s="483">
        <v>5.79</v>
      </c>
      <c r="I12" s="494">
        <v>13.42</v>
      </c>
      <c r="J12" s="485">
        <v>8.31</v>
      </c>
      <c r="K12" s="485">
        <v>19.34</v>
      </c>
      <c r="L12" s="637">
        <v>0.75</v>
      </c>
      <c r="M12" s="487">
        <v>0</v>
      </c>
      <c r="N12" s="487">
        <v>3.33</v>
      </c>
      <c r="O12" s="491">
        <v>21.24</v>
      </c>
      <c r="P12" s="489">
        <v>13.13</v>
      </c>
      <c r="Q12" s="489">
        <v>31</v>
      </c>
      <c r="R12" s="565">
        <f t="shared" ref="R12:R32" si="0">C12+F12+I12+L12+O12</f>
        <v>43.819999999999993</v>
      </c>
      <c r="S12" s="295">
        <v>1998</v>
      </c>
      <c r="T12" s="9">
        <f t="shared" ref="T12:T32" si="1">C12+F12+L12+O12</f>
        <v>30.4</v>
      </c>
      <c r="V12" s="643">
        <f t="shared" ref="V12:V32" si="2">C12+F12+I12+L12+O12</f>
        <v>43.819999999999993</v>
      </c>
      <c r="W12" s="9">
        <f t="shared" ref="W12:W32" si="3">C12+I12+F12</f>
        <v>21.83</v>
      </c>
    </row>
    <row r="13" spans="1:23" ht="14.25" x14ac:dyDescent="0.2">
      <c r="A13" s="295">
        <v>1999</v>
      </c>
      <c r="B13" s="6">
        <v>310</v>
      </c>
      <c r="C13" s="496">
        <v>6.11</v>
      </c>
      <c r="D13" s="453">
        <v>4.49</v>
      </c>
      <c r="E13" s="482">
        <v>7.97</v>
      </c>
      <c r="F13" s="166">
        <v>4.43</v>
      </c>
      <c r="G13" s="483">
        <v>3.51</v>
      </c>
      <c r="H13" s="483">
        <v>5.47</v>
      </c>
      <c r="I13" s="494">
        <v>24.03</v>
      </c>
      <c r="J13" s="485">
        <v>14.47</v>
      </c>
      <c r="K13" s="485">
        <v>34.43</v>
      </c>
      <c r="L13" s="637">
        <v>2.29</v>
      </c>
      <c r="M13" s="487">
        <v>0.11</v>
      </c>
      <c r="N13" s="487">
        <v>5.39</v>
      </c>
      <c r="O13" s="491">
        <v>13.1</v>
      </c>
      <c r="P13" s="489">
        <v>8.15</v>
      </c>
      <c r="Q13" s="489">
        <v>18.760000000000002</v>
      </c>
      <c r="R13" s="565">
        <f t="shared" si="0"/>
        <v>49.96</v>
      </c>
      <c r="S13" s="295">
        <v>1999</v>
      </c>
      <c r="T13" s="9">
        <f t="shared" si="1"/>
        <v>25.93</v>
      </c>
      <c r="V13" s="643">
        <f t="shared" si="2"/>
        <v>49.96</v>
      </c>
      <c r="W13" s="9">
        <f t="shared" si="3"/>
        <v>34.57</v>
      </c>
    </row>
    <row r="14" spans="1:23" x14ac:dyDescent="0.2">
      <c r="A14" s="295">
        <v>2000</v>
      </c>
      <c r="B14" s="6">
        <v>714</v>
      </c>
      <c r="C14" s="496">
        <v>4.54</v>
      </c>
      <c r="D14" s="453">
        <v>3.76</v>
      </c>
      <c r="E14" s="482">
        <v>5.33</v>
      </c>
      <c r="F14" s="166">
        <v>2.95</v>
      </c>
      <c r="G14" s="483">
        <v>2.2000000000000002</v>
      </c>
      <c r="H14" s="483">
        <v>3.83</v>
      </c>
      <c r="I14" s="494">
        <v>13.43</v>
      </c>
      <c r="J14" s="485">
        <v>8.94</v>
      </c>
      <c r="K14" s="485">
        <v>18.82</v>
      </c>
      <c r="L14" s="493">
        <v>16.13</v>
      </c>
      <c r="M14" s="487">
        <v>10.9</v>
      </c>
      <c r="N14" s="487">
        <v>22</v>
      </c>
      <c r="O14" s="491">
        <v>18.57</v>
      </c>
      <c r="P14" s="489">
        <v>15.19</v>
      </c>
      <c r="Q14" s="489">
        <v>22.32</v>
      </c>
      <c r="R14" s="565">
        <f t="shared" si="0"/>
        <v>55.62</v>
      </c>
      <c r="S14" s="295">
        <v>2000</v>
      </c>
      <c r="T14" s="9">
        <f t="shared" si="1"/>
        <v>42.19</v>
      </c>
      <c r="V14" s="643">
        <f t="shared" si="2"/>
        <v>55.62</v>
      </c>
      <c r="W14" s="9">
        <f t="shared" si="3"/>
        <v>20.919999999999998</v>
      </c>
    </row>
    <row r="15" spans="1:23" x14ac:dyDescent="0.2">
      <c r="A15" s="295">
        <v>2001</v>
      </c>
      <c r="B15" s="19">
        <v>904</v>
      </c>
      <c r="C15" s="167">
        <v>14.5</v>
      </c>
      <c r="D15" s="453">
        <v>12.36</v>
      </c>
      <c r="E15" s="482">
        <v>16.84</v>
      </c>
      <c r="F15" s="166">
        <v>7.27</v>
      </c>
      <c r="G15" s="483">
        <v>6.09</v>
      </c>
      <c r="H15" s="483">
        <v>8.5299999999999994</v>
      </c>
      <c r="I15" s="494">
        <v>51.87</v>
      </c>
      <c r="J15" s="485">
        <v>42.18</v>
      </c>
      <c r="K15" s="485">
        <v>62.41</v>
      </c>
      <c r="L15" s="493">
        <v>48.39</v>
      </c>
      <c r="M15" s="487">
        <v>41.3</v>
      </c>
      <c r="N15" s="487">
        <v>56.21</v>
      </c>
      <c r="O15" s="491">
        <v>14.25</v>
      </c>
      <c r="P15" s="489">
        <v>11.52</v>
      </c>
      <c r="Q15" s="489">
        <v>17.149999999999999</v>
      </c>
      <c r="R15" s="565">
        <f t="shared" si="0"/>
        <v>136.28</v>
      </c>
      <c r="S15" s="295">
        <v>2001</v>
      </c>
      <c r="T15" s="9">
        <f t="shared" si="1"/>
        <v>84.41</v>
      </c>
      <c r="V15" s="643">
        <f t="shared" si="2"/>
        <v>136.28</v>
      </c>
      <c r="W15" s="9">
        <f t="shared" si="3"/>
        <v>73.64</v>
      </c>
    </row>
    <row r="16" spans="1:23" x14ac:dyDescent="0.2">
      <c r="A16" s="295">
        <v>2002</v>
      </c>
      <c r="B16" s="19">
        <v>904</v>
      </c>
      <c r="C16" s="167">
        <v>11.68</v>
      </c>
      <c r="D16" s="453">
        <v>9.9600000000000009</v>
      </c>
      <c r="E16" s="482">
        <v>13.59</v>
      </c>
      <c r="F16" s="166">
        <v>10.44</v>
      </c>
      <c r="G16" s="483">
        <v>8.74</v>
      </c>
      <c r="H16" s="483">
        <v>12.28</v>
      </c>
      <c r="I16" s="494">
        <v>30.22</v>
      </c>
      <c r="J16" s="485">
        <v>23.37</v>
      </c>
      <c r="K16" s="485">
        <v>37.68</v>
      </c>
      <c r="L16" s="493">
        <v>29.36</v>
      </c>
      <c r="M16" s="487">
        <v>23.41</v>
      </c>
      <c r="N16" s="487">
        <v>35.72</v>
      </c>
      <c r="O16" s="491">
        <v>15.26</v>
      </c>
      <c r="P16" s="489">
        <v>12.01</v>
      </c>
      <c r="Q16" s="489">
        <v>18.87</v>
      </c>
      <c r="R16" s="565">
        <f t="shared" si="0"/>
        <v>96.96</v>
      </c>
      <c r="S16" s="295">
        <v>2002</v>
      </c>
      <c r="T16" s="9">
        <f t="shared" si="1"/>
        <v>66.739999999999995</v>
      </c>
      <c r="V16" s="643">
        <f t="shared" si="2"/>
        <v>96.96</v>
      </c>
      <c r="W16" s="9">
        <f t="shared" si="3"/>
        <v>52.339999999999996</v>
      </c>
    </row>
    <row r="17" spans="1:23" x14ac:dyDescent="0.2">
      <c r="A17" s="295">
        <v>2003</v>
      </c>
      <c r="B17" s="19">
        <v>906</v>
      </c>
      <c r="C17" s="167">
        <v>18.77</v>
      </c>
      <c r="D17" s="453">
        <v>16.190000000000001</v>
      </c>
      <c r="E17" s="453">
        <v>21.64</v>
      </c>
      <c r="F17" s="166">
        <v>4.8600000000000003</v>
      </c>
      <c r="G17" s="483">
        <v>3.65</v>
      </c>
      <c r="H17" s="483">
        <v>6.28</v>
      </c>
      <c r="I17" s="494">
        <v>30.25</v>
      </c>
      <c r="J17" s="485">
        <v>22.36</v>
      </c>
      <c r="K17" s="485">
        <v>39.090000000000003</v>
      </c>
      <c r="L17" s="493">
        <v>17.739999999999998</v>
      </c>
      <c r="M17" s="487">
        <v>13.66</v>
      </c>
      <c r="N17" s="488">
        <v>22.04</v>
      </c>
      <c r="O17" s="491">
        <v>27.77</v>
      </c>
      <c r="P17" s="489">
        <v>23.05</v>
      </c>
      <c r="Q17" s="489">
        <v>33.119999999999997</v>
      </c>
      <c r="R17" s="565">
        <f t="shared" si="0"/>
        <v>99.389999999999986</v>
      </c>
      <c r="S17" s="295">
        <v>2003</v>
      </c>
      <c r="T17" s="9">
        <f t="shared" si="1"/>
        <v>69.14</v>
      </c>
      <c r="V17" s="643">
        <f t="shared" si="2"/>
        <v>99.389999999999986</v>
      </c>
      <c r="W17" s="9">
        <f t="shared" si="3"/>
        <v>53.879999999999995</v>
      </c>
    </row>
    <row r="18" spans="1:23" x14ac:dyDescent="0.2">
      <c r="A18" s="295">
        <v>2004</v>
      </c>
      <c r="B18" s="19">
        <v>910</v>
      </c>
      <c r="C18" s="167">
        <v>14.57</v>
      </c>
      <c r="D18" s="453">
        <v>12.82</v>
      </c>
      <c r="E18" s="453">
        <v>16.489999999999998</v>
      </c>
      <c r="F18" s="166">
        <v>7.88</v>
      </c>
      <c r="G18" s="483">
        <v>6.68</v>
      </c>
      <c r="H18" s="483">
        <v>9.18</v>
      </c>
      <c r="I18" s="494">
        <v>47.42</v>
      </c>
      <c r="J18" s="485">
        <v>37.31</v>
      </c>
      <c r="K18" s="485">
        <v>59.39</v>
      </c>
      <c r="L18" s="493">
        <v>15</v>
      </c>
      <c r="M18" s="487">
        <v>10.7</v>
      </c>
      <c r="N18" s="488">
        <v>20.309999999999999</v>
      </c>
      <c r="O18" s="491">
        <v>15.37</v>
      </c>
      <c r="P18" s="489">
        <v>12.6</v>
      </c>
      <c r="Q18" s="489">
        <v>18.48</v>
      </c>
      <c r="R18" s="565">
        <f t="shared" si="0"/>
        <v>100.24000000000001</v>
      </c>
      <c r="S18" s="295">
        <v>2004</v>
      </c>
      <c r="T18" s="9">
        <f t="shared" si="1"/>
        <v>52.82</v>
      </c>
      <c r="V18" s="643">
        <f t="shared" si="2"/>
        <v>100.24000000000001</v>
      </c>
      <c r="W18" s="9">
        <f t="shared" si="3"/>
        <v>69.87</v>
      </c>
    </row>
    <row r="19" spans="1:23" x14ac:dyDescent="0.2">
      <c r="A19" s="295">
        <v>2005</v>
      </c>
      <c r="B19" s="19">
        <v>862</v>
      </c>
      <c r="C19" s="167">
        <v>14.12</v>
      </c>
      <c r="D19" s="453">
        <v>11.63</v>
      </c>
      <c r="E19" s="453">
        <v>16.82</v>
      </c>
      <c r="F19" s="297">
        <v>5.6</v>
      </c>
      <c r="G19" s="484">
        <v>4.53</v>
      </c>
      <c r="H19" s="484">
        <v>6.75</v>
      </c>
      <c r="I19" s="495">
        <v>17.940000000000001</v>
      </c>
      <c r="J19" s="486">
        <v>13.88</v>
      </c>
      <c r="K19" s="486">
        <v>22.47</v>
      </c>
      <c r="L19" s="493">
        <v>22.79</v>
      </c>
      <c r="M19" s="487">
        <v>17.079999999999998</v>
      </c>
      <c r="N19" s="488">
        <v>28.96</v>
      </c>
      <c r="O19" s="492">
        <v>33.880000000000003</v>
      </c>
      <c r="P19" s="490">
        <v>28.43</v>
      </c>
      <c r="Q19" s="490">
        <v>39.81</v>
      </c>
      <c r="R19" s="565">
        <f t="shared" si="0"/>
        <v>94.33</v>
      </c>
      <c r="S19" s="295">
        <v>2005</v>
      </c>
      <c r="T19" s="9">
        <f t="shared" si="1"/>
        <v>76.39</v>
      </c>
      <c r="V19" s="643">
        <f t="shared" si="2"/>
        <v>94.33</v>
      </c>
      <c r="W19" s="9">
        <f t="shared" si="3"/>
        <v>37.660000000000004</v>
      </c>
    </row>
    <row r="20" spans="1:23" x14ac:dyDescent="0.2">
      <c r="A20" s="295">
        <v>2006</v>
      </c>
      <c r="B20" s="19">
        <v>864</v>
      </c>
      <c r="C20" s="167">
        <v>22.1</v>
      </c>
      <c r="D20" s="453">
        <v>19.079999999999998</v>
      </c>
      <c r="E20" s="453">
        <v>25.27</v>
      </c>
      <c r="F20" s="166">
        <v>8.5399999999999991</v>
      </c>
      <c r="G20" s="483">
        <v>7.21</v>
      </c>
      <c r="H20" s="483">
        <v>9.9</v>
      </c>
      <c r="I20" s="494">
        <v>17.260000000000002</v>
      </c>
      <c r="J20" s="485">
        <v>13.23</v>
      </c>
      <c r="K20" s="485">
        <v>21.27</v>
      </c>
      <c r="L20" s="493">
        <v>24.27</v>
      </c>
      <c r="M20" s="487">
        <v>18.48</v>
      </c>
      <c r="N20" s="488">
        <v>30.61</v>
      </c>
      <c r="O20" s="491">
        <v>25.72</v>
      </c>
      <c r="P20" s="489">
        <v>22.03</v>
      </c>
      <c r="Q20" s="489">
        <v>29.72</v>
      </c>
      <c r="R20" s="565">
        <f t="shared" si="0"/>
        <v>97.89</v>
      </c>
      <c r="S20" s="295">
        <v>2006</v>
      </c>
      <c r="T20" s="9">
        <f t="shared" si="1"/>
        <v>80.63</v>
      </c>
      <c r="V20" s="643">
        <f t="shared" si="2"/>
        <v>97.89</v>
      </c>
      <c r="W20" s="9">
        <f t="shared" si="3"/>
        <v>47.9</v>
      </c>
    </row>
    <row r="21" spans="1:23" x14ac:dyDescent="0.2">
      <c r="A21" s="295">
        <v>2007</v>
      </c>
      <c r="B21" s="344">
        <v>756</v>
      </c>
      <c r="C21" s="496">
        <v>16.27</v>
      </c>
      <c r="D21" s="453">
        <v>13.52</v>
      </c>
      <c r="E21" s="453">
        <v>19.239999999999998</v>
      </c>
      <c r="F21" s="166">
        <v>9.48</v>
      </c>
      <c r="G21" s="483">
        <v>7.82</v>
      </c>
      <c r="H21" s="483">
        <v>11.25</v>
      </c>
      <c r="I21" s="494">
        <v>43.12</v>
      </c>
      <c r="J21" s="485">
        <v>35.630000000000003</v>
      </c>
      <c r="K21" s="485">
        <v>51.18</v>
      </c>
      <c r="L21" s="493">
        <v>20.010000000000002</v>
      </c>
      <c r="M21" s="487">
        <v>14.23</v>
      </c>
      <c r="N21" s="488">
        <v>25.89</v>
      </c>
      <c r="O21" s="491">
        <v>18.59</v>
      </c>
      <c r="P21" s="489">
        <v>14.77</v>
      </c>
      <c r="Q21" s="489">
        <v>22.59</v>
      </c>
      <c r="R21" s="565">
        <f t="shared" si="0"/>
        <v>107.47000000000001</v>
      </c>
      <c r="S21" s="295">
        <v>2007</v>
      </c>
      <c r="T21" s="9">
        <f t="shared" si="1"/>
        <v>64.350000000000009</v>
      </c>
      <c r="V21" s="643">
        <f t="shared" si="2"/>
        <v>107.47000000000001</v>
      </c>
      <c r="W21" s="9">
        <f t="shared" si="3"/>
        <v>68.87</v>
      </c>
    </row>
    <row r="22" spans="1:23" x14ac:dyDescent="0.2">
      <c r="A22" s="295">
        <v>2008</v>
      </c>
      <c r="B22" s="344">
        <v>724</v>
      </c>
      <c r="C22" s="496">
        <v>14.63</v>
      </c>
      <c r="D22" s="453">
        <v>12.37</v>
      </c>
      <c r="E22" s="453">
        <v>16.98</v>
      </c>
      <c r="F22" s="166">
        <v>12.44</v>
      </c>
      <c r="G22" s="483">
        <v>10.61</v>
      </c>
      <c r="H22" s="483">
        <v>14.37</v>
      </c>
      <c r="I22" s="494">
        <v>74.33</v>
      </c>
      <c r="J22" s="485">
        <v>63.3</v>
      </c>
      <c r="K22" s="485">
        <v>85.78</v>
      </c>
      <c r="L22" s="493">
        <v>17.79</v>
      </c>
      <c r="M22" s="487">
        <v>13.55</v>
      </c>
      <c r="N22" s="488">
        <v>22.51</v>
      </c>
      <c r="O22" s="491">
        <v>7.69</v>
      </c>
      <c r="P22" s="489">
        <v>4.8099999999999996</v>
      </c>
      <c r="Q22" s="489">
        <v>11.06</v>
      </c>
      <c r="R22" s="565">
        <f t="shared" si="0"/>
        <v>126.88</v>
      </c>
      <c r="S22" s="295">
        <v>2008</v>
      </c>
      <c r="T22" s="9">
        <f t="shared" si="1"/>
        <v>52.55</v>
      </c>
      <c r="V22" s="643">
        <f t="shared" si="2"/>
        <v>126.88</v>
      </c>
      <c r="W22" s="9">
        <f t="shared" si="3"/>
        <v>101.39999999999999</v>
      </c>
    </row>
    <row r="23" spans="1:23" x14ac:dyDescent="0.2">
      <c r="A23" s="295">
        <v>2009</v>
      </c>
      <c r="B23" s="344">
        <v>734</v>
      </c>
      <c r="C23" s="496">
        <v>7.04</v>
      </c>
      <c r="D23" s="453">
        <v>5.79</v>
      </c>
      <c r="E23" s="453">
        <v>8.4499999999999993</v>
      </c>
      <c r="F23" s="166">
        <v>5.16</v>
      </c>
      <c r="G23" s="483">
        <v>4.17</v>
      </c>
      <c r="H23" s="483">
        <v>6.21</v>
      </c>
      <c r="I23" s="494">
        <v>38.840000000000003</v>
      </c>
      <c r="J23" s="485">
        <v>33.57</v>
      </c>
      <c r="K23" s="485">
        <v>44.46</v>
      </c>
      <c r="L23" s="493">
        <v>14.46</v>
      </c>
      <c r="M23" s="487">
        <v>11.47</v>
      </c>
      <c r="N23" s="488">
        <v>17.79</v>
      </c>
      <c r="O23" s="491">
        <v>8.4499999999999993</v>
      </c>
      <c r="P23" s="489">
        <v>4.26</v>
      </c>
      <c r="Q23" s="489">
        <v>13.8</v>
      </c>
      <c r="R23" s="565">
        <f t="shared" si="0"/>
        <v>73.95</v>
      </c>
      <c r="S23" s="295">
        <v>2009</v>
      </c>
      <c r="T23" s="9">
        <f t="shared" si="1"/>
        <v>35.11</v>
      </c>
      <c r="V23" s="643">
        <f t="shared" si="2"/>
        <v>73.95</v>
      </c>
      <c r="W23" s="9">
        <f t="shared" si="3"/>
        <v>51.040000000000006</v>
      </c>
    </row>
    <row r="24" spans="1:23" x14ac:dyDescent="0.2">
      <c r="A24" s="295">
        <v>2010</v>
      </c>
      <c r="B24" s="344">
        <v>758</v>
      </c>
      <c r="C24" s="496">
        <v>16.82</v>
      </c>
      <c r="D24" s="453">
        <v>14.71</v>
      </c>
      <c r="E24" s="453">
        <v>19.09</v>
      </c>
      <c r="F24" s="166">
        <v>11.67</v>
      </c>
      <c r="G24" s="483">
        <v>9.9700000000000006</v>
      </c>
      <c r="H24" s="483">
        <v>13.5</v>
      </c>
      <c r="I24" s="494">
        <v>38.880000000000003</v>
      </c>
      <c r="J24" s="485">
        <v>31.51</v>
      </c>
      <c r="K24" s="485">
        <v>47.4</v>
      </c>
      <c r="L24" s="493">
        <v>54.16</v>
      </c>
      <c r="M24" s="487">
        <v>43.04</v>
      </c>
      <c r="N24" s="488">
        <v>65.84</v>
      </c>
      <c r="O24" s="491">
        <v>36.33</v>
      </c>
      <c r="P24" s="489">
        <v>27.26</v>
      </c>
      <c r="Q24" s="489">
        <v>46.3</v>
      </c>
      <c r="R24" s="565">
        <f t="shared" si="0"/>
        <v>157.86000000000001</v>
      </c>
      <c r="S24" s="295">
        <v>2010</v>
      </c>
      <c r="T24" s="9">
        <f t="shared" si="1"/>
        <v>118.98</v>
      </c>
      <c r="V24" s="643">
        <f t="shared" si="2"/>
        <v>157.86000000000001</v>
      </c>
      <c r="W24" s="9">
        <f t="shared" si="3"/>
        <v>67.37</v>
      </c>
    </row>
    <row r="25" spans="1:23" x14ac:dyDescent="0.2">
      <c r="A25" s="295">
        <v>2011</v>
      </c>
      <c r="B25" s="344">
        <v>764</v>
      </c>
      <c r="C25" s="496">
        <v>27.53</v>
      </c>
      <c r="D25" s="453">
        <v>20.11</v>
      </c>
      <c r="E25" s="453">
        <v>41.68</v>
      </c>
      <c r="F25" s="166">
        <v>12.24</v>
      </c>
      <c r="G25" s="483">
        <v>10.78</v>
      </c>
      <c r="H25" s="483">
        <v>13.76</v>
      </c>
      <c r="I25" s="494">
        <v>25.92</v>
      </c>
      <c r="J25" s="485">
        <v>21.31</v>
      </c>
      <c r="K25" s="485">
        <v>30.91</v>
      </c>
      <c r="L25" s="493">
        <v>34.659999999999997</v>
      </c>
      <c r="M25" s="487">
        <v>28.54</v>
      </c>
      <c r="N25" s="488">
        <v>41.28</v>
      </c>
      <c r="O25" s="491">
        <v>19.309999999999999</v>
      </c>
      <c r="P25" s="489">
        <v>14.37</v>
      </c>
      <c r="Q25" s="489">
        <v>25.39</v>
      </c>
      <c r="R25" s="565">
        <f t="shared" si="0"/>
        <v>119.66</v>
      </c>
      <c r="S25" s="295">
        <v>2011</v>
      </c>
      <c r="T25" s="9">
        <f t="shared" si="1"/>
        <v>93.740000000000009</v>
      </c>
      <c r="V25" s="643">
        <f t="shared" si="2"/>
        <v>119.66</v>
      </c>
      <c r="W25" s="9">
        <f t="shared" si="3"/>
        <v>65.69</v>
      </c>
    </row>
    <row r="26" spans="1:23" x14ac:dyDescent="0.2">
      <c r="A26" s="295">
        <v>2012</v>
      </c>
      <c r="B26" s="344">
        <v>764</v>
      </c>
      <c r="C26" s="496">
        <v>13.21</v>
      </c>
      <c r="D26" s="453">
        <v>10.71</v>
      </c>
      <c r="E26" s="453">
        <v>16.09</v>
      </c>
      <c r="F26" s="166">
        <v>8.56</v>
      </c>
      <c r="G26" s="483">
        <v>6.96</v>
      </c>
      <c r="H26" s="483">
        <v>10.29</v>
      </c>
      <c r="I26" s="494">
        <v>35.67</v>
      </c>
      <c r="J26" s="485">
        <v>29.42</v>
      </c>
      <c r="K26" s="485">
        <v>42.7</v>
      </c>
      <c r="L26" s="493">
        <v>14.74</v>
      </c>
      <c r="M26" s="487">
        <v>11.7</v>
      </c>
      <c r="N26" s="488">
        <v>18.149999999999999</v>
      </c>
      <c r="O26" s="491">
        <v>10.5</v>
      </c>
      <c r="P26" s="489">
        <v>7.6</v>
      </c>
      <c r="Q26" s="489">
        <v>13.99</v>
      </c>
      <c r="R26" s="565">
        <f t="shared" si="0"/>
        <v>82.68</v>
      </c>
      <c r="S26" s="295">
        <v>2012</v>
      </c>
      <c r="T26" s="9">
        <f t="shared" si="1"/>
        <v>47.010000000000005</v>
      </c>
      <c r="V26" s="643">
        <f t="shared" si="2"/>
        <v>82.68</v>
      </c>
      <c r="W26" s="9">
        <f t="shared" si="3"/>
        <v>57.440000000000005</v>
      </c>
    </row>
    <row r="27" spans="1:23" x14ac:dyDescent="0.2">
      <c r="A27" s="295">
        <v>2013</v>
      </c>
      <c r="B27" s="344">
        <v>764</v>
      </c>
      <c r="C27" s="496">
        <v>10.35</v>
      </c>
      <c r="D27" s="453">
        <v>8.09</v>
      </c>
      <c r="E27" s="453">
        <v>12.29</v>
      </c>
      <c r="F27" s="166">
        <v>11.39</v>
      </c>
      <c r="G27" s="483">
        <v>9.6999999999999993</v>
      </c>
      <c r="H27" s="483">
        <v>13.15</v>
      </c>
      <c r="I27" s="494">
        <v>24.5</v>
      </c>
      <c r="J27" s="485">
        <v>20.36</v>
      </c>
      <c r="K27" s="485">
        <v>29.27</v>
      </c>
      <c r="L27" s="493">
        <v>31.6</v>
      </c>
      <c r="M27" s="487">
        <v>24.04</v>
      </c>
      <c r="N27" s="488">
        <v>39.950000000000003</v>
      </c>
      <c r="O27" s="491">
        <v>19.170000000000002</v>
      </c>
      <c r="P27" s="489">
        <v>14.45</v>
      </c>
      <c r="Q27" s="489">
        <v>24.57</v>
      </c>
      <c r="R27" s="565">
        <f t="shared" si="0"/>
        <v>97.01</v>
      </c>
      <c r="S27" s="295">
        <v>2013</v>
      </c>
      <c r="T27" s="9">
        <f t="shared" si="1"/>
        <v>72.510000000000005</v>
      </c>
      <c r="V27" s="643">
        <f t="shared" si="2"/>
        <v>97.01</v>
      </c>
      <c r="W27" s="9">
        <f t="shared" si="3"/>
        <v>46.24</v>
      </c>
    </row>
    <row r="28" spans="1:23" x14ac:dyDescent="0.2">
      <c r="A28" s="295">
        <v>2014</v>
      </c>
      <c r="B28" s="344">
        <v>764</v>
      </c>
      <c r="C28" s="496">
        <v>14.56</v>
      </c>
      <c r="D28" s="453">
        <v>12.12</v>
      </c>
      <c r="E28" s="453">
        <v>17.149999999999999</v>
      </c>
      <c r="F28" s="166">
        <v>6.79</v>
      </c>
      <c r="G28" s="483">
        <v>5.55</v>
      </c>
      <c r="H28" s="483">
        <v>8.15</v>
      </c>
      <c r="I28" s="494">
        <v>28.31</v>
      </c>
      <c r="J28" s="485">
        <v>22.27</v>
      </c>
      <c r="K28" s="485">
        <v>34.85</v>
      </c>
      <c r="L28" s="493">
        <v>24.27</v>
      </c>
      <c r="M28" s="487">
        <v>19.3</v>
      </c>
      <c r="N28" s="488">
        <v>29.48</v>
      </c>
      <c r="O28" s="491">
        <v>30.35</v>
      </c>
      <c r="P28" s="489">
        <v>25.07</v>
      </c>
      <c r="Q28" s="489">
        <v>35.93</v>
      </c>
      <c r="R28" s="565">
        <f t="shared" si="0"/>
        <v>104.28</v>
      </c>
      <c r="S28" s="295">
        <v>2014</v>
      </c>
      <c r="T28" s="9">
        <f t="shared" si="1"/>
        <v>75.97</v>
      </c>
      <c r="V28" s="643">
        <f t="shared" si="2"/>
        <v>104.28</v>
      </c>
      <c r="W28" s="9">
        <f t="shared" si="3"/>
        <v>49.66</v>
      </c>
    </row>
    <row r="29" spans="1:23" x14ac:dyDescent="0.2">
      <c r="A29" s="295">
        <v>2015</v>
      </c>
      <c r="B29" s="344">
        <v>766</v>
      </c>
      <c r="C29" s="496">
        <v>13.41</v>
      </c>
      <c r="D29" s="453">
        <v>11.58</v>
      </c>
      <c r="E29" s="453">
        <v>15.23</v>
      </c>
      <c r="F29" s="166">
        <v>4.3499999999999996</v>
      </c>
      <c r="G29" s="483">
        <v>3.6</v>
      </c>
      <c r="H29" s="483">
        <v>5.21</v>
      </c>
      <c r="I29" s="494">
        <v>9.6</v>
      </c>
      <c r="J29" s="485">
        <v>7.7</v>
      </c>
      <c r="K29" s="485">
        <v>11.65</v>
      </c>
      <c r="L29" s="493">
        <v>26.89</v>
      </c>
      <c r="M29" s="487">
        <v>20.98</v>
      </c>
      <c r="N29" s="488">
        <v>33.15</v>
      </c>
      <c r="O29" s="491">
        <v>16.02</v>
      </c>
      <c r="P29" s="489">
        <v>11.73</v>
      </c>
      <c r="Q29" s="489">
        <v>21</v>
      </c>
      <c r="R29" s="565">
        <f t="shared" si="0"/>
        <v>70.27</v>
      </c>
      <c r="S29" s="295">
        <v>2015</v>
      </c>
      <c r="T29" s="9">
        <f t="shared" si="1"/>
        <v>60.67</v>
      </c>
      <c r="V29" s="643">
        <f t="shared" si="2"/>
        <v>70.27</v>
      </c>
      <c r="W29" s="9">
        <f t="shared" si="3"/>
        <v>27.36</v>
      </c>
    </row>
    <row r="30" spans="1:23" x14ac:dyDescent="0.2">
      <c r="A30" s="295">
        <v>2016</v>
      </c>
      <c r="B30" s="344">
        <v>766</v>
      </c>
      <c r="C30" s="496">
        <v>11.81</v>
      </c>
      <c r="D30" s="453">
        <v>9.73</v>
      </c>
      <c r="E30" s="453">
        <v>14.09</v>
      </c>
      <c r="F30" s="166">
        <v>5.81</v>
      </c>
      <c r="G30" s="483">
        <v>4.74</v>
      </c>
      <c r="H30" s="483">
        <v>7.02</v>
      </c>
      <c r="I30" s="494">
        <v>7.14</v>
      </c>
      <c r="J30" s="485">
        <v>5.26</v>
      </c>
      <c r="K30" s="485">
        <v>9.4499999999999993</v>
      </c>
      <c r="L30" s="493">
        <v>23.89</v>
      </c>
      <c r="M30" s="487">
        <v>18.84</v>
      </c>
      <c r="N30" s="488">
        <v>29.68</v>
      </c>
      <c r="O30" s="491">
        <v>10.86</v>
      </c>
      <c r="P30" s="489">
        <v>8.91</v>
      </c>
      <c r="Q30" s="489">
        <v>12.95</v>
      </c>
      <c r="R30" s="565">
        <f t="shared" si="0"/>
        <v>59.510000000000005</v>
      </c>
      <c r="S30" s="295">
        <v>2016</v>
      </c>
      <c r="T30" s="9">
        <f t="shared" si="1"/>
        <v>52.370000000000005</v>
      </c>
      <c r="V30" s="643">
        <f t="shared" si="2"/>
        <v>59.510000000000005</v>
      </c>
      <c r="W30" s="9">
        <f t="shared" si="3"/>
        <v>24.759999999999998</v>
      </c>
    </row>
    <row r="31" spans="1:23" x14ac:dyDescent="0.2">
      <c r="A31" s="295">
        <v>2017</v>
      </c>
      <c r="B31" s="344">
        <v>764</v>
      </c>
      <c r="C31" s="496">
        <v>7.8</v>
      </c>
      <c r="D31" s="453">
        <v>6.24</v>
      </c>
      <c r="E31" s="453">
        <v>9.5500000000000007</v>
      </c>
      <c r="F31" s="166">
        <v>9.09</v>
      </c>
      <c r="G31" s="483">
        <v>7.82</v>
      </c>
      <c r="H31" s="483">
        <v>10.45</v>
      </c>
      <c r="I31" s="494">
        <v>17.16</v>
      </c>
      <c r="J31" s="485">
        <v>13.46</v>
      </c>
      <c r="K31" s="485">
        <v>21.3</v>
      </c>
      <c r="L31" s="493">
        <v>28.55</v>
      </c>
      <c r="M31" s="487">
        <v>23.14</v>
      </c>
      <c r="N31" s="488">
        <v>34.39</v>
      </c>
      <c r="O31" s="491">
        <v>14.49</v>
      </c>
      <c r="P31" s="489">
        <v>11.5</v>
      </c>
      <c r="Q31" s="489">
        <v>17.600000000000001</v>
      </c>
      <c r="R31" s="565">
        <f t="shared" si="0"/>
        <v>77.089999999999989</v>
      </c>
      <c r="S31" s="295">
        <v>2017</v>
      </c>
      <c r="T31" s="9">
        <f t="shared" si="1"/>
        <v>59.93</v>
      </c>
      <c r="V31" s="643">
        <f t="shared" si="2"/>
        <v>77.089999999999989</v>
      </c>
      <c r="W31" s="9">
        <f t="shared" si="3"/>
        <v>34.049999999999997</v>
      </c>
    </row>
    <row r="32" spans="1:23" x14ac:dyDescent="0.2">
      <c r="A32" s="295">
        <v>2018</v>
      </c>
      <c r="B32" s="344">
        <v>770</v>
      </c>
      <c r="C32" s="496">
        <v>8.59</v>
      </c>
      <c r="D32" s="453">
        <v>7.23</v>
      </c>
      <c r="E32" s="453">
        <v>10.050000000000001</v>
      </c>
      <c r="F32" s="166">
        <v>5.95</v>
      </c>
      <c r="G32" s="483">
        <v>4.68</v>
      </c>
      <c r="H32" s="483">
        <v>7.48</v>
      </c>
      <c r="I32" s="494">
        <v>27.02</v>
      </c>
      <c r="J32" s="485">
        <v>22.13</v>
      </c>
      <c r="K32" s="485">
        <v>32.409999999999997</v>
      </c>
      <c r="L32" s="493">
        <v>23.08</v>
      </c>
      <c r="M32" s="487">
        <v>17.989999999999998</v>
      </c>
      <c r="N32" s="488">
        <v>28.77</v>
      </c>
      <c r="O32" s="491">
        <v>22.22</v>
      </c>
      <c r="P32" s="489">
        <v>18.63</v>
      </c>
      <c r="Q32" s="489">
        <v>26.11</v>
      </c>
      <c r="R32" s="565">
        <f t="shared" si="0"/>
        <v>86.86</v>
      </c>
      <c r="S32" s="295">
        <v>2018</v>
      </c>
      <c r="T32" s="9">
        <f t="shared" si="1"/>
        <v>59.839999999999996</v>
      </c>
      <c r="V32" s="643">
        <f t="shared" si="2"/>
        <v>86.86</v>
      </c>
      <c r="W32" s="9">
        <f t="shared" si="3"/>
        <v>41.56</v>
      </c>
    </row>
    <row r="33" spans="1:19" x14ac:dyDescent="0.2">
      <c r="A33" s="6"/>
      <c r="B33" s="2"/>
      <c r="C33" s="9"/>
      <c r="D33" s="9"/>
      <c r="E33" s="9"/>
      <c r="F33" s="9"/>
      <c r="G33" s="9"/>
      <c r="H33" s="9"/>
      <c r="I33" s="18"/>
      <c r="J33" s="18"/>
      <c r="K33" s="18"/>
      <c r="S33" s="295"/>
    </row>
    <row r="34" spans="1:19" ht="15.95" customHeight="1" x14ac:dyDescent="0.2">
      <c r="A34" s="224" t="s">
        <v>355</v>
      </c>
      <c r="B34" s="224">
        <f>AVERAGE(B11:B25)</f>
        <v>706.8</v>
      </c>
      <c r="C34" s="225">
        <f>AVERAGE(C9:C32)</f>
        <v>12.026466249999999</v>
      </c>
      <c r="D34" s="225"/>
      <c r="E34" s="225"/>
      <c r="F34" s="225">
        <f>AVERAGE(F11:F32)</f>
        <v>7.4331818181818168</v>
      </c>
      <c r="G34" s="225"/>
      <c r="H34" s="225"/>
      <c r="I34" s="225">
        <f>AVERAGE(I11:I32)</f>
        <v>29.571818181818177</v>
      </c>
      <c r="J34" s="225"/>
      <c r="K34" s="225"/>
      <c r="L34" s="225">
        <f>AVERAGE(L11:L32)</f>
        <v>22.31</v>
      </c>
      <c r="M34" s="225"/>
      <c r="N34" s="225"/>
      <c r="O34" s="225">
        <f>AVERAGE(O11:O32)</f>
        <v>18.473181818181821</v>
      </c>
    </row>
    <row r="35" spans="1:19" x14ac:dyDescent="0.2">
      <c r="A35" s="6"/>
      <c r="B35" s="2"/>
      <c r="C35" s="2"/>
      <c r="D35" s="2"/>
      <c r="E35" s="2"/>
      <c r="F35" s="7"/>
      <c r="G35" s="7"/>
      <c r="H35" s="7"/>
    </row>
    <row r="36" spans="1:19" x14ac:dyDescent="0.2">
      <c r="A36" s="74" t="s">
        <v>221</v>
      </c>
      <c r="B36" s="2"/>
      <c r="C36" s="2"/>
      <c r="D36" s="2"/>
      <c r="E36" s="2"/>
    </row>
    <row r="37" spans="1:19" x14ac:dyDescent="0.2">
      <c r="A37" s="74" t="s">
        <v>289</v>
      </c>
      <c r="B37" s="2"/>
      <c r="C37" s="2"/>
      <c r="D37" s="2"/>
      <c r="E37" s="2"/>
    </row>
    <row r="38" spans="1:19" ht="13.5" thickBot="1" x14ac:dyDescent="0.25">
      <c r="A38" s="6"/>
      <c r="B38" s="2"/>
      <c r="C38" s="2"/>
      <c r="D38" s="2"/>
      <c r="E38" s="2"/>
    </row>
    <row r="39" spans="1:19" x14ac:dyDescent="0.2">
      <c r="A39" s="236"/>
      <c r="B39" s="513" t="s">
        <v>709</v>
      </c>
      <c r="C39" s="237"/>
      <c r="D39" s="2"/>
      <c r="E39" s="2"/>
    </row>
    <row r="40" spans="1:19" ht="13.5" thickBot="1" x14ac:dyDescent="0.25">
      <c r="A40" s="238"/>
      <c r="B40" s="243" t="s">
        <v>384</v>
      </c>
      <c r="C40" s="245" t="s">
        <v>385</v>
      </c>
      <c r="D40" s="2"/>
      <c r="E40" s="2"/>
    </row>
    <row r="41" spans="1:19" x14ac:dyDescent="0.2">
      <c r="A41" s="240" t="s">
        <v>386</v>
      </c>
      <c r="B41" s="239">
        <f>STDEV(C9:C30)</f>
        <v>6.1184869473956116</v>
      </c>
      <c r="C41" s="241">
        <f>B41/C34</f>
        <v>0.50875184947994279</v>
      </c>
      <c r="D41" s="2"/>
      <c r="E41" s="2"/>
    </row>
    <row r="42" spans="1:19" x14ac:dyDescent="0.2">
      <c r="A42" s="240" t="s">
        <v>387</v>
      </c>
      <c r="B42" s="239">
        <f>STDEV(F11:F30)</f>
        <v>3.0307971419726352</v>
      </c>
      <c r="C42" s="241">
        <f>B42/F34</f>
        <v>0.40773886824067745</v>
      </c>
      <c r="D42" s="2"/>
      <c r="E42" s="2"/>
    </row>
    <row r="43" spans="1:19" x14ac:dyDescent="0.2">
      <c r="A43" s="240" t="s">
        <v>388</v>
      </c>
      <c r="B43" s="239">
        <f>STDEV(I11:I30)</f>
        <v>16.231315411882058</v>
      </c>
      <c r="C43" s="241">
        <f>B43/I34</f>
        <v>0.54887783064558593</v>
      </c>
      <c r="D43" s="2"/>
      <c r="E43" s="2"/>
    </row>
    <row r="44" spans="1:19" x14ac:dyDescent="0.2">
      <c r="A44" s="240" t="s">
        <v>389</v>
      </c>
      <c r="B44" s="239">
        <f>STDEV(L11:L30)</f>
        <v>13.827087631472542</v>
      </c>
      <c r="C44" s="241">
        <f>B44/L34</f>
        <v>0.61977084856443487</v>
      </c>
      <c r="D44" s="2"/>
      <c r="E44" s="2"/>
    </row>
    <row r="45" spans="1:19" ht="13.5" thickBot="1" x14ac:dyDescent="0.25">
      <c r="A45" s="242" t="s">
        <v>481</v>
      </c>
      <c r="B45" s="243">
        <f>STDEV(O11:O30)</f>
        <v>8.5272525963586414</v>
      </c>
      <c r="C45" s="244">
        <f>B45/O34</f>
        <v>0.46160172515413028</v>
      </c>
      <c r="D45" s="2"/>
      <c r="E45" s="2"/>
    </row>
    <row r="46" spans="1:19" x14ac:dyDescent="0.2">
      <c r="A46" s="2"/>
      <c r="B46" s="2"/>
      <c r="C46" s="2"/>
      <c r="D46" s="2"/>
      <c r="E46" s="2"/>
    </row>
    <row r="47" spans="1:19" x14ac:dyDescent="0.2">
      <c r="A47" s="2"/>
      <c r="B47" s="2"/>
      <c r="C47" s="2"/>
      <c r="D47" s="2"/>
      <c r="E47" s="2"/>
    </row>
    <row r="48" spans="1:19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83" spans="3:17" x14ac:dyDescent="0.2">
      <c r="D83" s="20" t="s">
        <v>386</v>
      </c>
      <c r="J83" s="20" t="s">
        <v>388</v>
      </c>
    </row>
    <row r="84" spans="3:17" x14ac:dyDescent="0.2">
      <c r="D84" t="s">
        <v>370</v>
      </c>
      <c r="E84" t="s">
        <v>371</v>
      </c>
      <c r="J84" t="s">
        <v>370</v>
      </c>
      <c r="K84" t="s">
        <v>371</v>
      </c>
    </row>
    <row r="85" spans="3:17" x14ac:dyDescent="0.2">
      <c r="C85" s="6">
        <v>1995</v>
      </c>
      <c r="D85" s="11">
        <f>C9-D9</f>
        <v>4.4584999999999999</v>
      </c>
      <c r="E85" s="11">
        <f>E9-C9</f>
        <v>6.0465</v>
      </c>
      <c r="G85" s="20" t="s">
        <v>674</v>
      </c>
      <c r="I85" s="6">
        <v>1995</v>
      </c>
      <c r="M85" s="20" t="s">
        <v>389</v>
      </c>
      <c r="O85" s="6">
        <v>1995</v>
      </c>
    </row>
    <row r="86" spans="3:17" x14ac:dyDescent="0.2">
      <c r="C86" s="6">
        <v>1996</v>
      </c>
      <c r="D86" s="11">
        <f>C10-D10</f>
        <v>2.6637899999999997</v>
      </c>
      <c r="E86" s="11">
        <f>E10-C10</f>
        <v>4.2234099999999994</v>
      </c>
      <c r="G86" t="s">
        <v>370</v>
      </c>
      <c r="H86" t="s">
        <v>371</v>
      </c>
      <c r="I86" s="6">
        <v>1996</v>
      </c>
      <c r="M86" t="s">
        <v>370</v>
      </c>
      <c r="N86" t="s">
        <v>371</v>
      </c>
      <c r="O86" s="6">
        <v>1996</v>
      </c>
      <c r="P86" t="s">
        <v>370</v>
      </c>
      <c r="Q86" t="s">
        <v>371</v>
      </c>
    </row>
    <row r="87" spans="3:17" x14ac:dyDescent="0.2">
      <c r="C87" s="295">
        <v>1997</v>
      </c>
      <c r="D87" s="11">
        <f>C11-D11</f>
        <v>1.67</v>
      </c>
      <c r="E87" s="11">
        <f>E11-C11</f>
        <v>2.0700000000000003</v>
      </c>
      <c r="G87" s="11">
        <f>F11-G11</f>
        <v>1.3599999999999999</v>
      </c>
      <c r="H87" s="11">
        <f>H11-F11</f>
        <v>1.5200000000000005</v>
      </c>
      <c r="I87" s="295">
        <v>1997</v>
      </c>
      <c r="J87" s="11">
        <f>I11-J11</f>
        <v>14.370000000000001</v>
      </c>
      <c r="K87" s="11">
        <f>K11-I11</f>
        <v>16.93</v>
      </c>
      <c r="M87" s="11">
        <f>L11-M11</f>
        <v>0</v>
      </c>
      <c r="N87" s="11">
        <f>N11-L11</f>
        <v>0</v>
      </c>
      <c r="O87" s="295">
        <v>1997</v>
      </c>
      <c r="P87" s="11">
        <f>O11-P11</f>
        <v>3.9399999999999995</v>
      </c>
      <c r="Q87" s="11">
        <f>Q11-O11</f>
        <v>5.34</v>
      </c>
    </row>
    <row r="88" spans="3:17" x14ac:dyDescent="0.2">
      <c r="C88" s="295">
        <v>1998</v>
      </c>
      <c r="D88" s="11">
        <f t="shared" ref="D88:D96" si="4">C12-D12</f>
        <v>0.80000000000000027</v>
      </c>
      <c r="E88" s="11">
        <f t="shared" ref="E88:E96" si="5">E12-C12</f>
        <v>0.87999999999999989</v>
      </c>
      <c r="G88" s="11">
        <f t="shared" ref="G88:G98" si="6">F12-G12</f>
        <v>0.87000000000000011</v>
      </c>
      <c r="H88" s="11">
        <f t="shared" ref="H88:H98" si="7">H12-F12</f>
        <v>0.96</v>
      </c>
      <c r="I88" s="295">
        <v>1998</v>
      </c>
      <c r="J88" s="11">
        <f t="shared" ref="J88:J96" si="8">I12-J12</f>
        <v>5.1099999999999994</v>
      </c>
      <c r="K88" s="11">
        <f t="shared" ref="K88:K96" si="9">K12-I12</f>
        <v>5.92</v>
      </c>
      <c r="M88" s="11">
        <f t="shared" ref="M88:M96" si="10">L12-M12</f>
        <v>0.75</v>
      </c>
      <c r="N88" s="11">
        <f t="shared" ref="N88:N96" si="11">N12-L12</f>
        <v>2.58</v>
      </c>
      <c r="O88" s="295">
        <v>1998</v>
      </c>
      <c r="P88" s="11">
        <f t="shared" ref="P88:P96" si="12">O12-P12</f>
        <v>8.1099999999999977</v>
      </c>
      <c r="Q88" s="11">
        <f t="shared" ref="Q88:Q96" si="13">Q12-O12</f>
        <v>9.7600000000000016</v>
      </c>
    </row>
    <row r="89" spans="3:17" x14ac:dyDescent="0.2">
      <c r="C89" s="295">
        <v>1999</v>
      </c>
      <c r="D89" s="11">
        <f t="shared" si="4"/>
        <v>1.62</v>
      </c>
      <c r="E89" s="11">
        <f t="shared" si="5"/>
        <v>1.8599999999999994</v>
      </c>
      <c r="G89" s="11">
        <f t="shared" si="6"/>
        <v>0.91999999999999993</v>
      </c>
      <c r="H89" s="11">
        <f t="shared" si="7"/>
        <v>1.04</v>
      </c>
      <c r="I89" s="295">
        <v>1999</v>
      </c>
      <c r="J89" s="11">
        <f t="shared" si="8"/>
        <v>9.56</v>
      </c>
      <c r="K89" s="11">
        <f t="shared" si="9"/>
        <v>10.399999999999999</v>
      </c>
      <c r="M89" s="11">
        <f t="shared" si="10"/>
        <v>2.1800000000000002</v>
      </c>
      <c r="N89" s="11">
        <f t="shared" si="11"/>
        <v>3.0999999999999996</v>
      </c>
      <c r="O89" s="295">
        <v>1999</v>
      </c>
      <c r="P89" s="11">
        <f t="shared" si="12"/>
        <v>4.9499999999999993</v>
      </c>
      <c r="Q89" s="11">
        <f t="shared" si="13"/>
        <v>5.6600000000000019</v>
      </c>
    </row>
    <row r="90" spans="3:17" x14ac:dyDescent="0.2">
      <c r="C90" s="295">
        <v>2000</v>
      </c>
      <c r="D90" s="11">
        <f t="shared" si="4"/>
        <v>0.78000000000000025</v>
      </c>
      <c r="E90" s="11">
        <f t="shared" si="5"/>
        <v>0.79</v>
      </c>
      <c r="G90" s="11">
        <f t="shared" si="6"/>
        <v>0.75</v>
      </c>
      <c r="H90" s="11">
        <f t="shared" si="7"/>
        <v>0.87999999999999989</v>
      </c>
      <c r="I90" s="295">
        <v>2000</v>
      </c>
      <c r="J90" s="11">
        <f t="shared" si="8"/>
        <v>4.49</v>
      </c>
      <c r="K90" s="11">
        <f t="shared" si="9"/>
        <v>5.3900000000000006</v>
      </c>
      <c r="M90" s="11">
        <f t="shared" si="10"/>
        <v>5.2299999999999986</v>
      </c>
      <c r="N90" s="11">
        <f t="shared" si="11"/>
        <v>5.870000000000001</v>
      </c>
      <c r="O90" s="295">
        <v>2000</v>
      </c>
      <c r="P90" s="11">
        <f t="shared" si="12"/>
        <v>3.3800000000000008</v>
      </c>
      <c r="Q90" s="11">
        <f t="shared" si="13"/>
        <v>3.75</v>
      </c>
    </row>
    <row r="91" spans="3:17" x14ac:dyDescent="0.2">
      <c r="C91" s="295">
        <v>2001</v>
      </c>
      <c r="D91" s="11">
        <f t="shared" si="4"/>
        <v>2.1400000000000006</v>
      </c>
      <c r="E91" s="11">
        <f t="shared" si="5"/>
        <v>2.34</v>
      </c>
      <c r="G91" s="11">
        <f t="shared" si="6"/>
        <v>1.1799999999999997</v>
      </c>
      <c r="H91" s="11">
        <f t="shared" si="7"/>
        <v>1.2599999999999998</v>
      </c>
      <c r="I91" s="295">
        <v>2001</v>
      </c>
      <c r="J91" s="11">
        <f t="shared" si="8"/>
        <v>9.6899999999999977</v>
      </c>
      <c r="K91" s="11">
        <f t="shared" si="9"/>
        <v>10.54</v>
      </c>
      <c r="M91" s="11">
        <f t="shared" si="10"/>
        <v>7.0900000000000034</v>
      </c>
      <c r="N91" s="11">
        <f t="shared" si="11"/>
        <v>7.82</v>
      </c>
      <c r="O91" s="295">
        <v>2001</v>
      </c>
      <c r="P91" s="11">
        <f t="shared" si="12"/>
        <v>2.7300000000000004</v>
      </c>
      <c r="Q91" s="11">
        <f t="shared" si="13"/>
        <v>2.8999999999999986</v>
      </c>
    </row>
    <row r="92" spans="3:17" x14ac:dyDescent="0.2">
      <c r="C92" s="295">
        <v>2002</v>
      </c>
      <c r="D92" s="11">
        <f t="shared" si="4"/>
        <v>1.7199999999999989</v>
      </c>
      <c r="E92" s="11">
        <f t="shared" si="5"/>
        <v>1.9100000000000001</v>
      </c>
      <c r="G92" s="11">
        <f t="shared" si="6"/>
        <v>1.6999999999999993</v>
      </c>
      <c r="H92" s="11">
        <f t="shared" si="7"/>
        <v>1.8399999999999999</v>
      </c>
      <c r="I92" s="295">
        <v>2002</v>
      </c>
      <c r="J92" s="11">
        <f t="shared" si="8"/>
        <v>6.8499999999999979</v>
      </c>
      <c r="K92" s="11">
        <f t="shared" si="9"/>
        <v>7.4600000000000009</v>
      </c>
      <c r="M92" s="11">
        <f t="shared" si="10"/>
        <v>5.9499999999999993</v>
      </c>
      <c r="N92" s="11">
        <f t="shared" si="11"/>
        <v>6.3599999999999994</v>
      </c>
      <c r="O92" s="295">
        <v>2002</v>
      </c>
      <c r="P92" s="11">
        <f t="shared" si="12"/>
        <v>3.25</v>
      </c>
      <c r="Q92" s="11">
        <f t="shared" si="13"/>
        <v>3.6100000000000012</v>
      </c>
    </row>
    <row r="93" spans="3:17" x14ac:dyDescent="0.2">
      <c r="C93" s="295">
        <v>2003</v>
      </c>
      <c r="D93" s="11">
        <f t="shared" si="4"/>
        <v>2.5799999999999983</v>
      </c>
      <c r="E93" s="11">
        <f t="shared" si="5"/>
        <v>2.870000000000001</v>
      </c>
      <c r="G93" s="11">
        <f t="shared" si="6"/>
        <v>1.2100000000000004</v>
      </c>
      <c r="H93" s="11">
        <f t="shared" si="7"/>
        <v>1.42</v>
      </c>
      <c r="I93" s="295">
        <v>2003</v>
      </c>
      <c r="J93" s="11">
        <f t="shared" si="8"/>
        <v>7.8900000000000006</v>
      </c>
      <c r="K93" s="11">
        <f t="shared" si="9"/>
        <v>8.8400000000000034</v>
      </c>
      <c r="M93" s="11">
        <f t="shared" si="10"/>
        <v>4.0799999999999983</v>
      </c>
      <c r="N93" s="11">
        <f t="shared" si="11"/>
        <v>4.3000000000000007</v>
      </c>
      <c r="O93" s="295">
        <v>2003</v>
      </c>
      <c r="P93" s="11">
        <f t="shared" si="12"/>
        <v>4.7199999999999989</v>
      </c>
      <c r="Q93" s="11">
        <f t="shared" si="13"/>
        <v>5.3499999999999979</v>
      </c>
    </row>
    <row r="94" spans="3:17" x14ac:dyDescent="0.2">
      <c r="C94" s="295">
        <v>2004</v>
      </c>
      <c r="D94" s="11">
        <f t="shared" si="4"/>
        <v>1.75</v>
      </c>
      <c r="E94" s="11">
        <f t="shared" si="5"/>
        <v>1.9199999999999982</v>
      </c>
      <c r="G94" s="11">
        <f t="shared" si="6"/>
        <v>1.2000000000000002</v>
      </c>
      <c r="H94" s="11">
        <f t="shared" si="7"/>
        <v>1.2999999999999998</v>
      </c>
      <c r="I94" s="295">
        <v>2004</v>
      </c>
      <c r="J94" s="11">
        <f t="shared" si="8"/>
        <v>10.11</v>
      </c>
      <c r="K94" s="11">
        <f t="shared" si="9"/>
        <v>11.969999999999999</v>
      </c>
      <c r="M94" s="11">
        <f t="shared" si="10"/>
        <v>4.3000000000000007</v>
      </c>
      <c r="N94" s="11">
        <f t="shared" si="11"/>
        <v>5.3099999999999987</v>
      </c>
      <c r="O94" s="295">
        <v>2004</v>
      </c>
      <c r="P94" s="11">
        <f t="shared" si="12"/>
        <v>2.7699999999999996</v>
      </c>
      <c r="Q94" s="11">
        <f t="shared" si="13"/>
        <v>3.1100000000000012</v>
      </c>
    </row>
    <row r="95" spans="3:17" x14ac:dyDescent="0.2">
      <c r="C95" s="295">
        <v>2005</v>
      </c>
      <c r="D95" s="11">
        <f t="shared" si="4"/>
        <v>2.4899999999999984</v>
      </c>
      <c r="E95" s="11">
        <f t="shared" si="5"/>
        <v>2.7000000000000011</v>
      </c>
      <c r="G95" s="11">
        <f t="shared" si="6"/>
        <v>1.0699999999999994</v>
      </c>
      <c r="H95" s="11">
        <f t="shared" si="7"/>
        <v>1.1500000000000004</v>
      </c>
      <c r="I95" s="295">
        <v>2005</v>
      </c>
      <c r="J95" s="11">
        <f t="shared" si="8"/>
        <v>4.0600000000000005</v>
      </c>
      <c r="K95" s="11">
        <f t="shared" si="9"/>
        <v>4.5299999999999976</v>
      </c>
      <c r="M95" s="11">
        <f t="shared" si="10"/>
        <v>5.7100000000000009</v>
      </c>
      <c r="N95" s="11">
        <f t="shared" si="11"/>
        <v>6.1700000000000017</v>
      </c>
      <c r="O95" s="295">
        <v>2005</v>
      </c>
      <c r="P95" s="11">
        <f t="shared" si="12"/>
        <v>5.4500000000000028</v>
      </c>
      <c r="Q95" s="11">
        <f t="shared" si="13"/>
        <v>5.93</v>
      </c>
    </row>
    <row r="96" spans="3:17" x14ac:dyDescent="0.2">
      <c r="C96" s="295">
        <v>2006</v>
      </c>
      <c r="D96" s="11">
        <f t="shared" si="4"/>
        <v>3.0200000000000031</v>
      </c>
      <c r="E96" s="11">
        <f t="shared" si="5"/>
        <v>3.1699999999999982</v>
      </c>
      <c r="G96" s="11">
        <f t="shared" si="6"/>
        <v>1.3299999999999992</v>
      </c>
      <c r="H96" s="11">
        <f t="shared" si="7"/>
        <v>1.3600000000000012</v>
      </c>
      <c r="I96" s="295">
        <v>2006</v>
      </c>
      <c r="J96" s="11">
        <f t="shared" si="8"/>
        <v>4.0300000000000011</v>
      </c>
      <c r="K96" s="11">
        <f t="shared" si="9"/>
        <v>4.009999999999998</v>
      </c>
      <c r="M96" s="11">
        <f t="shared" si="10"/>
        <v>5.7899999999999991</v>
      </c>
      <c r="N96" s="11">
        <f t="shared" si="11"/>
        <v>6.34</v>
      </c>
      <c r="O96" s="295">
        <v>2006</v>
      </c>
      <c r="P96" s="11">
        <f t="shared" si="12"/>
        <v>3.6899999999999977</v>
      </c>
      <c r="Q96" s="11">
        <f t="shared" si="13"/>
        <v>4</v>
      </c>
    </row>
    <row r="97" spans="1:17" x14ac:dyDescent="0.2">
      <c r="C97" s="295">
        <v>2007</v>
      </c>
      <c r="D97" s="11">
        <f t="shared" ref="D97:D106" si="14">C21-D21</f>
        <v>2.75</v>
      </c>
      <c r="E97" s="11">
        <f t="shared" ref="E97:E106" si="15">E21-C21</f>
        <v>2.9699999999999989</v>
      </c>
      <c r="G97" s="11">
        <f t="shared" si="6"/>
        <v>1.6600000000000001</v>
      </c>
      <c r="H97" s="11">
        <f t="shared" si="7"/>
        <v>1.7699999999999996</v>
      </c>
      <c r="I97" s="295">
        <v>2007</v>
      </c>
      <c r="J97" s="11">
        <f t="shared" ref="J97:J104" si="16">I21-J21</f>
        <v>7.4899999999999949</v>
      </c>
      <c r="K97" s="11">
        <f t="shared" ref="K97:K104" si="17">K21-I21</f>
        <v>8.0600000000000023</v>
      </c>
      <c r="M97" s="11">
        <f t="shared" ref="M97:M102" si="18">L21-M21</f>
        <v>5.7800000000000011</v>
      </c>
      <c r="N97" s="11">
        <f t="shared" ref="N97:N102" si="19">N21-L21</f>
        <v>5.879999999999999</v>
      </c>
      <c r="O97" s="295">
        <v>2007</v>
      </c>
      <c r="P97" s="11">
        <f t="shared" ref="P97:P102" si="20">O21-P21</f>
        <v>3.8200000000000003</v>
      </c>
      <c r="Q97" s="11">
        <f t="shared" ref="Q97:Q102" si="21">Q21-O21</f>
        <v>4</v>
      </c>
    </row>
    <row r="98" spans="1:17" x14ac:dyDescent="0.2">
      <c r="A98" t="s">
        <v>397</v>
      </c>
      <c r="C98" s="295">
        <v>2008</v>
      </c>
      <c r="D98" s="11">
        <f t="shared" si="14"/>
        <v>2.2600000000000016</v>
      </c>
      <c r="E98" s="11">
        <f t="shared" si="15"/>
        <v>2.3499999999999996</v>
      </c>
      <c r="G98" s="11">
        <f t="shared" si="6"/>
        <v>1.83</v>
      </c>
      <c r="H98" s="11">
        <f t="shared" si="7"/>
        <v>1.9299999999999997</v>
      </c>
      <c r="I98" s="295">
        <v>2008</v>
      </c>
      <c r="J98" s="11">
        <f t="shared" si="16"/>
        <v>11.030000000000001</v>
      </c>
      <c r="K98" s="11">
        <f t="shared" si="17"/>
        <v>11.450000000000003</v>
      </c>
      <c r="M98" s="11">
        <f t="shared" si="18"/>
        <v>4.2399999999999984</v>
      </c>
      <c r="N98" s="11">
        <f t="shared" si="19"/>
        <v>4.7200000000000024</v>
      </c>
      <c r="O98" s="295">
        <v>2008</v>
      </c>
      <c r="P98" s="11">
        <f t="shared" si="20"/>
        <v>2.8800000000000008</v>
      </c>
      <c r="Q98" s="11">
        <f t="shared" si="21"/>
        <v>3.37</v>
      </c>
    </row>
    <row r="99" spans="1:17" x14ac:dyDescent="0.2">
      <c r="C99" s="295">
        <v>2009</v>
      </c>
      <c r="D99" s="11">
        <f t="shared" si="14"/>
        <v>1.25</v>
      </c>
      <c r="E99" s="11">
        <f t="shared" si="15"/>
        <v>1.4099999999999993</v>
      </c>
      <c r="G99" s="11">
        <f>F23-G23</f>
        <v>0.99000000000000021</v>
      </c>
      <c r="H99" s="11">
        <f>H23-F23</f>
        <v>1.0499999999999998</v>
      </c>
      <c r="I99" s="295">
        <v>2009</v>
      </c>
      <c r="J99" s="11">
        <f t="shared" si="16"/>
        <v>5.2700000000000031</v>
      </c>
      <c r="K99" s="11">
        <f t="shared" si="17"/>
        <v>5.6199999999999974</v>
      </c>
      <c r="M99" s="11">
        <f t="shared" si="18"/>
        <v>2.99</v>
      </c>
      <c r="N99" s="11">
        <f t="shared" si="19"/>
        <v>3.3299999999999983</v>
      </c>
      <c r="O99" s="295">
        <v>2009</v>
      </c>
      <c r="P99" s="11">
        <f t="shared" si="20"/>
        <v>4.1899999999999995</v>
      </c>
      <c r="Q99" s="11">
        <f t="shared" si="21"/>
        <v>5.3500000000000014</v>
      </c>
    </row>
    <row r="100" spans="1:17" x14ac:dyDescent="0.2">
      <c r="C100" s="295">
        <v>2010</v>
      </c>
      <c r="D100" s="11">
        <f t="shared" si="14"/>
        <v>2.1099999999999994</v>
      </c>
      <c r="E100" s="11">
        <f t="shared" si="15"/>
        <v>2.2699999999999996</v>
      </c>
      <c r="G100" s="11">
        <f>F24-G24</f>
        <v>1.6999999999999993</v>
      </c>
      <c r="H100" s="11">
        <f>H24-F24</f>
        <v>1.83</v>
      </c>
      <c r="I100" s="295">
        <v>2010</v>
      </c>
      <c r="J100" s="11">
        <f t="shared" si="16"/>
        <v>7.370000000000001</v>
      </c>
      <c r="K100" s="11">
        <f t="shared" si="17"/>
        <v>8.519999999999996</v>
      </c>
      <c r="M100" s="11">
        <f t="shared" si="18"/>
        <v>11.119999999999997</v>
      </c>
      <c r="N100" s="11">
        <f t="shared" si="19"/>
        <v>11.680000000000007</v>
      </c>
      <c r="O100" s="295">
        <v>2010</v>
      </c>
      <c r="P100" s="11">
        <f t="shared" si="20"/>
        <v>9.0699999999999967</v>
      </c>
      <c r="Q100" s="11">
        <f t="shared" si="21"/>
        <v>9.9699999999999989</v>
      </c>
    </row>
    <row r="101" spans="1:17" x14ac:dyDescent="0.2">
      <c r="C101" s="295">
        <v>2011</v>
      </c>
      <c r="D101" s="11">
        <f t="shared" si="14"/>
        <v>7.4200000000000017</v>
      </c>
      <c r="E101" s="11">
        <f t="shared" si="15"/>
        <v>14.149999999999999</v>
      </c>
      <c r="G101" s="11">
        <f>F25-G25</f>
        <v>1.4600000000000009</v>
      </c>
      <c r="H101" s="11">
        <f>H25-F25</f>
        <v>1.5199999999999996</v>
      </c>
      <c r="I101" s="295">
        <v>2011</v>
      </c>
      <c r="J101" s="11">
        <f t="shared" si="16"/>
        <v>4.610000000000003</v>
      </c>
      <c r="K101" s="11">
        <f t="shared" si="17"/>
        <v>4.9899999999999984</v>
      </c>
      <c r="M101" s="11">
        <f t="shared" si="18"/>
        <v>6.1199999999999974</v>
      </c>
      <c r="N101" s="11">
        <f t="shared" si="19"/>
        <v>6.6200000000000045</v>
      </c>
      <c r="O101" s="295">
        <v>2011</v>
      </c>
      <c r="P101" s="11">
        <f t="shared" si="20"/>
        <v>4.9399999999999995</v>
      </c>
      <c r="Q101" s="11">
        <f t="shared" si="21"/>
        <v>6.0800000000000018</v>
      </c>
    </row>
    <row r="102" spans="1:17" x14ac:dyDescent="0.2">
      <c r="C102" s="295">
        <v>2012</v>
      </c>
      <c r="D102" s="11">
        <f t="shared" si="14"/>
        <v>2.5</v>
      </c>
      <c r="E102" s="11">
        <f t="shared" si="15"/>
        <v>2.879999999999999</v>
      </c>
      <c r="G102" s="11">
        <f>F26-G26</f>
        <v>1.6000000000000005</v>
      </c>
      <c r="H102" s="11">
        <f>H26-F26</f>
        <v>1.7299999999999986</v>
      </c>
      <c r="I102" s="295">
        <v>2012</v>
      </c>
      <c r="J102" s="11">
        <f t="shared" si="16"/>
        <v>6.25</v>
      </c>
      <c r="K102" s="11">
        <f t="shared" si="17"/>
        <v>7.0300000000000011</v>
      </c>
      <c r="M102" s="11">
        <f t="shared" si="18"/>
        <v>3.0400000000000009</v>
      </c>
      <c r="N102" s="11">
        <f t="shared" si="19"/>
        <v>3.4099999999999984</v>
      </c>
      <c r="O102" s="295">
        <v>2012</v>
      </c>
      <c r="P102" s="11">
        <f t="shared" si="20"/>
        <v>2.9000000000000004</v>
      </c>
      <c r="Q102" s="11">
        <f t="shared" si="21"/>
        <v>3.49</v>
      </c>
    </row>
    <row r="103" spans="1:17" x14ac:dyDescent="0.2">
      <c r="C103" s="295">
        <v>2013</v>
      </c>
      <c r="D103" s="11">
        <f t="shared" si="14"/>
        <v>2.2599999999999998</v>
      </c>
      <c r="E103" s="11">
        <f t="shared" si="15"/>
        <v>1.9399999999999995</v>
      </c>
      <c r="G103" s="11">
        <f t="shared" ref="G103:G104" si="22">F27-G27</f>
        <v>1.6900000000000013</v>
      </c>
      <c r="H103" s="11">
        <f t="shared" ref="H103:H104" si="23">H27-F27</f>
        <v>1.7599999999999998</v>
      </c>
      <c r="I103" s="295">
        <v>2013</v>
      </c>
      <c r="J103" s="11">
        <f t="shared" si="16"/>
        <v>4.1400000000000006</v>
      </c>
      <c r="K103" s="11">
        <f t="shared" si="17"/>
        <v>4.7699999999999996</v>
      </c>
      <c r="M103" s="11">
        <f t="shared" ref="M103:M104" si="24">L27-M27</f>
        <v>7.5600000000000023</v>
      </c>
      <c r="N103" s="11">
        <f t="shared" ref="N103:N104" si="25">N27-L27</f>
        <v>8.3500000000000014</v>
      </c>
      <c r="O103" s="295">
        <v>2013</v>
      </c>
      <c r="P103" s="11">
        <f t="shared" ref="P103:P104" si="26">O27-P27</f>
        <v>4.7200000000000024</v>
      </c>
      <c r="Q103" s="11">
        <f t="shared" ref="Q103:Q104" si="27">Q27-O27</f>
        <v>5.3999999999999986</v>
      </c>
    </row>
    <row r="104" spans="1:17" x14ac:dyDescent="0.2">
      <c r="C104" s="295">
        <v>2014</v>
      </c>
      <c r="D104" s="11">
        <f t="shared" si="14"/>
        <v>2.4400000000000013</v>
      </c>
      <c r="E104" s="11">
        <f t="shared" si="15"/>
        <v>2.5899999999999981</v>
      </c>
      <c r="G104" s="11">
        <f t="shared" si="22"/>
        <v>1.2400000000000002</v>
      </c>
      <c r="H104" s="11">
        <f t="shared" si="23"/>
        <v>1.3600000000000003</v>
      </c>
      <c r="I104" s="295">
        <v>2014</v>
      </c>
      <c r="J104" s="11">
        <f t="shared" si="16"/>
        <v>6.0399999999999991</v>
      </c>
      <c r="K104" s="11">
        <f t="shared" si="17"/>
        <v>6.5400000000000027</v>
      </c>
      <c r="M104" s="11">
        <f t="shared" si="24"/>
        <v>4.9699999999999989</v>
      </c>
      <c r="N104" s="11">
        <f t="shared" si="25"/>
        <v>5.2100000000000009</v>
      </c>
      <c r="O104" s="295">
        <v>2014</v>
      </c>
      <c r="P104" s="11">
        <f t="shared" si="26"/>
        <v>5.2800000000000011</v>
      </c>
      <c r="Q104" s="11">
        <f t="shared" si="27"/>
        <v>5.5799999999999983</v>
      </c>
    </row>
    <row r="105" spans="1:17" x14ac:dyDescent="0.2">
      <c r="C105" s="295">
        <v>2015</v>
      </c>
      <c r="D105" s="11">
        <f t="shared" si="14"/>
        <v>1.83</v>
      </c>
      <c r="E105" s="11">
        <f t="shared" si="15"/>
        <v>1.8200000000000003</v>
      </c>
      <c r="G105" s="11">
        <f t="shared" ref="G105:G106" si="28">F29-G29</f>
        <v>0.74999999999999956</v>
      </c>
      <c r="H105" s="11">
        <f t="shared" ref="H105:H106" si="29">H29-F29</f>
        <v>0.86000000000000032</v>
      </c>
      <c r="I105" s="295">
        <v>2015</v>
      </c>
      <c r="J105" s="11">
        <f t="shared" ref="J105" si="30">I29-J29</f>
        <v>1.8999999999999995</v>
      </c>
      <c r="K105" s="11">
        <f t="shared" ref="K105" si="31">K29-I29</f>
        <v>2.0500000000000007</v>
      </c>
      <c r="M105" s="11">
        <f t="shared" ref="M105" si="32">L29-M29</f>
        <v>5.91</v>
      </c>
      <c r="N105" s="11">
        <f t="shared" ref="N105" si="33">N29-L29</f>
        <v>6.259999999999998</v>
      </c>
      <c r="O105" s="295">
        <v>2015</v>
      </c>
      <c r="P105" s="11">
        <f t="shared" ref="P105" si="34">O29-P29</f>
        <v>4.2899999999999991</v>
      </c>
      <c r="Q105" s="11">
        <f t="shared" ref="Q105" si="35">Q29-O29</f>
        <v>4.9800000000000004</v>
      </c>
    </row>
    <row r="106" spans="1:17" x14ac:dyDescent="0.2">
      <c r="C106" s="295">
        <v>2016</v>
      </c>
      <c r="D106" s="11">
        <f t="shared" si="14"/>
        <v>2.08</v>
      </c>
      <c r="E106" s="11">
        <f t="shared" si="15"/>
        <v>2.2799999999999994</v>
      </c>
      <c r="G106" s="11">
        <f t="shared" si="28"/>
        <v>1.0699999999999994</v>
      </c>
      <c r="H106" s="11">
        <f t="shared" si="29"/>
        <v>1.21</v>
      </c>
      <c r="I106" s="295">
        <v>2016</v>
      </c>
      <c r="J106" s="11">
        <f t="shared" ref="J106" si="36">I30-J30</f>
        <v>1.88</v>
      </c>
      <c r="K106" s="11">
        <f t="shared" ref="K106" si="37">K30-I30</f>
        <v>2.3099999999999996</v>
      </c>
      <c r="M106" s="11">
        <f t="shared" ref="M106" si="38">L30-M30</f>
        <v>5.0500000000000007</v>
      </c>
      <c r="N106" s="11">
        <f t="shared" ref="N106" si="39">N30-L30</f>
        <v>5.7899999999999991</v>
      </c>
      <c r="O106" s="295">
        <v>2016</v>
      </c>
      <c r="P106" s="11">
        <f t="shared" ref="P106" si="40">O30-P30</f>
        <v>1.9499999999999993</v>
      </c>
      <c r="Q106" s="11">
        <f t="shared" ref="Q106" si="41">Q30-O30</f>
        <v>2.09</v>
      </c>
    </row>
    <row r="107" spans="1:17" x14ac:dyDescent="0.2">
      <c r="C107" s="295">
        <v>2017</v>
      </c>
      <c r="D107" s="11">
        <f t="shared" ref="D107" si="42">C31-D31</f>
        <v>1.5599999999999996</v>
      </c>
      <c r="E107" s="11">
        <f t="shared" ref="E107" si="43">E31-C31</f>
        <v>1.7500000000000009</v>
      </c>
      <c r="G107" s="11">
        <f t="shared" ref="G107" si="44">F31-G31</f>
        <v>1.2699999999999996</v>
      </c>
      <c r="H107" s="11">
        <f t="shared" ref="H107" si="45">H31-F31</f>
        <v>1.3599999999999994</v>
      </c>
      <c r="I107" s="295">
        <v>2017</v>
      </c>
      <c r="J107" s="11">
        <f t="shared" ref="J107" si="46">I31-J31</f>
        <v>3.6999999999999993</v>
      </c>
      <c r="K107" s="11">
        <f t="shared" ref="K107" si="47">K31-I31</f>
        <v>4.1400000000000006</v>
      </c>
      <c r="M107" s="11">
        <f t="shared" ref="M107" si="48">L31-M31</f>
        <v>5.41</v>
      </c>
      <c r="N107" s="11">
        <f t="shared" ref="N107" si="49">N31-L31</f>
        <v>5.84</v>
      </c>
      <c r="O107" s="295">
        <v>2017</v>
      </c>
      <c r="P107" s="11">
        <f t="shared" ref="P107" si="50">O31-P31</f>
        <v>2.99</v>
      </c>
      <c r="Q107" s="11">
        <f t="shared" ref="Q107" si="51">Q31-O31</f>
        <v>3.1100000000000012</v>
      </c>
    </row>
    <row r="108" spans="1:17" x14ac:dyDescent="0.2">
      <c r="C108" s="295">
        <v>2018</v>
      </c>
      <c r="D108" s="11">
        <f t="shared" ref="D108" si="52">C32-D32</f>
        <v>1.3599999999999994</v>
      </c>
      <c r="E108" s="11">
        <f t="shared" ref="E108" si="53">E32-C32</f>
        <v>1.4600000000000009</v>
      </c>
      <c r="G108" s="11">
        <f t="shared" ref="G108" si="54">F32-G32</f>
        <v>1.2700000000000005</v>
      </c>
      <c r="H108" s="11">
        <f t="shared" ref="H108" si="55">H32-F32</f>
        <v>1.5300000000000002</v>
      </c>
      <c r="I108" s="295">
        <v>2018</v>
      </c>
      <c r="J108" s="11">
        <f t="shared" ref="J108" si="56">I32-J32</f>
        <v>4.8900000000000006</v>
      </c>
      <c r="K108" s="11">
        <f t="shared" ref="K108" si="57">K32-I32</f>
        <v>5.389999999999997</v>
      </c>
      <c r="M108" s="11">
        <f t="shared" ref="M108" si="58">L32-M32</f>
        <v>5.09</v>
      </c>
      <c r="N108" s="11">
        <f t="shared" ref="N108" si="59">N32-L32</f>
        <v>5.6900000000000013</v>
      </c>
      <c r="O108" s="295">
        <v>2018</v>
      </c>
      <c r="P108" s="11">
        <f t="shared" ref="P108" si="60">O32-P32</f>
        <v>3.59</v>
      </c>
      <c r="Q108" s="11">
        <f t="shared" ref="Q108" si="61">Q32-O32</f>
        <v>3.8900000000000006</v>
      </c>
    </row>
    <row r="109" spans="1:17" x14ac:dyDescent="0.2">
      <c r="C109" s="295"/>
      <c r="D109" s="11"/>
      <c r="E109" s="11"/>
      <c r="G109" s="11"/>
      <c r="H109" s="11"/>
      <c r="I109" s="295"/>
      <c r="J109" s="11"/>
      <c r="K109" s="11"/>
      <c r="M109" s="11"/>
      <c r="N109" s="11"/>
      <c r="O109" s="295"/>
      <c r="P109" s="11"/>
      <c r="Q109" s="11"/>
    </row>
    <row r="110" spans="1:17" x14ac:dyDescent="0.2">
      <c r="D110" s="11"/>
      <c r="E110" s="11"/>
      <c r="G110" s="11"/>
      <c r="H110" s="11"/>
      <c r="J110" s="11"/>
      <c r="K110" s="11"/>
      <c r="M110" s="11"/>
      <c r="N110" s="11"/>
      <c r="P110" s="11"/>
      <c r="Q110" s="11"/>
    </row>
    <row r="111" spans="1:17" x14ac:dyDescent="0.2">
      <c r="A111">
        <v>1995</v>
      </c>
      <c r="B111" s="11">
        <f>6.84*(160/90)</f>
        <v>12.159999999999998</v>
      </c>
      <c r="C111" t="s">
        <v>398</v>
      </c>
      <c r="D111">
        <f>15.41*(160/90)</f>
        <v>27.395555555555553</v>
      </c>
    </row>
    <row r="112" spans="1:17" x14ac:dyDescent="0.2">
      <c r="A112">
        <v>1996</v>
      </c>
      <c r="B112" s="11">
        <f>2.755*(160/90)</f>
        <v>4.8977777777777769</v>
      </c>
      <c r="D112">
        <f>7.61*(160/90)</f>
        <v>13.528888888888888</v>
      </c>
    </row>
    <row r="113" spans="1:9" x14ac:dyDescent="0.2">
      <c r="A113">
        <v>1997</v>
      </c>
      <c r="B113" s="11">
        <f>1.6244*(160/90)</f>
        <v>2.8878222222222223</v>
      </c>
      <c r="D113">
        <f>4.1*(160/90)</f>
        <v>7.2888888888888879</v>
      </c>
    </row>
    <row r="116" spans="1:9" x14ac:dyDescent="0.2">
      <c r="A116">
        <v>1995</v>
      </c>
      <c r="B116">
        <v>2.5284399999999998</v>
      </c>
      <c r="C116">
        <v>4.8160800000000004</v>
      </c>
      <c r="D116">
        <f>AVERAGE(B116:B118)</f>
        <v>6.8377433333333331</v>
      </c>
      <c r="E116">
        <f>AVERAGE(C116:C118)</f>
        <v>15.410089999999999</v>
      </c>
      <c r="G116">
        <v>1995.15</v>
      </c>
      <c r="H116">
        <v>4.8160800000000004</v>
      </c>
      <c r="I116" t="s">
        <v>399</v>
      </c>
    </row>
    <row r="117" spans="1:9" x14ac:dyDescent="0.2">
      <c r="A117">
        <v>1995</v>
      </c>
      <c r="B117">
        <v>16.1706</v>
      </c>
      <c r="C117">
        <v>37.600099999999998</v>
      </c>
      <c r="G117">
        <v>1995.42</v>
      </c>
      <c r="H117">
        <v>37.600099999999998</v>
      </c>
    </row>
    <row r="118" spans="1:9" x14ac:dyDescent="0.2">
      <c r="A118">
        <v>1995</v>
      </c>
      <c r="B118">
        <v>1.81419</v>
      </c>
      <c r="C118">
        <v>3.8140900000000002</v>
      </c>
      <c r="G118">
        <v>1995.68</v>
      </c>
      <c r="H118">
        <v>3.8140900000000002</v>
      </c>
    </row>
    <row r="119" spans="1:9" x14ac:dyDescent="0.2">
      <c r="A119">
        <v>1996</v>
      </c>
      <c r="B119">
        <v>0.83057000000000003</v>
      </c>
      <c r="C119">
        <v>2.2570299999999999</v>
      </c>
      <c r="D119">
        <f>AVERAGE(B119:B121)</f>
        <v>2.7556433333333334</v>
      </c>
      <c r="E119">
        <f>AVERAGE(C119:C121)</f>
        <v>7.6118433333333337</v>
      </c>
      <c r="G119">
        <v>1996.15</v>
      </c>
      <c r="H119">
        <v>2.2570299999999999</v>
      </c>
    </row>
    <row r="120" spans="1:9" x14ac:dyDescent="0.2">
      <c r="A120">
        <v>1996</v>
      </c>
      <c r="B120">
        <v>6.1813200000000004</v>
      </c>
      <c r="C120">
        <v>18.754100000000001</v>
      </c>
      <c r="G120">
        <v>1996.43</v>
      </c>
      <c r="H120">
        <v>18.754100000000001</v>
      </c>
    </row>
    <row r="121" spans="1:9" x14ac:dyDescent="0.2">
      <c r="A121">
        <v>1996</v>
      </c>
      <c r="B121">
        <v>1.2550399999999999</v>
      </c>
      <c r="C121">
        <v>1.8244</v>
      </c>
      <c r="G121">
        <v>1996.69</v>
      </c>
      <c r="H121">
        <v>1.8244</v>
      </c>
    </row>
    <row r="122" spans="1:9" x14ac:dyDescent="0.2">
      <c r="A122">
        <v>1997</v>
      </c>
      <c r="B122">
        <v>1.4121699999999999</v>
      </c>
      <c r="C122">
        <v>3.9834700000000001</v>
      </c>
      <c r="D122">
        <f>AVERAGE(B122:B124)</f>
        <v>1.6244066666666666</v>
      </c>
      <c r="E122">
        <f>AVERAGE(C122:C124)</f>
        <v>4.1004700000000005</v>
      </c>
      <c r="G122">
        <v>1997.16</v>
      </c>
      <c r="H122">
        <v>3.9834700000000001</v>
      </c>
    </row>
    <row r="123" spans="1:9" x14ac:dyDescent="0.2">
      <c r="A123">
        <v>1997</v>
      </c>
      <c r="B123">
        <v>1.6244099999999999</v>
      </c>
      <c r="C123">
        <v>4.1957000000000004</v>
      </c>
      <c r="G123">
        <v>1997.43</v>
      </c>
      <c r="H123">
        <v>4.1957000000000004</v>
      </c>
    </row>
    <row r="124" spans="1:9" x14ac:dyDescent="0.2">
      <c r="A124">
        <v>1997</v>
      </c>
      <c r="B124">
        <v>1.8366400000000001</v>
      </c>
      <c r="C124">
        <v>4.1222399999999997</v>
      </c>
      <c r="G124">
        <v>1997.7</v>
      </c>
      <c r="H124">
        <v>4.1222399999999997</v>
      </c>
    </row>
  </sheetData>
  <phoneticPr fontId="0" type="noConversion"/>
  <printOptions gridLines="1"/>
  <pageMargins left="0.55000000000000004" right="0.46" top="0.98425196850393704" bottom="0.98425196850393704" header="0.51181102362204722" footer="0.51181102362204722"/>
  <pageSetup orientation="landscape" horizontalDpi="300" verticalDpi="300" r:id="rId1"/>
  <headerFooter alignWithMargins="0">
    <oddHeader>&amp;L&amp;"Arial,Bold"&amp;11Kluane Monitoring Program&amp;C&amp;A&amp;R&amp;F</oddHeader>
    <oddFooter xml:space="preserve">&amp;CPage &amp;P&amp;R&amp;D  &amp;T  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90"/>
  <sheetViews>
    <sheetView workbookViewId="0">
      <pane ySplit="8" topLeftCell="A25" activePane="bottomLeft" state="frozen"/>
      <selection pane="bottomLeft" activeCell="C30" sqref="C30:C31"/>
    </sheetView>
  </sheetViews>
  <sheetFormatPr defaultRowHeight="12.75" x14ac:dyDescent="0.2"/>
  <cols>
    <col min="1" max="1" width="11" customWidth="1"/>
    <col min="2" max="2" width="10.7109375" customWidth="1"/>
    <col min="3" max="3" width="15.7109375" customWidth="1"/>
    <col min="5" max="5" width="11.85546875" customWidth="1"/>
    <col min="6" max="6" width="12.140625" customWidth="1"/>
    <col min="8" max="8" width="14.85546875" customWidth="1"/>
    <col min="9" max="9" width="12.7109375" customWidth="1"/>
    <col min="15" max="16" width="9.140625" style="7"/>
  </cols>
  <sheetData>
    <row r="1" spans="1:18" ht="16.5" thickBot="1" x14ac:dyDescent="0.3">
      <c r="A1" s="322" t="s">
        <v>21</v>
      </c>
      <c r="B1" s="96"/>
      <c r="C1" s="96"/>
      <c r="D1" s="96"/>
      <c r="E1" s="97"/>
    </row>
    <row r="3" spans="1:18" x14ac:dyDescent="0.2">
      <c r="A3" t="s">
        <v>22</v>
      </c>
    </row>
    <row r="4" spans="1:18" x14ac:dyDescent="0.2">
      <c r="A4" t="s">
        <v>23</v>
      </c>
      <c r="N4" s="8"/>
    </row>
    <row r="5" spans="1:18" ht="13.5" thickBot="1" x14ac:dyDescent="0.25">
      <c r="A5" s="154" t="s">
        <v>291</v>
      </c>
      <c r="N5" s="8"/>
    </row>
    <row r="6" spans="1:18" ht="13.5" thickBot="1" x14ac:dyDescent="0.25"/>
    <row r="7" spans="1:18" ht="13.5" thickBot="1" x14ac:dyDescent="0.25">
      <c r="E7" s="3" t="s">
        <v>24</v>
      </c>
      <c r="F7" s="3"/>
      <c r="G7" s="168" t="s">
        <v>292</v>
      </c>
      <c r="H7" s="180" t="s">
        <v>302</v>
      </c>
      <c r="I7" s="233" t="s">
        <v>372</v>
      </c>
      <c r="J7" s="235" t="s">
        <v>374</v>
      </c>
      <c r="K7" s="205" t="s">
        <v>316</v>
      </c>
      <c r="L7" s="206">
        <f>STDEV(C10:C22)/AVERAGE(C10:C22)</f>
        <v>0.72785952610767812</v>
      </c>
    </row>
    <row r="8" spans="1:18" ht="13.5" thickBot="1" x14ac:dyDescent="0.25">
      <c r="A8" s="3"/>
      <c r="B8" s="4" t="s">
        <v>4</v>
      </c>
      <c r="C8" s="25" t="s">
        <v>25</v>
      </c>
      <c r="D8" s="4" t="s">
        <v>5</v>
      </c>
      <c r="E8" s="4" t="s">
        <v>295</v>
      </c>
      <c r="F8" s="4" t="s">
        <v>296</v>
      </c>
      <c r="G8" s="169" t="s">
        <v>293</v>
      </c>
      <c r="H8" s="181" t="s">
        <v>303</v>
      </c>
      <c r="I8" s="234" t="s">
        <v>373</v>
      </c>
      <c r="J8" s="235" t="s">
        <v>373</v>
      </c>
      <c r="K8" t="s">
        <v>317</v>
      </c>
      <c r="L8" s="31">
        <f>C14/C18</f>
        <v>7.3744769874476983</v>
      </c>
      <c r="O8" s="457" t="s">
        <v>568</v>
      </c>
      <c r="P8" s="455"/>
      <c r="R8" s="37" t="s">
        <v>664</v>
      </c>
    </row>
    <row r="9" spans="1:18" x14ac:dyDescent="0.2">
      <c r="A9" s="5" t="s">
        <v>26</v>
      </c>
      <c r="B9" s="10"/>
      <c r="C9" s="10"/>
      <c r="D9" s="10"/>
      <c r="E9" s="10"/>
      <c r="F9" s="10"/>
      <c r="G9" s="170"/>
      <c r="H9" s="182"/>
      <c r="I9" s="182"/>
      <c r="O9" s="458" t="s">
        <v>295</v>
      </c>
      <c r="P9" s="458" t="s">
        <v>296</v>
      </c>
    </row>
    <row r="10" spans="1:18" x14ac:dyDescent="0.2">
      <c r="A10" s="5" t="s">
        <v>8</v>
      </c>
      <c r="B10" s="7">
        <v>1997</v>
      </c>
      <c r="C10" s="167">
        <v>25.77</v>
      </c>
      <c r="D10" s="6">
        <v>64</v>
      </c>
      <c r="E10" s="453">
        <v>19.66</v>
      </c>
      <c r="F10" s="453">
        <v>33.130000000000003</v>
      </c>
      <c r="G10" s="171"/>
      <c r="H10" s="182"/>
      <c r="I10" s="182"/>
      <c r="O10" s="456">
        <f>1-(E10/C10)</f>
        <v>0.2370974000776096</v>
      </c>
      <c r="P10" s="456">
        <f>-1+F10/C10</f>
        <v>0.28560341482343832</v>
      </c>
      <c r="R10" s="37">
        <f>SQRT(C10)</f>
        <v>5.0764160585988218</v>
      </c>
    </row>
    <row r="11" spans="1:18" x14ac:dyDescent="0.2">
      <c r="B11" s="7">
        <v>1998</v>
      </c>
      <c r="C11" s="167">
        <v>138.51</v>
      </c>
      <c r="D11" s="6">
        <v>124</v>
      </c>
      <c r="E11" s="453">
        <v>120.23</v>
      </c>
      <c r="F11" s="453">
        <v>158.01</v>
      </c>
      <c r="G11" s="171"/>
      <c r="H11" s="182"/>
      <c r="I11" s="182"/>
      <c r="O11" s="456">
        <f t="shared" ref="O11:O25" si="0">1-(E11/C11)</f>
        <v>0.13197603061150809</v>
      </c>
      <c r="P11" s="456">
        <f t="shared" ref="P11:P25" si="1">-1+F11/C11</f>
        <v>0.14078405891271384</v>
      </c>
      <c r="R11" s="37">
        <f t="shared" ref="R11:R31" si="2">SQRT(C11)</f>
        <v>11.769027147559818</v>
      </c>
    </row>
    <row r="12" spans="1:18" x14ac:dyDescent="0.2">
      <c r="B12" s="7">
        <v>1999</v>
      </c>
      <c r="C12" s="167">
        <v>50.24</v>
      </c>
      <c r="D12" s="6">
        <v>144</v>
      </c>
      <c r="E12" s="453">
        <v>41.99</v>
      </c>
      <c r="F12" s="453">
        <v>59.01</v>
      </c>
      <c r="G12" s="172"/>
      <c r="H12" s="182"/>
      <c r="I12" s="182"/>
      <c r="K12" s="37" t="s">
        <v>245</v>
      </c>
      <c r="O12" s="456">
        <f t="shared" si="0"/>
        <v>0.16421178343949039</v>
      </c>
      <c r="P12" s="456">
        <f t="shared" si="1"/>
        <v>0.17456210191082788</v>
      </c>
      <c r="R12" s="37">
        <f t="shared" si="2"/>
        <v>7.0880180586677399</v>
      </c>
    </row>
    <row r="13" spans="1:18" x14ac:dyDescent="0.2">
      <c r="B13" s="7">
        <v>2000</v>
      </c>
      <c r="C13" s="167">
        <v>25.61</v>
      </c>
      <c r="D13" s="6">
        <v>183</v>
      </c>
      <c r="E13" s="453">
        <v>21.11</v>
      </c>
      <c r="F13" s="453">
        <v>30.51</v>
      </c>
      <c r="G13" s="172">
        <v>0.25624000000000002</v>
      </c>
      <c r="H13" s="182">
        <f t="shared" ref="H13:H22" si="3">C13*G13</f>
        <v>6.5623064000000007</v>
      </c>
      <c r="I13" s="480">
        <f t="shared" ref="I13:I24" si="4">H13-(E13*G13)</f>
        <v>1.1530800000000001</v>
      </c>
      <c r="J13" s="480">
        <f t="shared" ref="J13:J24" si="5">(F13*G13)-H13</f>
        <v>1.2555760000000005</v>
      </c>
      <c r="K13" s="37" t="s">
        <v>245</v>
      </c>
      <c r="M13" s="149" t="s">
        <v>294</v>
      </c>
      <c r="O13" s="456">
        <f t="shared" si="0"/>
        <v>0.17571261226083557</v>
      </c>
      <c r="P13" s="456">
        <f t="shared" si="1"/>
        <v>0.19133151112846547</v>
      </c>
      <c r="R13" s="37">
        <f t="shared" si="2"/>
        <v>5.0606323715519981</v>
      </c>
    </row>
    <row r="14" spans="1:18" x14ac:dyDescent="0.2">
      <c r="B14" s="7">
        <v>2001</v>
      </c>
      <c r="C14" s="167">
        <v>141</v>
      </c>
      <c r="D14" s="6">
        <v>264</v>
      </c>
      <c r="E14" s="453">
        <v>123.52</v>
      </c>
      <c r="F14" s="453">
        <v>159.77000000000001</v>
      </c>
      <c r="G14" s="172">
        <v>0.22022</v>
      </c>
      <c r="H14" s="182">
        <f t="shared" si="3"/>
        <v>31.051020000000001</v>
      </c>
      <c r="I14" s="480">
        <f t="shared" si="4"/>
        <v>3.8494456000000028</v>
      </c>
      <c r="J14" s="480">
        <f t="shared" si="5"/>
        <v>4.1335294000000005</v>
      </c>
      <c r="K14" s="37" t="s">
        <v>245</v>
      </c>
      <c r="O14" s="456">
        <f t="shared" si="0"/>
        <v>0.12397163120567378</v>
      </c>
      <c r="P14" s="456">
        <f t="shared" si="1"/>
        <v>0.13312056737588662</v>
      </c>
      <c r="R14" s="37">
        <f t="shared" si="2"/>
        <v>11.874342087037917</v>
      </c>
    </row>
    <row r="15" spans="1:18" x14ac:dyDescent="0.2">
      <c r="B15" s="7">
        <v>2002</v>
      </c>
      <c r="C15" s="167">
        <v>89.72</v>
      </c>
      <c r="D15" s="6">
        <v>264</v>
      </c>
      <c r="E15" s="453">
        <v>79.75</v>
      </c>
      <c r="F15" s="453">
        <v>100.16</v>
      </c>
      <c r="G15" s="199">
        <v>0.17787</v>
      </c>
      <c r="H15" s="182">
        <f t="shared" si="3"/>
        <v>15.9584964</v>
      </c>
      <c r="I15" s="480">
        <f t="shared" si="4"/>
        <v>1.7733638999999997</v>
      </c>
      <c r="J15" s="480">
        <f t="shared" si="5"/>
        <v>1.8569627999999998</v>
      </c>
      <c r="K15" s="37" t="s">
        <v>245</v>
      </c>
      <c r="O15" s="456">
        <f t="shared" si="0"/>
        <v>0.11112349531876953</v>
      </c>
      <c r="P15" s="456">
        <f t="shared" si="1"/>
        <v>0.11636201515827005</v>
      </c>
      <c r="R15" s="37">
        <f t="shared" si="2"/>
        <v>9.4720641889716948</v>
      </c>
    </row>
    <row r="16" spans="1:18" x14ac:dyDescent="0.2">
      <c r="B16" s="7">
        <v>2003</v>
      </c>
      <c r="C16" s="167">
        <v>35.58</v>
      </c>
      <c r="D16" s="6">
        <v>264</v>
      </c>
      <c r="E16" s="453">
        <v>30.68</v>
      </c>
      <c r="F16" s="453">
        <v>40.72</v>
      </c>
      <c r="G16" s="172">
        <v>0.1716</v>
      </c>
      <c r="H16" s="182">
        <f t="shared" si="3"/>
        <v>6.1055279999999996</v>
      </c>
      <c r="I16" s="480">
        <f t="shared" si="4"/>
        <v>0.84084000000000003</v>
      </c>
      <c r="J16" s="480">
        <f t="shared" si="5"/>
        <v>0.88202400000000036</v>
      </c>
      <c r="K16" s="37" t="s">
        <v>245</v>
      </c>
      <c r="O16" s="456">
        <f t="shared" si="0"/>
        <v>0.1377178189994378</v>
      </c>
      <c r="P16" s="456">
        <f t="shared" si="1"/>
        <v>0.14446318156267579</v>
      </c>
      <c r="R16" s="37">
        <f t="shared" si="2"/>
        <v>5.9648973168026957</v>
      </c>
    </row>
    <row r="17" spans="2:18" x14ac:dyDescent="0.2">
      <c r="B17" s="7">
        <v>2004</v>
      </c>
      <c r="C17" s="167">
        <v>45.24</v>
      </c>
      <c r="D17" s="6">
        <v>264</v>
      </c>
      <c r="E17" s="453">
        <v>37.93</v>
      </c>
      <c r="F17" s="453">
        <v>52.8</v>
      </c>
      <c r="G17" s="172">
        <v>0.16289999999999999</v>
      </c>
      <c r="H17" s="182">
        <f t="shared" si="3"/>
        <v>7.3695959999999996</v>
      </c>
      <c r="I17" s="480">
        <f t="shared" si="4"/>
        <v>1.1907990000000002</v>
      </c>
      <c r="J17" s="480">
        <f t="shared" si="5"/>
        <v>1.2315239999999985</v>
      </c>
      <c r="K17" s="37" t="s">
        <v>245</v>
      </c>
      <c r="O17" s="456">
        <f t="shared" si="0"/>
        <v>0.16158267020335992</v>
      </c>
      <c r="P17" s="456">
        <f t="shared" si="1"/>
        <v>0.16710875331564967</v>
      </c>
      <c r="R17" s="37">
        <f t="shared" si="2"/>
        <v>6.7260686883200949</v>
      </c>
    </row>
    <row r="18" spans="2:18" x14ac:dyDescent="0.2">
      <c r="B18" s="7">
        <v>2005</v>
      </c>
      <c r="C18" s="167">
        <v>19.12</v>
      </c>
      <c r="D18" s="6">
        <v>264</v>
      </c>
      <c r="E18" s="453">
        <v>15.12</v>
      </c>
      <c r="F18" s="453">
        <v>23.46</v>
      </c>
      <c r="G18" s="172">
        <v>0.15609999999999999</v>
      </c>
      <c r="H18" s="182">
        <f t="shared" si="3"/>
        <v>2.984632</v>
      </c>
      <c r="I18" s="480">
        <f t="shared" si="4"/>
        <v>0.62440000000000007</v>
      </c>
      <c r="J18" s="480">
        <f t="shared" si="5"/>
        <v>0.67747400000000013</v>
      </c>
      <c r="K18" s="37" t="s">
        <v>245</v>
      </c>
      <c r="O18" s="456">
        <f t="shared" si="0"/>
        <v>0.20920502092050219</v>
      </c>
      <c r="P18" s="456">
        <f t="shared" si="1"/>
        <v>0.22698744769874479</v>
      </c>
      <c r="R18" s="37">
        <f t="shared" si="2"/>
        <v>4.3726422218150898</v>
      </c>
    </row>
    <row r="19" spans="2:18" x14ac:dyDescent="0.2">
      <c r="B19" s="7">
        <v>2006</v>
      </c>
      <c r="C19" s="167">
        <v>21.43</v>
      </c>
      <c r="D19" s="6">
        <v>268</v>
      </c>
      <c r="E19" s="453">
        <v>17.91</v>
      </c>
      <c r="F19" s="453">
        <v>25.17</v>
      </c>
      <c r="G19" s="172">
        <v>0.15620000000000001</v>
      </c>
      <c r="H19" s="182">
        <f t="shared" si="3"/>
        <v>3.3473660000000001</v>
      </c>
      <c r="I19" s="480">
        <f t="shared" si="4"/>
        <v>0.54982400000000009</v>
      </c>
      <c r="J19" s="480">
        <f t="shared" si="5"/>
        <v>0.58418800000000015</v>
      </c>
      <c r="K19" s="37" t="s">
        <v>245</v>
      </c>
      <c r="O19" s="456">
        <f t="shared" si="0"/>
        <v>0.16425571628558089</v>
      </c>
      <c r="P19" s="456">
        <f t="shared" si="1"/>
        <v>0.17452169855342992</v>
      </c>
      <c r="R19" s="37">
        <f t="shared" si="2"/>
        <v>4.6292547996410827</v>
      </c>
    </row>
    <row r="20" spans="2:18" x14ac:dyDescent="0.2">
      <c r="B20" s="7">
        <v>2007</v>
      </c>
      <c r="C20" s="167">
        <v>55.37</v>
      </c>
      <c r="D20" s="6">
        <v>272</v>
      </c>
      <c r="E20" s="453">
        <v>48.32</v>
      </c>
      <c r="F20" s="453">
        <v>63.25</v>
      </c>
      <c r="G20" s="172">
        <v>0.1741</v>
      </c>
      <c r="H20" s="182">
        <f t="shared" si="3"/>
        <v>9.6399170000000005</v>
      </c>
      <c r="I20" s="480">
        <f t="shared" si="4"/>
        <v>1.227405000000001</v>
      </c>
      <c r="J20" s="480">
        <f t="shared" si="5"/>
        <v>1.3719079999999995</v>
      </c>
      <c r="K20" s="264" t="s">
        <v>482</v>
      </c>
      <c r="O20" s="456">
        <f t="shared" si="0"/>
        <v>0.12732526638974173</v>
      </c>
      <c r="P20" s="456">
        <f t="shared" si="1"/>
        <v>0.14231533321293122</v>
      </c>
      <c r="R20" s="37">
        <f t="shared" si="2"/>
        <v>7.4411020689142546</v>
      </c>
    </row>
    <row r="21" spans="2:18" x14ac:dyDescent="0.2">
      <c r="B21" s="7">
        <v>2008</v>
      </c>
      <c r="C21" s="167">
        <v>92.4</v>
      </c>
      <c r="D21" s="6">
        <v>276</v>
      </c>
      <c r="E21" s="453">
        <v>82.2</v>
      </c>
      <c r="F21" s="453">
        <v>102.72</v>
      </c>
      <c r="G21" s="172">
        <v>0.17019999999999999</v>
      </c>
      <c r="H21" s="182">
        <f t="shared" si="3"/>
        <v>15.72648</v>
      </c>
      <c r="I21" s="480">
        <f t="shared" si="4"/>
        <v>1.7360400000000009</v>
      </c>
      <c r="J21" s="480">
        <f t="shared" si="5"/>
        <v>1.7564639999999994</v>
      </c>
      <c r="K21" s="264" t="s">
        <v>482</v>
      </c>
      <c r="O21" s="456">
        <f t="shared" si="0"/>
        <v>0.11038961038961037</v>
      </c>
      <c r="P21" s="456">
        <f t="shared" si="1"/>
        <v>0.11168831168831161</v>
      </c>
      <c r="R21" s="37">
        <f t="shared" si="2"/>
        <v>9.6124918725583335</v>
      </c>
    </row>
    <row r="22" spans="2:18" x14ac:dyDescent="0.2">
      <c r="B22" s="7">
        <v>2009</v>
      </c>
      <c r="C22" s="167">
        <v>27.4</v>
      </c>
      <c r="D22" s="6">
        <v>154</v>
      </c>
      <c r="E22" s="453">
        <v>21.25</v>
      </c>
      <c r="F22" s="453">
        <v>34.49</v>
      </c>
      <c r="G22" s="172">
        <v>0.15565000000000001</v>
      </c>
      <c r="H22" s="182">
        <f t="shared" si="3"/>
        <v>4.2648099999999998</v>
      </c>
      <c r="I22" s="480">
        <f t="shared" si="4"/>
        <v>0.95724749999999936</v>
      </c>
      <c r="J22" s="480">
        <f t="shared" si="5"/>
        <v>1.103558500000001</v>
      </c>
      <c r="K22" s="264" t="s">
        <v>482</v>
      </c>
      <c r="O22" s="456">
        <f t="shared" si="0"/>
        <v>0.22445255474452552</v>
      </c>
      <c r="P22" s="456">
        <f t="shared" si="1"/>
        <v>0.25875912408759127</v>
      </c>
      <c r="R22" s="37">
        <f t="shared" si="2"/>
        <v>5.2345009313209605</v>
      </c>
    </row>
    <row r="23" spans="2:18" x14ac:dyDescent="0.2">
      <c r="B23" s="7">
        <v>2010</v>
      </c>
      <c r="C23" s="167">
        <v>88.4</v>
      </c>
      <c r="D23" s="6">
        <v>252</v>
      </c>
      <c r="E23" s="453">
        <v>75.959999999999994</v>
      </c>
      <c r="F23" s="453">
        <v>101.52</v>
      </c>
      <c r="G23" s="172">
        <v>0.1535</v>
      </c>
      <c r="H23" s="182">
        <v>13.72</v>
      </c>
      <c r="I23" s="480">
        <f t="shared" si="4"/>
        <v>2.0601400000000023</v>
      </c>
      <c r="J23" s="480">
        <f t="shared" si="5"/>
        <v>1.8633199999999981</v>
      </c>
      <c r="K23" s="264" t="s">
        <v>482</v>
      </c>
      <c r="O23" s="456">
        <f t="shared" si="0"/>
        <v>0.14072398190045265</v>
      </c>
      <c r="P23" s="456">
        <f t="shared" si="1"/>
        <v>0.1484162895927601</v>
      </c>
      <c r="R23" s="37">
        <f t="shared" si="2"/>
        <v>9.4021274188345263</v>
      </c>
    </row>
    <row r="24" spans="2:18" x14ac:dyDescent="0.2">
      <c r="B24" s="7">
        <v>2011</v>
      </c>
      <c r="C24" s="167">
        <v>37.28</v>
      </c>
      <c r="D24" s="6">
        <v>254</v>
      </c>
      <c r="E24" s="453">
        <v>31.05</v>
      </c>
      <c r="F24" s="453">
        <v>44.02</v>
      </c>
      <c r="G24" s="172">
        <v>0.1535</v>
      </c>
      <c r="H24" s="182">
        <v>5.72</v>
      </c>
      <c r="I24" s="480">
        <f t="shared" si="4"/>
        <v>0.95382500000000014</v>
      </c>
      <c r="J24" s="480">
        <f t="shared" si="5"/>
        <v>1.0370700000000008</v>
      </c>
      <c r="K24" s="264" t="s">
        <v>482</v>
      </c>
      <c r="O24" s="456">
        <f t="shared" si="0"/>
        <v>0.16711373390557938</v>
      </c>
      <c r="P24" s="456">
        <f t="shared" si="1"/>
        <v>0.18079399141630903</v>
      </c>
      <c r="R24" s="37">
        <f t="shared" si="2"/>
        <v>6.1057350089894991</v>
      </c>
    </row>
    <row r="25" spans="2:18" x14ac:dyDescent="0.2">
      <c r="B25" s="7">
        <v>2012</v>
      </c>
      <c r="C25" s="167">
        <v>33.4</v>
      </c>
      <c r="D25" s="6">
        <v>252</v>
      </c>
      <c r="E25" s="453">
        <v>27.9</v>
      </c>
      <c r="F25" s="453">
        <v>39.299999999999997</v>
      </c>
      <c r="G25" s="172">
        <v>0.16852</v>
      </c>
      <c r="H25" s="182">
        <v>5.6</v>
      </c>
      <c r="I25" s="480">
        <v>0.9</v>
      </c>
      <c r="J25" s="480">
        <v>1</v>
      </c>
      <c r="K25" s="264" t="s">
        <v>482</v>
      </c>
      <c r="O25" s="456">
        <f t="shared" si="0"/>
        <v>0.16467065868263475</v>
      </c>
      <c r="P25" s="456">
        <f t="shared" si="1"/>
        <v>0.17664670658682624</v>
      </c>
      <c r="R25" s="37">
        <f t="shared" si="2"/>
        <v>5.7792733107199554</v>
      </c>
    </row>
    <row r="26" spans="2:18" x14ac:dyDescent="0.2">
      <c r="B26" s="7">
        <v>2013</v>
      </c>
      <c r="C26" s="167">
        <v>80.8</v>
      </c>
      <c r="D26" s="6">
        <v>274</v>
      </c>
      <c r="E26" s="566">
        <v>71.510000000000005</v>
      </c>
      <c r="F26" s="566">
        <v>90.41</v>
      </c>
      <c r="G26" s="172">
        <v>0.17080000000000001</v>
      </c>
      <c r="H26" s="182">
        <v>13.79</v>
      </c>
      <c r="I26" s="480">
        <v>12.21</v>
      </c>
      <c r="J26" s="480">
        <v>15.44</v>
      </c>
      <c r="K26" s="264" t="s">
        <v>482</v>
      </c>
      <c r="O26" s="456">
        <f t="shared" ref="O26:O31" si="6">1-(E26/C26)</f>
        <v>0.11497524752475241</v>
      </c>
      <c r="P26" s="456">
        <f t="shared" ref="P26:P31" si="7">-1+F26/C26</f>
        <v>0.11893564356435649</v>
      </c>
      <c r="R26" s="37">
        <f t="shared" si="2"/>
        <v>8.9888820216976928</v>
      </c>
    </row>
    <row r="27" spans="2:18" x14ac:dyDescent="0.2">
      <c r="B27" s="7">
        <v>2014</v>
      </c>
      <c r="C27" s="167">
        <v>58.65</v>
      </c>
      <c r="D27" s="6">
        <v>272</v>
      </c>
      <c r="E27" s="566">
        <v>48.97</v>
      </c>
      <c r="F27" s="566">
        <v>69.56</v>
      </c>
      <c r="G27" s="172">
        <v>0.15698999999999999</v>
      </c>
      <c r="H27" s="182">
        <v>9.2100000000000009</v>
      </c>
      <c r="I27" s="480">
        <v>7.69</v>
      </c>
      <c r="J27" s="480">
        <v>10.92</v>
      </c>
      <c r="K27" s="264" t="s">
        <v>482</v>
      </c>
      <c r="O27" s="456">
        <f t="shared" si="6"/>
        <v>0.16504688832054559</v>
      </c>
      <c r="P27" s="456">
        <f t="shared" si="7"/>
        <v>0.18601875532821821</v>
      </c>
      <c r="R27" s="37">
        <f t="shared" si="2"/>
        <v>7.6583287994183165</v>
      </c>
    </row>
    <row r="28" spans="2:18" x14ac:dyDescent="0.2">
      <c r="B28" s="7">
        <v>2015</v>
      </c>
      <c r="C28" s="167">
        <v>15.84</v>
      </c>
      <c r="D28" s="6">
        <v>274</v>
      </c>
      <c r="E28" s="566">
        <v>12.78</v>
      </c>
      <c r="F28" s="566">
        <v>19.260000000000002</v>
      </c>
      <c r="G28" s="172">
        <v>0.14329</v>
      </c>
      <c r="H28" s="182">
        <v>2.27</v>
      </c>
      <c r="I28" s="480">
        <v>1.83</v>
      </c>
      <c r="J28" s="480">
        <v>2.76</v>
      </c>
      <c r="K28" s="264" t="s">
        <v>482</v>
      </c>
      <c r="O28" s="456">
        <f t="shared" si="6"/>
        <v>0.19318181818181823</v>
      </c>
      <c r="P28" s="456">
        <f t="shared" si="7"/>
        <v>0.21590909090909105</v>
      </c>
      <c r="R28" s="37">
        <f t="shared" si="2"/>
        <v>3.9799497484264799</v>
      </c>
    </row>
    <row r="29" spans="2:18" x14ac:dyDescent="0.2">
      <c r="B29" s="7">
        <v>2016</v>
      </c>
      <c r="C29" s="167">
        <v>20.440000000000001</v>
      </c>
      <c r="D29" s="6">
        <v>256</v>
      </c>
      <c r="E29" s="566">
        <v>15.54</v>
      </c>
      <c r="F29" s="566">
        <v>26.63</v>
      </c>
      <c r="G29" s="172">
        <v>0.16964000000000001</v>
      </c>
      <c r="H29" s="182">
        <v>3.47</v>
      </c>
      <c r="I29" s="480">
        <v>2.64</v>
      </c>
      <c r="J29" s="480">
        <v>4.5199999999999996</v>
      </c>
      <c r="K29" s="264" t="s">
        <v>482</v>
      </c>
      <c r="O29" s="456">
        <f t="shared" si="6"/>
        <v>0.23972602739726034</v>
      </c>
      <c r="P29" s="456">
        <f t="shared" si="7"/>
        <v>0.30283757338551842</v>
      </c>
      <c r="R29" s="37">
        <f t="shared" si="2"/>
        <v>4.5210618221829266</v>
      </c>
    </row>
    <row r="30" spans="2:18" x14ac:dyDescent="0.2">
      <c r="B30" s="7">
        <v>2017</v>
      </c>
      <c r="C30" s="167">
        <v>24.04</v>
      </c>
      <c r="D30" s="6">
        <v>256</v>
      </c>
      <c r="E30" s="566">
        <v>18.989999999999998</v>
      </c>
      <c r="F30" s="566">
        <v>29.58</v>
      </c>
      <c r="G30" s="172">
        <v>0.17802000000000001</v>
      </c>
      <c r="H30" s="182">
        <v>4.28</v>
      </c>
      <c r="I30" s="480">
        <v>3.38</v>
      </c>
      <c r="J30" s="480">
        <v>5.27</v>
      </c>
      <c r="K30" s="264" t="s">
        <v>482</v>
      </c>
      <c r="O30" s="456">
        <f t="shared" si="6"/>
        <v>0.21006655574043265</v>
      </c>
      <c r="P30" s="456">
        <f t="shared" si="7"/>
        <v>0.23044925124792015</v>
      </c>
      <c r="R30" s="37">
        <f t="shared" si="2"/>
        <v>4.9030602688525047</v>
      </c>
    </row>
    <row r="31" spans="2:18" x14ac:dyDescent="0.2">
      <c r="B31" s="7">
        <v>2018</v>
      </c>
      <c r="C31" s="167">
        <v>16.11</v>
      </c>
      <c r="D31" s="6">
        <v>216</v>
      </c>
      <c r="E31" s="566">
        <v>12.24</v>
      </c>
      <c r="F31" s="566">
        <v>20.47</v>
      </c>
      <c r="G31" s="172">
        <v>0.13519999999999999</v>
      </c>
      <c r="H31" s="182">
        <v>2.1800000000000002</v>
      </c>
      <c r="I31" s="480">
        <v>1.65</v>
      </c>
      <c r="J31" s="480">
        <v>2.77</v>
      </c>
      <c r="K31" s="264" t="s">
        <v>482</v>
      </c>
      <c r="O31" s="456">
        <f t="shared" si="6"/>
        <v>0.24022346368715075</v>
      </c>
      <c r="P31" s="456">
        <f t="shared" si="7"/>
        <v>0.27063935443823706</v>
      </c>
      <c r="R31" s="37">
        <f t="shared" si="2"/>
        <v>4.0137264480778958</v>
      </c>
    </row>
    <row r="32" spans="2:18" x14ac:dyDescent="0.2">
      <c r="B32" s="7"/>
      <c r="C32" s="167"/>
      <c r="D32" s="6"/>
      <c r="E32" s="453"/>
      <c r="F32" s="453"/>
      <c r="G32" s="541"/>
      <c r="H32" s="182"/>
      <c r="I32" s="480"/>
      <c r="J32" s="480"/>
      <c r="K32" s="264"/>
      <c r="O32" s="456"/>
      <c r="P32" s="456"/>
      <c r="R32" s="37"/>
    </row>
    <row r="33" spans="1:16" x14ac:dyDescent="0.2">
      <c r="A33" s="538" t="s">
        <v>605</v>
      </c>
      <c r="B33" s="539"/>
      <c r="C33" s="540">
        <f>MAX(C9:C31)</f>
        <v>141</v>
      </c>
      <c r="D33" s="6"/>
      <c r="E33" s="453"/>
      <c r="F33" s="453"/>
      <c r="G33" s="572">
        <f>AVERAGE(G13:G27)</f>
        <v>0.17362599999999997</v>
      </c>
      <c r="H33" s="182"/>
      <c r="I33" s="480"/>
      <c r="J33" s="480"/>
      <c r="K33" s="264"/>
      <c r="O33" s="456"/>
      <c r="P33" s="456"/>
    </row>
    <row r="34" spans="1:16" x14ac:dyDescent="0.2">
      <c r="A34" s="538" t="s">
        <v>606</v>
      </c>
      <c r="B34" s="539"/>
      <c r="C34" s="540">
        <f>MIN(C9:C31)</f>
        <v>15.84</v>
      </c>
      <c r="D34" s="6"/>
      <c r="E34" s="453"/>
      <c r="F34" s="453"/>
      <c r="G34" s="541"/>
      <c r="H34" s="182"/>
      <c r="I34" s="480"/>
      <c r="J34" s="480"/>
      <c r="K34" s="264"/>
      <c r="O34" s="456"/>
      <c r="P34" s="456"/>
    </row>
    <row r="35" spans="1:16" x14ac:dyDescent="0.2">
      <c r="A35" s="538" t="s">
        <v>607</v>
      </c>
      <c r="B35" s="539"/>
      <c r="C35" s="540">
        <f>C33/C34</f>
        <v>8.9015151515151523</v>
      </c>
      <c r="D35" s="6"/>
      <c r="E35" s="453"/>
      <c r="F35" s="453"/>
      <c r="G35" s="541"/>
      <c r="H35" s="182"/>
      <c r="I35" s="480"/>
      <c r="J35" s="480"/>
      <c r="K35" s="264"/>
      <c r="O35" s="456"/>
      <c r="P35" s="456"/>
    </row>
    <row r="36" spans="1:16" x14ac:dyDescent="0.2">
      <c r="C36" s="11"/>
      <c r="D36" s="8"/>
      <c r="E36" s="11"/>
      <c r="F36" s="11"/>
      <c r="G36" s="35"/>
      <c r="H36" s="182"/>
      <c r="I36" s="182"/>
    </row>
    <row r="37" spans="1:16" x14ac:dyDescent="0.2">
      <c r="E37" s="11"/>
      <c r="F37" s="11"/>
      <c r="G37" s="35"/>
      <c r="H37" s="182"/>
      <c r="I37" s="182"/>
    </row>
    <row r="38" spans="1:16" x14ac:dyDescent="0.2">
      <c r="E38" s="11"/>
      <c r="F38" s="11"/>
      <c r="G38" s="35"/>
      <c r="H38" s="182"/>
      <c r="I38" s="182"/>
    </row>
    <row r="39" spans="1:16" x14ac:dyDescent="0.2">
      <c r="H39" s="182"/>
      <c r="I39" s="182"/>
    </row>
    <row r="40" spans="1:16" x14ac:dyDescent="0.2">
      <c r="H40" s="182"/>
      <c r="I40" s="182"/>
    </row>
    <row r="41" spans="1:16" x14ac:dyDescent="0.2">
      <c r="A41" s="188" t="s">
        <v>667</v>
      </c>
      <c r="B41" s="260">
        <f>AVERAGE(C10:C27)</f>
        <v>59.217777777777769</v>
      </c>
    </row>
    <row r="42" spans="1:16" x14ac:dyDescent="0.2">
      <c r="A42" s="188" t="s">
        <v>405</v>
      </c>
      <c r="B42" s="260">
        <f>STDEV(C10:C27)</f>
        <v>38.054495375719448</v>
      </c>
    </row>
    <row r="43" spans="1:16" x14ac:dyDescent="0.2">
      <c r="A43" s="188" t="s">
        <v>406</v>
      </c>
      <c r="B43" s="261">
        <f>B42/B41</f>
        <v>0.64261944307541852</v>
      </c>
    </row>
    <row r="68" spans="4:6" x14ac:dyDescent="0.2">
      <c r="E68" t="s">
        <v>133</v>
      </c>
      <c r="F68" t="s">
        <v>134</v>
      </c>
    </row>
    <row r="69" spans="4:6" x14ac:dyDescent="0.2">
      <c r="D69" s="7">
        <v>1997</v>
      </c>
      <c r="E69" s="11">
        <f>C10-E10</f>
        <v>6.1099999999999994</v>
      </c>
      <c r="F69" s="11">
        <f>F10-C10</f>
        <v>7.360000000000003</v>
      </c>
    </row>
    <row r="70" spans="4:6" x14ac:dyDescent="0.2">
      <c r="D70" s="7">
        <v>1998</v>
      </c>
      <c r="E70" s="11">
        <f t="shared" ref="E70:E83" si="8">C11-E11</f>
        <v>18.279999999999987</v>
      </c>
      <c r="F70" s="11">
        <f t="shared" ref="F70:F85" si="9">F11-C11</f>
        <v>19.5</v>
      </c>
    </row>
    <row r="71" spans="4:6" x14ac:dyDescent="0.2">
      <c r="D71" s="7">
        <v>1999</v>
      </c>
      <c r="E71" s="11">
        <f t="shared" si="8"/>
        <v>8.25</v>
      </c>
      <c r="F71" s="11">
        <f t="shared" si="9"/>
        <v>8.769999999999996</v>
      </c>
    </row>
    <row r="72" spans="4:6" x14ac:dyDescent="0.2">
      <c r="D72" s="7">
        <v>2000</v>
      </c>
      <c r="E72" s="11">
        <f t="shared" si="8"/>
        <v>4.5</v>
      </c>
      <c r="F72" s="11">
        <f t="shared" si="9"/>
        <v>4.9000000000000021</v>
      </c>
    </row>
    <row r="73" spans="4:6" x14ac:dyDescent="0.2">
      <c r="D73" s="7">
        <v>2001</v>
      </c>
      <c r="E73" s="11">
        <f t="shared" si="8"/>
        <v>17.480000000000004</v>
      </c>
      <c r="F73" s="11">
        <f t="shared" si="9"/>
        <v>18.77000000000001</v>
      </c>
    </row>
    <row r="74" spans="4:6" x14ac:dyDescent="0.2">
      <c r="D74" s="7">
        <v>2002</v>
      </c>
      <c r="E74" s="11">
        <f t="shared" si="8"/>
        <v>9.9699999999999989</v>
      </c>
      <c r="F74" s="11">
        <f t="shared" si="9"/>
        <v>10.439999999999998</v>
      </c>
    </row>
    <row r="75" spans="4:6" x14ac:dyDescent="0.2">
      <c r="D75" s="7">
        <v>2003</v>
      </c>
      <c r="E75" s="11">
        <f t="shared" si="8"/>
        <v>4.8999999999999986</v>
      </c>
      <c r="F75" s="11">
        <f t="shared" si="9"/>
        <v>5.1400000000000006</v>
      </c>
    </row>
    <row r="76" spans="4:6" x14ac:dyDescent="0.2">
      <c r="D76" s="7">
        <v>2004</v>
      </c>
      <c r="E76" s="11">
        <f t="shared" si="8"/>
        <v>7.3100000000000023</v>
      </c>
      <c r="F76" s="11">
        <f t="shared" si="9"/>
        <v>7.5599999999999952</v>
      </c>
    </row>
    <row r="77" spans="4:6" x14ac:dyDescent="0.2">
      <c r="D77" s="7">
        <v>2005</v>
      </c>
      <c r="E77" s="11">
        <f t="shared" si="8"/>
        <v>4.0000000000000018</v>
      </c>
      <c r="F77" s="11">
        <f t="shared" si="9"/>
        <v>4.34</v>
      </c>
    </row>
    <row r="78" spans="4:6" x14ac:dyDescent="0.2">
      <c r="D78" s="7">
        <v>2006</v>
      </c>
      <c r="E78" s="11">
        <f t="shared" si="8"/>
        <v>3.5199999999999996</v>
      </c>
      <c r="F78" s="11">
        <f t="shared" si="9"/>
        <v>3.740000000000002</v>
      </c>
    </row>
    <row r="79" spans="4:6" x14ac:dyDescent="0.2">
      <c r="D79" s="7">
        <v>2007</v>
      </c>
      <c r="E79" s="11">
        <f t="shared" si="8"/>
        <v>7.0499999999999972</v>
      </c>
      <c r="F79" s="11">
        <f t="shared" si="9"/>
        <v>7.8800000000000026</v>
      </c>
    </row>
    <row r="80" spans="4:6" x14ac:dyDescent="0.2">
      <c r="D80" s="7">
        <v>2008</v>
      </c>
      <c r="E80" s="11">
        <f t="shared" si="8"/>
        <v>10.200000000000003</v>
      </c>
      <c r="F80" s="11">
        <f t="shared" si="9"/>
        <v>10.319999999999993</v>
      </c>
    </row>
    <row r="81" spans="4:6" x14ac:dyDescent="0.2">
      <c r="D81" s="7">
        <v>2009</v>
      </c>
      <c r="E81" s="11">
        <f t="shared" si="8"/>
        <v>6.1499999999999986</v>
      </c>
      <c r="F81" s="11">
        <f t="shared" si="9"/>
        <v>7.0900000000000034</v>
      </c>
    </row>
    <row r="82" spans="4:6" x14ac:dyDescent="0.2">
      <c r="D82" s="7">
        <v>2010</v>
      </c>
      <c r="E82" s="11">
        <f t="shared" si="8"/>
        <v>12.440000000000012</v>
      </c>
      <c r="F82" s="11">
        <f t="shared" si="9"/>
        <v>13.11999999999999</v>
      </c>
    </row>
    <row r="83" spans="4:6" x14ac:dyDescent="0.2">
      <c r="D83" s="7">
        <v>2011</v>
      </c>
      <c r="E83" s="11">
        <f t="shared" si="8"/>
        <v>6.23</v>
      </c>
      <c r="F83" s="11">
        <f t="shared" si="9"/>
        <v>6.740000000000002</v>
      </c>
    </row>
    <row r="84" spans="4:6" x14ac:dyDescent="0.2">
      <c r="D84" s="7">
        <v>2012</v>
      </c>
      <c r="E84" s="11">
        <f t="shared" ref="E84:E89" si="10">C25-E25</f>
        <v>5.5</v>
      </c>
      <c r="F84" s="11">
        <f t="shared" si="9"/>
        <v>5.8999999999999986</v>
      </c>
    </row>
    <row r="85" spans="4:6" x14ac:dyDescent="0.2">
      <c r="D85" s="7">
        <v>2013</v>
      </c>
      <c r="E85" s="11">
        <f t="shared" si="10"/>
        <v>9.289999999999992</v>
      </c>
      <c r="F85" s="11">
        <f t="shared" si="9"/>
        <v>9.61</v>
      </c>
    </row>
    <row r="86" spans="4:6" x14ac:dyDescent="0.2">
      <c r="D86" s="7">
        <v>2014</v>
      </c>
      <c r="E86" s="11">
        <f t="shared" si="10"/>
        <v>9.68</v>
      </c>
      <c r="F86" s="11">
        <f t="shared" ref="F86:F88" si="11">F27-C27</f>
        <v>10.910000000000004</v>
      </c>
    </row>
    <row r="87" spans="4:6" x14ac:dyDescent="0.2">
      <c r="D87" s="7">
        <v>2015</v>
      </c>
      <c r="E87" s="11">
        <f t="shared" si="10"/>
        <v>3.0600000000000005</v>
      </c>
      <c r="F87" s="11">
        <f t="shared" si="11"/>
        <v>3.4200000000000017</v>
      </c>
    </row>
    <row r="88" spans="4:6" x14ac:dyDescent="0.2">
      <c r="D88" s="7">
        <v>2016</v>
      </c>
      <c r="E88" s="11">
        <f t="shared" si="10"/>
        <v>4.9000000000000021</v>
      </c>
      <c r="F88" s="11">
        <f t="shared" si="11"/>
        <v>6.1899999999999977</v>
      </c>
    </row>
    <row r="89" spans="4:6" x14ac:dyDescent="0.2">
      <c r="D89" s="7">
        <v>2017</v>
      </c>
      <c r="E89" s="11">
        <f t="shared" si="10"/>
        <v>5.0500000000000007</v>
      </c>
      <c r="F89" s="11">
        <f t="shared" ref="F89" si="12">F30-C30</f>
        <v>5.5399999999999991</v>
      </c>
    </row>
    <row r="90" spans="4:6" x14ac:dyDescent="0.2">
      <c r="D90" s="7">
        <v>2018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90"/>
  <sheetViews>
    <sheetView zoomScaleNormal="100" workbookViewId="0">
      <pane ySplit="4" topLeftCell="A8" activePane="bottomLeft" state="frozenSplit"/>
      <selection pane="bottomLeft" activeCell="AB47" sqref="AB47"/>
    </sheetView>
  </sheetViews>
  <sheetFormatPr defaultRowHeight="12.75" x14ac:dyDescent="0.2"/>
  <cols>
    <col min="1" max="1" width="12.28515625" customWidth="1"/>
    <col min="2" max="3" width="10.42578125" customWidth="1"/>
    <col min="4" max="4" width="14.7109375" customWidth="1"/>
    <col min="5" max="5" width="13.85546875" customWidth="1"/>
    <col min="6" max="6" width="13.42578125" customWidth="1"/>
    <col min="23" max="24" width="9.140625" style="7"/>
  </cols>
  <sheetData>
    <row r="1" spans="1:33" ht="16.5" thickBot="1" x14ac:dyDescent="0.3">
      <c r="A1" s="337" t="s">
        <v>27</v>
      </c>
      <c r="B1" s="79"/>
      <c r="C1" s="79"/>
      <c r="D1" s="76"/>
      <c r="E1" s="76"/>
      <c r="F1" s="76"/>
      <c r="G1" s="77"/>
      <c r="H1" s="76"/>
      <c r="I1" s="77"/>
    </row>
    <row r="2" spans="1:33" ht="13.5" thickBot="1" x14ac:dyDescent="0.25">
      <c r="A2" t="s">
        <v>531</v>
      </c>
      <c r="V2" s="422" t="s">
        <v>707</v>
      </c>
    </row>
    <row r="3" spans="1:33" x14ac:dyDescent="0.2">
      <c r="D3" s="113" t="s">
        <v>272</v>
      </c>
      <c r="V3" s="7" t="s">
        <v>543</v>
      </c>
      <c r="X3" s="422" t="s">
        <v>548</v>
      </c>
      <c r="Y3" s="20" t="s">
        <v>549</v>
      </c>
      <c r="Z3" s="463" t="s">
        <v>569</v>
      </c>
      <c r="AA3" s="465" t="s">
        <v>571</v>
      </c>
    </row>
    <row r="4" spans="1:33" ht="13.5" thickBot="1" x14ac:dyDescent="0.25">
      <c r="A4" s="3"/>
      <c r="B4" s="25" t="s">
        <v>121</v>
      </c>
      <c r="C4" s="25" t="s">
        <v>122</v>
      </c>
      <c r="D4" s="26" t="s">
        <v>28</v>
      </c>
      <c r="E4" s="4" t="s">
        <v>19</v>
      </c>
      <c r="F4" s="4" t="s">
        <v>20</v>
      </c>
      <c r="M4" s="529" t="s">
        <v>673</v>
      </c>
      <c r="S4" t="s">
        <v>247</v>
      </c>
      <c r="U4" t="s">
        <v>403</v>
      </c>
      <c r="V4" t="s">
        <v>542</v>
      </c>
      <c r="Z4" s="464" t="s">
        <v>570</v>
      </c>
      <c r="AA4" s="466" t="s">
        <v>572</v>
      </c>
      <c r="AC4" s="37" t="s">
        <v>672</v>
      </c>
      <c r="AD4" s="37"/>
      <c r="AE4" s="99"/>
      <c r="AF4" s="99" t="s">
        <v>672</v>
      </c>
      <c r="AG4" s="37"/>
    </row>
    <row r="5" spans="1:33" x14ac:dyDescent="0.2">
      <c r="A5" s="1" t="s">
        <v>29</v>
      </c>
      <c r="B5" s="2"/>
      <c r="C5" s="2"/>
      <c r="D5" s="62">
        <v>0.04</v>
      </c>
      <c r="E5" s="423">
        <v>0.02</v>
      </c>
      <c r="F5" s="395">
        <v>0.1</v>
      </c>
      <c r="M5" s="424">
        <f t="shared" ref="M5:M37" si="0">D5-E5</f>
        <v>0.02</v>
      </c>
      <c r="N5" s="396">
        <f t="shared" ref="N5:N37" si="1">F5-D5</f>
        <v>6.0000000000000005E-2</v>
      </c>
      <c r="Q5">
        <v>1976.25</v>
      </c>
      <c r="AC5" s="37" t="s">
        <v>670</v>
      </c>
      <c r="AD5" s="37" t="s">
        <v>670</v>
      </c>
      <c r="AE5" s="40"/>
      <c r="AF5" s="40" t="s">
        <v>671</v>
      </c>
      <c r="AG5" s="40" t="s">
        <v>671</v>
      </c>
    </row>
    <row r="6" spans="1:33" x14ac:dyDescent="0.2">
      <c r="A6" s="1" t="s">
        <v>30</v>
      </c>
      <c r="B6" s="2"/>
      <c r="C6" s="2"/>
      <c r="D6" s="61">
        <v>0.04</v>
      </c>
      <c r="E6" s="423">
        <v>0.02</v>
      </c>
      <c r="F6" s="395">
        <v>0.1</v>
      </c>
      <c r="M6" s="424">
        <f t="shared" si="0"/>
        <v>0.02</v>
      </c>
      <c r="N6" s="396">
        <f t="shared" si="1"/>
        <v>6.0000000000000005E-2</v>
      </c>
      <c r="Q6">
        <f>Q5+0.5</f>
        <v>1976.75</v>
      </c>
      <c r="AC6" s="37" t="s">
        <v>295</v>
      </c>
      <c r="AD6" s="37" t="s">
        <v>204</v>
      </c>
      <c r="AE6" s="40"/>
      <c r="AF6" s="40" t="s">
        <v>295</v>
      </c>
      <c r="AG6" s="40" t="s">
        <v>204</v>
      </c>
    </row>
    <row r="7" spans="1:33" ht="13.5" thickBot="1" x14ac:dyDescent="0.25">
      <c r="A7" s="1" t="s">
        <v>31</v>
      </c>
      <c r="B7" s="2"/>
      <c r="C7" s="2"/>
      <c r="D7" s="61">
        <v>0.26</v>
      </c>
      <c r="E7" s="423">
        <v>0.14000000000000001</v>
      </c>
      <c r="F7" s="395">
        <v>0.4</v>
      </c>
      <c r="G7" s="271" t="s">
        <v>532</v>
      </c>
      <c r="M7" s="424">
        <f t="shared" si="0"/>
        <v>0.12</v>
      </c>
      <c r="N7" s="396">
        <f t="shared" si="1"/>
        <v>0.14000000000000001</v>
      </c>
      <c r="Q7">
        <v>1977.75</v>
      </c>
      <c r="T7" s="622">
        <v>1976</v>
      </c>
      <c r="U7" s="35">
        <f>D5</f>
        <v>0.04</v>
      </c>
      <c r="W7" s="422" t="s">
        <v>544</v>
      </c>
      <c r="X7" s="9">
        <f>U8/U7</f>
        <v>6.5</v>
      </c>
      <c r="Y7" s="422" t="s">
        <v>544</v>
      </c>
      <c r="Z7" s="468" t="s">
        <v>574</v>
      </c>
      <c r="AA7" s="467" t="s">
        <v>573</v>
      </c>
      <c r="AB7" s="40">
        <v>1976</v>
      </c>
      <c r="AC7" s="35">
        <v>0.02</v>
      </c>
      <c r="AD7" s="35">
        <v>6.0000000000000005E-2</v>
      </c>
      <c r="AE7">
        <v>1976</v>
      </c>
      <c r="AF7" s="35">
        <v>0.02</v>
      </c>
      <c r="AG7" s="35">
        <v>0.06</v>
      </c>
    </row>
    <row r="8" spans="1:33" x14ac:dyDescent="0.2">
      <c r="A8" s="1" t="s">
        <v>32</v>
      </c>
      <c r="B8" s="2"/>
      <c r="C8" s="2"/>
      <c r="D8" s="61">
        <v>0.3</v>
      </c>
      <c r="E8" s="423">
        <v>0.14000000000000001</v>
      </c>
      <c r="F8" s="395">
        <v>0.5</v>
      </c>
      <c r="G8" s="271" t="s">
        <v>533</v>
      </c>
      <c r="M8" s="424">
        <f t="shared" si="0"/>
        <v>0.15999999999999998</v>
      </c>
      <c r="N8" s="396">
        <f t="shared" si="1"/>
        <v>0.2</v>
      </c>
      <c r="Q8">
        <f t="shared" ref="Q8:Q63" si="2">Q7+0.5</f>
        <v>1978.25</v>
      </c>
      <c r="S8" s="35">
        <f>D6</f>
        <v>0.04</v>
      </c>
      <c r="T8" s="622">
        <v>1977</v>
      </c>
      <c r="U8" s="35">
        <f>D7</f>
        <v>0.26</v>
      </c>
      <c r="V8" s="9">
        <f>LN(S9/S8)</f>
        <v>2.0149030205422647</v>
      </c>
      <c r="W8" s="422" t="s">
        <v>544</v>
      </c>
      <c r="X8" s="9">
        <f t="shared" ref="X8:X47" si="3">U9/U8</f>
        <v>4.3692307692307688</v>
      </c>
      <c r="Y8" s="422" t="s">
        <v>544</v>
      </c>
      <c r="Z8" s="461">
        <f t="shared" ref="Z8:Z28" si="4">U8/S8</f>
        <v>6.5</v>
      </c>
      <c r="AA8" s="462">
        <f t="shared" ref="AA8:AA28" si="5">S9/U8</f>
        <v>1.1538461538461537</v>
      </c>
      <c r="AB8" s="40">
        <v>1977</v>
      </c>
      <c r="AC8" s="35">
        <v>0.12</v>
      </c>
      <c r="AD8" s="35">
        <v>0.14000000000000001</v>
      </c>
      <c r="AE8">
        <v>1977</v>
      </c>
      <c r="AF8" s="35">
        <v>0.12</v>
      </c>
      <c r="AG8" s="35">
        <v>0.14000000000000001</v>
      </c>
    </row>
    <row r="9" spans="1:33" x14ac:dyDescent="0.2">
      <c r="A9" s="1" t="s">
        <v>33</v>
      </c>
      <c r="B9" s="2"/>
      <c r="C9" s="2"/>
      <c r="D9" s="61">
        <v>1.1359999999999999</v>
      </c>
      <c r="E9" s="423">
        <v>0.7</v>
      </c>
      <c r="F9" s="395">
        <v>1.9</v>
      </c>
      <c r="G9" s="271" t="s">
        <v>534</v>
      </c>
      <c r="M9" s="424">
        <f t="shared" si="0"/>
        <v>0.43599999999999994</v>
      </c>
      <c r="N9" s="396">
        <f t="shared" si="1"/>
        <v>0.76400000000000001</v>
      </c>
      <c r="Q9">
        <f t="shared" si="2"/>
        <v>1978.75</v>
      </c>
      <c r="S9" s="35">
        <f>D8</f>
        <v>0.3</v>
      </c>
      <c r="T9" s="622">
        <f>T8+1</f>
        <v>1978</v>
      </c>
      <c r="U9" s="35">
        <f>D9</f>
        <v>1.1359999999999999</v>
      </c>
      <c r="V9" s="9">
        <f t="shared" ref="V9:V47" si="6">LN(S10/S9)</f>
        <v>0.88926205948623582</v>
      </c>
      <c r="W9" s="422" t="s">
        <v>544</v>
      </c>
      <c r="X9" s="9">
        <f t="shared" si="3"/>
        <v>3.1795774647887329</v>
      </c>
      <c r="Y9" s="422" t="s">
        <v>544</v>
      </c>
      <c r="Z9" s="461">
        <f t="shared" si="4"/>
        <v>3.7866666666666666</v>
      </c>
      <c r="AA9" s="462">
        <f t="shared" si="5"/>
        <v>0.64260563380281699</v>
      </c>
      <c r="AB9" s="40">
        <v>1978</v>
      </c>
      <c r="AC9" s="35">
        <v>0.43599999999999994</v>
      </c>
      <c r="AD9" s="35">
        <v>0.76400000000000001</v>
      </c>
      <c r="AE9">
        <v>1978</v>
      </c>
      <c r="AF9" s="35">
        <v>0.43599999999999994</v>
      </c>
      <c r="AG9" s="35">
        <v>0.76400000000000001</v>
      </c>
    </row>
    <row r="10" spans="1:33" x14ac:dyDescent="0.2">
      <c r="A10" s="1" t="s">
        <v>34</v>
      </c>
      <c r="B10" s="2"/>
      <c r="C10" s="2"/>
      <c r="D10" s="61">
        <v>0.73</v>
      </c>
      <c r="E10" s="423">
        <v>0.4</v>
      </c>
      <c r="F10" s="395">
        <v>1.3</v>
      </c>
      <c r="G10" s="271" t="s">
        <v>535</v>
      </c>
      <c r="M10" s="424">
        <f t="shared" si="0"/>
        <v>0.32999999999999996</v>
      </c>
      <c r="N10" s="396">
        <f t="shared" si="1"/>
        <v>0.57000000000000006</v>
      </c>
      <c r="Q10">
        <f t="shared" si="2"/>
        <v>1979.25</v>
      </c>
      <c r="S10" s="35">
        <f>D10</f>
        <v>0.73</v>
      </c>
      <c r="T10" s="622">
        <f t="shared" ref="T10:T16" si="7">T9+1</f>
        <v>1979</v>
      </c>
      <c r="U10" s="35">
        <f>D11</f>
        <v>3.6120000000000001</v>
      </c>
      <c r="V10" s="9">
        <f t="shared" si="6"/>
        <v>0.98356523283060104</v>
      </c>
      <c r="W10" s="422" t="s">
        <v>544</v>
      </c>
      <c r="X10" s="9">
        <f t="shared" si="3"/>
        <v>0.94130675526024354</v>
      </c>
      <c r="Y10" s="422" t="s">
        <v>545</v>
      </c>
      <c r="Z10" s="461">
        <f t="shared" si="4"/>
        <v>4.9479452054794519</v>
      </c>
      <c r="AA10" s="462">
        <f t="shared" si="5"/>
        <v>0.54042081949058696</v>
      </c>
      <c r="AB10" s="40">
        <v>1979</v>
      </c>
      <c r="AC10" s="35">
        <v>0.21200000000000019</v>
      </c>
      <c r="AD10" s="35">
        <v>0.3879999999999999</v>
      </c>
      <c r="AE10">
        <v>1979</v>
      </c>
      <c r="AF10" s="35">
        <v>0.21200000000000019</v>
      </c>
      <c r="AG10" s="35">
        <v>0.3879999999999999</v>
      </c>
    </row>
    <row r="11" spans="1:33" x14ac:dyDescent="0.2">
      <c r="A11" s="1" t="s">
        <v>35</v>
      </c>
      <c r="B11" s="2"/>
      <c r="C11" s="2"/>
      <c r="D11" s="61">
        <v>3.6120000000000001</v>
      </c>
      <c r="E11" s="423">
        <v>3.4</v>
      </c>
      <c r="F11" s="395">
        <v>4</v>
      </c>
      <c r="G11" s="397"/>
      <c r="M11" s="424">
        <f t="shared" si="0"/>
        <v>0.21200000000000019</v>
      </c>
      <c r="N11" s="396">
        <f t="shared" si="1"/>
        <v>0.3879999999999999</v>
      </c>
      <c r="Q11">
        <f t="shared" si="2"/>
        <v>1979.75</v>
      </c>
      <c r="S11" s="35">
        <f>D12</f>
        <v>1.952</v>
      </c>
      <c r="T11" s="622">
        <f t="shared" si="7"/>
        <v>1980</v>
      </c>
      <c r="U11" s="35">
        <f>D13</f>
        <v>3.4</v>
      </c>
      <c r="V11" s="9">
        <f t="shared" si="6"/>
        <v>0.38949120744865373</v>
      </c>
      <c r="W11" s="422" t="s">
        <v>545</v>
      </c>
      <c r="X11" s="9">
        <f t="shared" si="3"/>
        <v>1.3029411764705883</v>
      </c>
      <c r="Y11" s="422" t="s">
        <v>545</v>
      </c>
      <c r="Z11" s="461">
        <f t="shared" si="4"/>
        <v>1.7418032786885247</v>
      </c>
      <c r="AA11" s="462">
        <f t="shared" si="5"/>
        <v>0.84752941176470586</v>
      </c>
      <c r="AB11" s="40">
        <v>1980</v>
      </c>
      <c r="AC11" s="35">
        <v>0.5</v>
      </c>
      <c r="AD11" s="35">
        <v>0.60000000000000009</v>
      </c>
      <c r="AE11">
        <v>1980</v>
      </c>
      <c r="AF11" s="35">
        <v>0.5</v>
      </c>
      <c r="AG11" s="35">
        <v>0.60000000000000009</v>
      </c>
    </row>
    <row r="12" spans="1:33" x14ac:dyDescent="0.2">
      <c r="A12" s="1" t="s">
        <v>36</v>
      </c>
      <c r="B12" s="2"/>
      <c r="C12" s="2"/>
      <c r="D12" s="61">
        <v>1.952</v>
      </c>
      <c r="E12" s="423">
        <v>1.4</v>
      </c>
      <c r="F12" s="395">
        <v>2.5</v>
      </c>
      <c r="M12" s="424">
        <f t="shared" si="0"/>
        <v>0.55200000000000005</v>
      </c>
      <c r="N12" s="396">
        <f t="shared" si="1"/>
        <v>0.54800000000000004</v>
      </c>
      <c r="Q12">
        <f t="shared" si="2"/>
        <v>1980.25</v>
      </c>
      <c r="S12" s="35">
        <f>D14</f>
        <v>2.8815999999999997</v>
      </c>
      <c r="T12" s="622">
        <f t="shared" si="7"/>
        <v>1981</v>
      </c>
      <c r="U12" s="35">
        <f>D15</f>
        <v>4.43</v>
      </c>
      <c r="V12" s="9">
        <f t="shared" si="6"/>
        <v>-1.34629447011988</v>
      </c>
      <c r="W12" s="422" t="s">
        <v>546</v>
      </c>
      <c r="X12" s="9">
        <f t="shared" si="3"/>
        <v>6.772009029345373E-2</v>
      </c>
      <c r="Y12" s="422" t="s">
        <v>546</v>
      </c>
      <c r="Z12" s="461">
        <f t="shared" si="4"/>
        <v>1.537340366463076</v>
      </c>
      <c r="AA12" s="462">
        <f t="shared" si="5"/>
        <v>0.169255079006772</v>
      </c>
      <c r="AB12" s="40">
        <v>1981</v>
      </c>
      <c r="AC12" s="35">
        <v>0.5299999999999998</v>
      </c>
      <c r="AD12" s="35">
        <v>0.57000000000000028</v>
      </c>
      <c r="AE12">
        <v>1981</v>
      </c>
      <c r="AF12" s="35">
        <v>0.5299999999999998</v>
      </c>
      <c r="AG12" s="35">
        <v>0.57000000000000028</v>
      </c>
    </row>
    <row r="13" spans="1:33" x14ac:dyDescent="0.2">
      <c r="A13" s="1" t="s">
        <v>37</v>
      </c>
      <c r="B13" s="2"/>
      <c r="C13" s="2"/>
      <c r="D13" s="61">
        <v>3.4</v>
      </c>
      <c r="E13" s="423">
        <v>2.9</v>
      </c>
      <c r="F13" s="395">
        <v>4</v>
      </c>
      <c r="M13" s="424">
        <f t="shared" si="0"/>
        <v>0.5</v>
      </c>
      <c r="N13" s="396">
        <f t="shared" si="1"/>
        <v>0.60000000000000009</v>
      </c>
      <c r="Q13">
        <f t="shared" si="2"/>
        <v>1980.75</v>
      </c>
      <c r="S13" s="35">
        <f>D16</f>
        <v>0.74979999999999991</v>
      </c>
      <c r="T13" s="622">
        <f t="shared" si="7"/>
        <v>1982</v>
      </c>
      <c r="U13" s="35">
        <f>D17</f>
        <v>0.3</v>
      </c>
      <c r="V13" s="9">
        <f t="shared" si="6"/>
        <v>-1.6781640816925072</v>
      </c>
      <c r="W13" s="422" t="s">
        <v>546</v>
      </c>
      <c r="X13" s="9">
        <f t="shared" si="3"/>
        <v>0.92600000000000016</v>
      </c>
      <c r="Y13" s="422" t="s">
        <v>546</v>
      </c>
      <c r="Z13" s="461">
        <f t="shared" si="4"/>
        <v>0.40010669511869834</v>
      </c>
      <c r="AA13" s="462">
        <f t="shared" si="5"/>
        <v>0.46666666666666673</v>
      </c>
      <c r="AB13" s="40">
        <v>1982</v>
      </c>
      <c r="AC13" s="35">
        <v>0.15999999999999998</v>
      </c>
      <c r="AD13" s="35">
        <v>0.18</v>
      </c>
      <c r="AE13">
        <v>1982</v>
      </c>
      <c r="AF13" s="35">
        <v>0.15999999999999998</v>
      </c>
      <c r="AG13" s="35">
        <v>0.18</v>
      </c>
    </row>
    <row r="14" spans="1:33" x14ac:dyDescent="0.2">
      <c r="A14" s="1" t="s">
        <v>38</v>
      </c>
      <c r="B14" s="2"/>
      <c r="C14" s="2"/>
      <c r="D14" s="61">
        <v>2.8815999999999997</v>
      </c>
      <c r="E14" s="423">
        <v>2.2999999999999998</v>
      </c>
      <c r="F14" s="395">
        <v>3.5</v>
      </c>
      <c r="M14" s="424">
        <f t="shared" si="0"/>
        <v>0.58159999999999989</v>
      </c>
      <c r="N14" s="396">
        <f t="shared" si="1"/>
        <v>0.61840000000000028</v>
      </c>
      <c r="Q14">
        <f t="shared" si="2"/>
        <v>1981.25</v>
      </c>
      <c r="S14" s="35">
        <f>D18</f>
        <v>0.14000000000000001</v>
      </c>
      <c r="T14" s="622">
        <f t="shared" si="7"/>
        <v>1983</v>
      </c>
      <c r="U14" s="35">
        <f>D19</f>
        <v>0.27780000000000005</v>
      </c>
      <c r="V14" s="9">
        <f t="shared" si="6"/>
        <v>0.13353139262452257</v>
      </c>
      <c r="W14" s="422" t="s">
        <v>547</v>
      </c>
      <c r="X14" s="9">
        <f t="shared" si="3"/>
        <v>0.93592512598992073</v>
      </c>
      <c r="Y14" s="422" t="s">
        <v>547</v>
      </c>
      <c r="Z14" s="461">
        <f t="shared" si="4"/>
        <v>1.9842857142857144</v>
      </c>
      <c r="AA14" s="462">
        <f t="shared" si="5"/>
        <v>0.57595392368610498</v>
      </c>
      <c r="AB14" s="40">
        <v>1983</v>
      </c>
      <c r="AC14" s="35">
        <v>0.13780000000000003</v>
      </c>
      <c r="AD14" s="35">
        <v>0.17219999999999996</v>
      </c>
      <c r="AE14">
        <v>1983</v>
      </c>
      <c r="AF14" s="35">
        <v>0.13780000000000003</v>
      </c>
      <c r="AG14" s="35">
        <v>0.17219999999999996</v>
      </c>
    </row>
    <row r="15" spans="1:33" x14ac:dyDescent="0.2">
      <c r="A15" s="1" t="s">
        <v>39</v>
      </c>
      <c r="B15" s="2"/>
      <c r="C15" s="2"/>
      <c r="D15" s="61">
        <v>4.43</v>
      </c>
      <c r="E15" s="423">
        <v>3.9</v>
      </c>
      <c r="F15" s="395">
        <v>5</v>
      </c>
      <c r="M15" s="424">
        <f t="shared" si="0"/>
        <v>0.5299999999999998</v>
      </c>
      <c r="N15" s="396">
        <f t="shared" si="1"/>
        <v>0.57000000000000028</v>
      </c>
      <c r="Q15">
        <f t="shared" si="2"/>
        <v>1981.75</v>
      </c>
      <c r="S15" s="35">
        <f>D20</f>
        <v>0.16</v>
      </c>
      <c r="T15" s="622">
        <f>T14+1</f>
        <v>1984</v>
      </c>
      <c r="U15" s="35">
        <f>D21</f>
        <v>0.26</v>
      </c>
      <c r="V15" s="9">
        <f t="shared" si="6"/>
        <v>0</v>
      </c>
      <c r="W15" s="422" t="s">
        <v>547</v>
      </c>
      <c r="X15" s="9">
        <f t="shared" si="3"/>
        <v>1.0884615384615384</v>
      </c>
      <c r="Y15" s="422" t="s">
        <v>547</v>
      </c>
      <c r="Z15" s="461">
        <f t="shared" si="4"/>
        <v>1.625</v>
      </c>
      <c r="AA15" s="462">
        <f t="shared" si="5"/>
        <v>0.61538461538461542</v>
      </c>
      <c r="AB15" s="40">
        <v>1984</v>
      </c>
      <c r="AC15" s="35">
        <v>0.11000000000000001</v>
      </c>
      <c r="AD15" s="35">
        <v>0.15999999999999998</v>
      </c>
      <c r="AE15">
        <v>1984</v>
      </c>
      <c r="AF15" s="35">
        <v>0.11000000000000001</v>
      </c>
      <c r="AG15" s="35">
        <v>0.15999999999999998</v>
      </c>
    </row>
    <row r="16" spans="1:33" x14ac:dyDescent="0.2">
      <c r="A16" s="1" t="s">
        <v>40</v>
      </c>
      <c r="B16" s="2"/>
      <c r="C16" s="2"/>
      <c r="D16" s="61">
        <v>0.74979999999999991</v>
      </c>
      <c r="E16" s="423">
        <v>0.56999999999999995</v>
      </c>
      <c r="F16" s="395">
        <v>0.95</v>
      </c>
      <c r="M16" s="424">
        <f t="shared" si="0"/>
        <v>0.17979999999999996</v>
      </c>
      <c r="N16" s="396">
        <f t="shared" si="1"/>
        <v>0.20020000000000004</v>
      </c>
      <c r="Q16">
        <f t="shared" si="2"/>
        <v>1982.25</v>
      </c>
      <c r="S16" s="35">
        <f>D22</f>
        <v>0.16</v>
      </c>
      <c r="T16" s="622">
        <f t="shared" si="7"/>
        <v>1985</v>
      </c>
      <c r="U16" s="35">
        <f>D23</f>
        <v>0.28299999999999997</v>
      </c>
      <c r="V16" s="9">
        <f t="shared" si="6"/>
        <v>-0.31299988043607069</v>
      </c>
      <c r="W16" s="422" t="s">
        <v>547</v>
      </c>
      <c r="X16" s="9">
        <f t="shared" si="3"/>
        <v>0.70671378091872805</v>
      </c>
      <c r="Y16" s="422" t="s">
        <v>547</v>
      </c>
      <c r="Z16" s="461">
        <f t="shared" si="4"/>
        <v>1.7687499999999998</v>
      </c>
      <c r="AA16" s="462">
        <f t="shared" si="5"/>
        <v>0.41342756183745588</v>
      </c>
      <c r="AB16" s="40">
        <v>1985</v>
      </c>
      <c r="AC16" s="35">
        <v>9.2999999999999972E-2</v>
      </c>
      <c r="AD16" s="35">
        <v>0.11700000000000005</v>
      </c>
      <c r="AE16">
        <v>1985</v>
      </c>
      <c r="AF16" s="35">
        <v>9.2999999999999972E-2</v>
      </c>
      <c r="AG16" s="35">
        <v>0.11700000000000005</v>
      </c>
    </row>
    <row r="17" spans="1:35" x14ac:dyDescent="0.2">
      <c r="A17" s="1" t="s">
        <v>41</v>
      </c>
      <c r="B17" s="2"/>
      <c r="C17" s="2"/>
      <c r="D17" s="61">
        <v>0.3</v>
      </c>
      <c r="E17" s="423">
        <v>0.14000000000000001</v>
      </c>
      <c r="F17" s="395">
        <v>0.48</v>
      </c>
      <c r="M17" s="424">
        <f t="shared" si="0"/>
        <v>0.15999999999999998</v>
      </c>
      <c r="N17" s="396">
        <f t="shared" si="1"/>
        <v>0.18</v>
      </c>
      <c r="Q17">
        <f t="shared" si="2"/>
        <v>1982.75</v>
      </c>
      <c r="S17" s="35">
        <f>D24</f>
        <v>0.11700000000000001</v>
      </c>
      <c r="T17" s="622">
        <v>1986</v>
      </c>
      <c r="U17" s="35">
        <f>D25</f>
        <v>0.2</v>
      </c>
      <c r="V17" s="9">
        <f t="shared" si="6"/>
        <v>0.41843851804229826</v>
      </c>
      <c r="W17" s="422" t="s">
        <v>547</v>
      </c>
      <c r="X17" s="9">
        <f t="shared" si="3"/>
        <v>2.2272499999999997</v>
      </c>
      <c r="Y17" s="422" t="s">
        <v>544</v>
      </c>
      <c r="Z17" s="461">
        <f t="shared" si="4"/>
        <v>1.7094017094017093</v>
      </c>
      <c r="AA17" s="462">
        <f t="shared" si="5"/>
        <v>0.88895833333333341</v>
      </c>
      <c r="AB17" s="40">
        <v>1986</v>
      </c>
      <c r="AC17" s="35">
        <v>5.0000000000000017E-2</v>
      </c>
      <c r="AD17" s="35">
        <v>0.16999999999999998</v>
      </c>
      <c r="AE17">
        <v>1986</v>
      </c>
      <c r="AF17" s="35">
        <v>5.0000000000000017E-2</v>
      </c>
      <c r="AG17" s="35">
        <v>0.16999999999999998</v>
      </c>
    </row>
    <row r="18" spans="1:35" x14ac:dyDescent="0.2">
      <c r="A18" s="1" t="s">
        <v>42</v>
      </c>
      <c r="B18" s="2"/>
      <c r="C18" s="2"/>
      <c r="D18" s="61">
        <v>0.14000000000000001</v>
      </c>
      <c r="E18" s="423">
        <v>0.09</v>
      </c>
      <c r="F18" s="395">
        <v>0.2</v>
      </c>
      <c r="M18" s="424">
        <f t="shared" si="0"/>
        <v>5.0000000000000017E-2</v>
      </c>
      <c r="N18" s="396">
        <f t="shared" si="1"/>
        <v>0.06</v>
      </c>
      <c r="Q18">
        <f t="shared" si="2"/>
        <v>1983.25</v>
      </c>
      <c r="S18" s="35">
        <f>D26</f>
        <v>0.17779166666666668</v>
      </c>
      <c r="T18" s="622">
        <f>T17+1</f>
        <v>1987</v>
      </c>
      <c r="U18" s="35">
        <f>D27</f>
        <v>0.44545000000000001</v>
      </c>
      <c r="V18" s="9">
        <f t="shared" si="6"/>
        <v>1.0764163614660895</v>
      </c>
      <c r="W18" s="422" t="s">
        <v>544</v>
      </c>
      <c r="X18" s="9">
        <f t="shared" si="3"/>
        <v>2.6265574138511614</v>
      </c>
      <c r="Y18" s="422" t="s">
        <v>544</v>
      </c>
      <c r="Z18" s="461">
        <f t="shared" si="4"/>
        <v>2.5054605108975858</v>
      </c>
      <c r="AA18" s="462">
        <f t="shared" si="5"/>
        <v>1.1711003853780821</v>
      </c>
      <c r="AB18" s="40">
        <v>1987</v>
      </c>
      <c r="AC18" s="35">
        <v>3.1849999999999989E-2</v>
      </c>
      <c r="AD18" s="35">
        <v>0.39895000000000003</v>
      </c>
      <c r="AE18">
        <v>1987</v>
      </c>
      <c r="AF18" s="35">
        <v>3.1849999999999989E-2</v>
      </c>
      <c r="AG18" s="35">
        <v>0.39895000000000003</v>
      </c>
    </row>
    <row r="19" spans="1:35" x14ac:dyDescent="0.2">
      <c r="A19" s="1" t="s">
        <v>43</v>
      </c>
      <c r="B19" s="2"/>
      <c r="C19" s="2"/>
      <c r="D19" s="61">
        <v>0.27780000000000005</v>
      </c>
      <c r="E19" s="423">
        <v>0.14000000000000001</v>
      </c>
      <c r="F19" s="395">
        <v>0.45</v>
      </c>
      <c r="M19" s="424">
        <f t="shared" si="0"/>
        <v>0.13780000000000003</v>
      </c>
      <c r="N19" s="396">
        <f t="shared" si="1"/>
        <v>0.17219999999999996</v>
      </c>
      <c r="Q19">
        <f t="shared" si="2"/>
        <v>1983.75</v>
      </c>
      <c r="S19" s="35">
        <f>D28</f>
        <v>0.52166666666666672</v>
      </c>
      <c r="T19" s="622">
        <f t="shared" ref="T19:T33" si="8">T18+1</f>
        <v>1988</v>
      </c>
      <c r="U19" s="35">
        <f>D29</f>
        <v>1.17</v>
      </c>
      <c r="V19" s="9">
        <f t="shared" si="6"/>
        <v>0.5794989553876253</v>
      </c>
      <c r="W19" s="422" t="s">
        <v>544</v>
      </c>
      <c r="X19" s="9">
        <f t="shared" si="3"/>
        <v>1.3691452991452993</v>
      </c>
      <c r="Y19" s="422" t="s">
        <v>545</v>
      </c>
      <c r="Z19" s="461">
        <f t="shared" si="4"/>
        <v>2.2428115015974437</v>
      </c>
      <c r="AA19" s="462">
        <f t="shared" si="5"/>
        <v>0.795940170940171</v>
      </c>
      <c r="AB19" s="40">
        <v>1988</v>
      </c>
      <c r="AC19" s="35">
        <v>0.26999999999999991</v>
      </c>
      <c r="AD19" s="35">
        <v>0.53</v>
      </c>
      <c r="AE19">
        <v>1988</v>
      </c>
      <c r="AF19" s="35">
        <v>0.26999999999999991</v>
      </c>
      <c r="AG19" s="35">
        <v>0.53</v>
      </c>
    </row>
    <row r="20" spans="1:35" x14ac:dyDescent="0.2">
      <c r="A20" s="1" t="s">
        <v>44</v>
      </c>
      <c r="B20" s="2"/>
      <c r="C20" s="2"/>
      <c r="D20" s="61">
        <v>0.16</v>
      </c>
      <c r="E20" s="423">
        <v>7.0000000000000007E-2</v>
      </c>
      <c r="F20" s="395">
        <v>0.24</v>
      </c>
      <c r="M20" s="424">
        <f t="shared" si="0"/>
        <v>0.09</v>
      </c>
      <c r="N20" s="396">
        <f t="shared" si="1"/>
        <v>7.9999999999999988E-2</v>
      </c>
      <c r="Q20">
        <f t="shared" si="2"/>
        <v>1984.25</v>
      </c>
      <c r="S20" s="35">
        <f>D30</f>
        <v>0.93125000000000002</v>
      </c>
      <c r="T20" s="622">
        <f t="shared" si="8"/>
        <v>1989</v>
      </c>
      <c r="U20" s="35">
        <f>D31</f>
        <v>1.6019000000000001</v>
      </c>
      <c r="V20" s="9">
        <f t="shared" si="6"/>
        <v>0.48581752517353266</v>
      </c>
      <c r="W20" s="422" t="s">
        <v>544</v>
      </c>
      <c r="X20" s="9">
        <f t="shared" si="3"/>
        <v>1.6511642424620763</v>
      </c>
      <c r="Y20" s="422" t="s">
        <v>545</v>
      </c>
      <c r="Z20" s="461">
        <f t="shared" si="4"/>
        <v>1.7201610738255033</v>
      </c>
      <c r="AA20" s="462">
        <f t="shared" si="5"/>
        <v>0.94497159622947735</v>
      </c>
      <c r="AB20" s="40">
        <v>1989</v>
      </c>
      <c r="AC20" s="35">
        <v>0.28190000000000004</v>
      </c>
      <c r="AD20" s="35">
        <v>0.40809999999999969</v>
      </c>
      <c r="AE20">
        <v>1989</v>
      </c>
      <c r="AF20" s="35">
        <v>0.28190000000000004</v>
      </c>
      <c r="AG20" s="35">
        <v>0.40809999999999969</v>
      </c>
    </row>
    <row r="21" spans="1:35" x14ac:dyDescent="0.2">
      <c r="A21" s="1" t="s">
        <v>45</v>
      </c>
      <c r="B21" s="2"/>
      <c r="C21" s="2"/>
      <c r="D21" s="61">
        <v>0.26</v>
      </c>
      <c r="E21" s="423">
        <v>0.15</v>
      </c>
      <c r="F21" s="395">
        <v>0.42</v>
      </c>
      <c r="M21" s="424">
        <f t="shared" si="0"/>
        <v>0.11000000000000001</v>
      </c>
      <c r="N21" s="396">
        <f t="shared" si="1"/>
        <v>0.15999999999999998</v>
      </c>
      <c r="Q21">
        <f t="shared" si="2"/>
        <v>1984.75</v>
      </c>
      <c r="S21" s="35">
        <f>D32</f>
        <v>1.5137499999999999</v>
      </c>
      <c r="T21" s="622">
        <f t="shared" si="8"/>
        <v>1990</v>
      </c>
      <c r="U21" s="35">
        <f>D33</f>
        <v>2.645</v>
      </c>
      <c r="V21" s="9">
        <f t="shared" si="6"/>
        <v>-0.39601363031222941</v>
      </c>
      <c r="W21" s="422" t="s">
        <v>545</v>
      </c>
      <c r="X21" s="9">
        <f t="shared" si="3"/>
        <v>0.32514177693761814</v>
      </c>
      <c r="Y21" s="422" t="s">
        <v>545</v>
      </c>
      <c r="Z21" s="461">
        <f t="shared" si="4"/>
        <v>1.7473162675474816</v>
      </c>
      <c r="AA21" s="462">
        <f t="shared" si="5"/>
        <v>0.38516068052930058</v>
      </c>
      <c r="AB21" s="40">
        <v>1990</v>
      </c>
      <c r="AC21" s="35">
        <v>0.79499999999999993</v>
      </c>
      <c r="AD21" s="35">
        <v>1.1850000000000001</v>
      </c>
      <c r="AE21">
        <v>1990</v>
      </c>
      <c r="AF21" s="35">
        <v>0.79499999999999993</v>
      </c>
      <c r="AG21" s="35">
        <v>1.1850000000000001</v>
      </c>
    </row>
    <row r="22" spans="1:35" x14ac:dyDescent="0.2">
      <c r="A22" s="1" t="s">
        <v>46</v>
      </c>
      <c r="B22" s="2"/>
      <c r="C22" s="2"/>
      <c r="D22" s="394">
        <v>0.16</v>
      </c>
      <c r="E22" s="423">
        <v>0.1</v>
      </c>
      <c r="F22" s="395">
        <v>0.24</v>
      </c>
      <c r="M22" s="424">
        <f t="shared" si="0"/>
        <v>0.06</v>
      </c>
      <c r="N22" s="396">
        <f t="shared" si="1"/>
        <v>7.9999999999999988E-2</v>
      </c>
      <c r="Q22">
        <f t="shared" si="2"/>
        <v>1985.25</v>
      </c>
      <c r="S22" s="35">
        <f>D34</f>
        <v>1.01875</v>
      </c>
      <c r="T22" s="622">
        <f t="shared" si="8"/>
        <v>1991</v>
      </c>
      <c r="U22" s="35">
        <f>D35</f>
        <v>0.86</v>
      </c>
      <c r="V22" s="9">
        <f t="shared" si="6"/>
        <v>-1.2407697360123997</v>
      </c>
      <c r="W22" s="422" t="s">
        <v>546</v>
      </c>
      <c r="X22" s="9">
        <f t="shared" si="3"/>
        <v>0.15843023255813954</v>
      </c>
      <c r="Y22" s="422" t="s">
        <v>546</v>
      </c>
      <c r="Z22" s="461">
        <f t="shared" si="4"/>
        <v>0.84417177914110419</v>
      </c>
      <c r="AA22" s="462">
        <f t="shared" si="5"/>
        <v>0.34253875968992248</v>
      </c>
      <c r="AB22" s="40">
        <v>1991</v>
      </c>
      <c r="AC22" s="35">
        <v>0.22999999999999998</v>
      </c>
      <c r="AD22" s="35">
        <v>0.29999999999999993</v>
      </c>
      <c r="AE22">
        <v>1991</v>
      </c>
      <c r="AF22" s="35">
        <v>0.22999999999999998</v>
      </c>
      <c r="AG22" s="35">
        <v>0.29999999999999993</v>
      </c>
      <c r="AI22">
        <f>LN(0.44)</f>
        <v>-0.82098055206983023</v>
      </c>
    </row>
    <row r="23" spans="1:35" x14ac:dyDescent="0.2">
      <c r="A23" s="1" t="s">
        <v>47</v>
      </c>
      <c r="B23" s="2"/>
      <c r="C23" s="2"/>
      <c r="D23" s="394">
        <v>0.28299999999999997</v>
      </c>
      <c r="E23" s="423">
        <v>0.19</v>
      </c>
      <c r="F23" s="395">
        <v>0.4</v>
      </c>
      <c r="M23" s="424">
        <f t="shared" si="0"/>
        <v>9.2999999999999972E-2</v>
      </c>
      <c r="N23" s="396">
        <f t="shared" si="1"/>
        <v>0.11700000000000005</v>
      </c>
      <c r="Q23">
        <f t="shared" si="2"/>
        <v>1985.75</v>
      </c>
      <c r="S23" s="35">
        <f>D36</f>
        <v>0.29458333333333331</v>
      </c>
      <c r="T23" s="622">
        <f t="shared" si="8"/>
        <v>1992</v>
      </c>
      <c r="U23" s="35">
        <f>D37</f>
        <v>0.13625000000000001</v>
      </c>
      <c r="V23" s="9">
        <f t="shared" si="6"/>
        <v>-1.1674031195442112</v>
      </c>
      <c r="W23" s="422" t="s">
        <v>546</v>
      </c>
      <c r="X23" s="9">
        <f t="shared" si="3"/>
        <v>1.1865443425076452</v>
      </c>
      <c r="Y23" s="422" t="s">
        <v>547</v>
      </c>
      <c r="Z23" s="461">
        <f t="shared" si="4"/>
        <v>0.46251768033946261</v>
      </c>
      <c r="AA23" s="462">
        <f t="shared" si="5"/>
        <v>0.672782874617737</v>
      </c>
      <c r="AB23" s="40">
        <v>1992</v>
      </c>
      <c r="AC23" s="35">
        <v>5.645E-2</v>
      </c>
      <c r="AD23" s="35">
        <v>0.13791666666666666</v>
      </c>
      <c r="AE23">
        <v>1992</v>
      </c>
      <c r="AF23" s="35">
        <v>5.645E-2</v>
      </c>
      <c r="AG23" s="35">
        <v>0.13791666666666666</v>
      </c>
      <c r="AI23">
        <f>LN(1.89)</f>
        <v>0.636576829071551</v>
      </c>
    </row>
    <row r="24" spans="1:35" x14ac:dyDescent="0.2">
      <c r="A24" s="1" t="s">
        <v>48</v>
      </c>
      <c r="B24" s="2">
        <v>9.1999999999999998E-2</v>
      </c>
      <c r="C24" s="2"/>
      <c r="D24" s="394">
        <v>0.11700000000000001</v>
      </c>
      <c r="E24" s="2">
        <v>7.0000000000000007E-2</v>
      </c>
      <c r="F24" s="2">
        <v>0.16</v>
      </c>
      <c r="I24" s="11">
        <v>0.11700000000000001</v>
      </c>
      <c r="J24" s="11"/>
      <c r="K24" s="11"/>
      <c r="M24" s="35">
        <f t="shared" si="0"/>
        <v>4.7E-2</v>
      </c>
      <c r="N24" s="35">
        <f t="shared" si="1"/>
        <v>4.2999999999999997E-2</v>
      </c>
      <c r="Q24">
        <f t="shared" si="2"/>
        <v>1986.25</v>
      </c>
      <c r="S24" s="35">
        <f>D38</f>
        <v>9.1666666666666674E-2</v>
      </c>
      <c r="T24" s="622">
        <f t="shared" si="8"/>
        <v>1993</v>
      </c>
      <c r="U24" s="35">
        <f>D39</f>
        <v>0.16166666666666665</v>
      </c>
      <c r="V24" s="9">
        <f t="shared" si="6"/>
        <v>-0.33738174100405366</v>
      </c>
      <c r="W24" s="422" t="s">
        <v>547</v>
      </c>
      <c r="X24" s="9">
        <f t="shared" si="3"/>
        <v>2.5773195876288661</v>
      </c>
      <c r="Y24" s="422" t="s">
        <v>544</v>
      </c>
      <c r="Z24" s="461">
        <f t="shared" si="4"/>
        <v>1.7636363636363634</v>
      </c>
      <c r="AA24" s="462">
        <f t="shared" si="5"/>
        <v>0.40463917525773196</v>
      </c>
      <c r="AB24" s="40">
        <v>1993</v>
      </c>
      <c r="AC24" s="35">
        <v>8.8033333333333325E-2</v>
      </c>
      <c r="AD24" s="35">
        <v>0.12981666666666666</v>
      </c>
      <c r="AE24">
        <v>1993</v>
      </c>
      <c r="AF24" s="35">
        <v>8.8033333333333325E-2</v>
      </c>
      <c r="AG24" s="35">
        <v>0.12981666666666666</v>
      </c>
    </row>
    <row r="25" spans="1:35" x14ac:dyDescent="0.2">
      <c r="A25" s="1" t="s">
        <v>49</v>
      </c>
      <c r="B25" s="2">
        <v>0.2</v>
      </c>
      <c r="C25" s="2"/>
      <c r="D25" s="394">
        <v>0.2</v>
      </c>
      <c r="E25" s="2">
        <v>0.15</v>
      </c>
      <c r="F25" s="2">
        <v>0.37</v>
      </c>
      <c r="I25" s="11">
        <v>0.2</v>
      </c>
      <c r="J25" s="11">
        <v>0.15</v>
      </c>
      <c r="K25" s="11">
        <v>0.37</v>
      </c>
      <c r="M25" s="35">
        <f t="shared" si="0"/>
        <v>5.0000000000000017E-2</v>
      </c>
      <c r="N25" s="35">
        <f t="shared" si="1"/>
        <v>0.16999999999999998</v>
      </c>
      <c r="Q25">
        <f t="shared" si="2"/>
        <v>1986.75</v>
      </c>
      <c r="S25" s="35">
        <f>D40</f>
        <v>6.5416666666666665E-2</v>
      </c>
      <c r="T25" s="622">
        <f t="shared" si="8"/>
        <v>1994</v>
      </c>
      <c r="U25" s="35">
        <f>D41</f>
        <v>0.41666666666666669</v>
      </c>
      <c r="V25" s="9">
        <f t="shared" si="6"/>
        <v>0.66733929660407276</v>
      </c>
      <c r="W25" s="422" t="s">
        <v>547</v>
      </c>
      <c r="X25" s="9">
        <f t="shared" si="3"/>
        <v>1.8069999999999999</v>
      </c>
      <c r="Y25" s="422" t="s">
        <v>544</v>
      </c>
      <c r="Z25" s="461">
        <f t="shared" si="4"/>
        <v>6.369426751592357</v>
      </c>
      <c r="AA25" s="462">
        <f t="shared" si="5"/>
        <v>0.30599999999999999</v>
      </c>
      <c r="AB25" s="40">
        <v>1994</v>
      </c>
      <c r="AC25" s="35">
        <v>8.3816666666666706E-2</v>
      </c>
      <c r="AD25" s="35">
        <v>0.23899999999999993</v>
      </c>
      <c r="AE25">
        <v>1994</v>
      </c>
      <c r="AF25" s="35">
        <v>8.3816666666666706E-2</v>
      </c>
      <c r="AG25" s="35">
        <v>0.23899999999999993</v>
      </c>
    </row>
    <row r="26" spans="1:35" x14ac:dyDescent="0.2">
      <c r="A26" s="1" t="s">
        <v>50</v>
      </c>
      <c r="B26" s="2">
        <v>0.22090000000000001</v>
      </c>
      <c r="C26" s="2">
        <v>0.14166666666666666</v>
      </c>
      <c r="D26" s="394">
        <v>0.17779166666666668</v>
      </c>
      <c r="E26" s="2">
        <v>0.10613333333333333</v>
      </c>
      <c r="F26" s="2">
        <v>0.36480000000000001</v>
      </c>
      <c r="I26" s="11">
        <v>0.17779166666666668</v>
      </c>
      <c r="J26" s="11">
        <v>0.14166666666666666</v>
      </c>
      <c r="K26" s="11">
        <v>0.3208333333333333</v>
      </c>
      <c r="M26" s="35">
        <f t="shared" si="0"/>
        <v>7.1658333333333352E-2</v>
      </c>
      <c r="N26" s="35">
        <f t="shared" si="1"/>
        <v>0.18700833333333333</v>
      </c>
      <c r="Q26">
        <f t="shared" si="2"/>
        <v>1987.25</v>
      </c>
      <c r="S26" s="35">
        <f>D42</f>
        <v>0.1275</v>
      </c>
      <c r="T26" s="622">
        <f t="shared" si="8"/>
        <v>1995</v>
      </c>
      <c r="U26" s="35">
        <f>D43</f>
        <v>0.75291666666666668</v>
      </c>
      <c r="V26" s="9">
        <f t="shared" si="6"/>
        <v>1.395241147109697</v>
      </c>
      <c r="W26" s="422" t="s">
        <v>544</v>
      </c>
      <c r="X26" s="9">
        <f t="shared" si="3"/>
        <v>2.1945766463752077</v>
      </c>
      <c r="Y26" s="422" t="s">
        <v>544</v>
      </c>
      <c r="Z26" s="461">
        <f t="shared" si="4"/>
        <v>5.905228758169935</v>
      </c>
      <c r="AA26" s="462">
        <f t="shared" si="5"/>
        <v>0.68345323741007202</v>
      </c>
      <c r="AB26" s="40">
        <v>1995</v>
      </c>
      <c r="AC26" s="35">
        <v>0.18571666666666675</v>
      </c>
      <c r="AD26" s="35">
        <v>0.63295000000000012</v>
      </c>
      <c r="AE26">
        <v>1995</v>
      </c>
      <c r="AF26" s="35">
        <v>0.18571666666666675</v>
      </c>
      <c r="AG26" s="35">
        <v>0.63295000000000012</v>
      </c>
    </row>
    <row r="27" spans="1:35" x14ac:dyDescent="0.2">
      <c r="A27" s="1" t="s">
        <v>51</v>
      </c>
      <c r="B27" s="2">
        <v>0.59089999999999998</v>
      </c>
      <c r="C27" s="519">
        <v>0.3</v>
      </c>
      <c r="D27" s="394">
        <f>AVERAGE(B27:C27)</f>
        <v>0.44545000000000001</v>
      </c>
      <c r="E27" s="2">
        <v>0.41360000000000002</v>
      </c>
      <c r="F27" s="2">
        <v>0.84440000000000004</v>
      </c>
      <c r="I27" s="11">
        <v>0.55000000000000004</v>
      </c>
      <c r="J27" s="11">
        <v>0.53333333333333333</v>
      </c>
      <c r="K27" s="11">
        <v>0.7583333333333333</v>
      </c>
      <c r="M27" s="35">
        <f t="shared" si="0"/>
        <v>3.1849999999999989E-2</v>
      </c>
      <c r="N27" s="35">
        <f t="shared" si="1"/>
        <v>0.39895000000000003</v>
      </c>
      <c r="Q27">
        <f t="shared" si="2"/>
        <v>1987.75</v>
      </c>
      <c r="S27" s="35">
        <f>D44</f>
        <v>0.51458333333333339</v>
      </c>
      <c r="T27" s="622">
        <f t="shared" si="8"/>
        <v>1996</v>
      </c>
      <c r="U27" s="35">
        <f>D45</f>
        <v>1.6523333333333334</v>
      </c>
      <c r="V27" s="9">
        <f t="shared" si="6"/>
        <v>0.39925241694750041</v>
      </c>
      <c r="W27" s="422" t="s">
        <v>544</v>
      </c>
      <c r="X27" s="9">
        <f t="shared" si="3"/>
        <v>1.2452087956425257</v>
      </c>
      <c r="Y27" s="422" t="s">
        <v>545</v>
      </c>
      <c r="Z27" s="461">
        <f t="shared" si="4"/>
        <v>3.2110121457489877</v>
      </c>
      <c r="AA27" s="462">
        <f t="shared" si="5"/>
        <v>0.4642492098715621</v>
      </c>
      <c r="AB27" s="40">
        <v>1996</v>
      </c>
      <c r="AC27" s="35">
        <v>0.33766666666666678</v>
      </c>
      <c r="AD27" s="35">
        <v>0.37775416666666661</v>
      </c>
      <c r="AE27">
        <v>1996</v>
      </c>
      <c r="AF27" s="35">
        <v>0.33766666666666678</v>
      </c>
      <c r="AG27" s="35">
        <v>0.37775416666666661</v>
      </c>
    </row>
    <row r="28" spans="1:35" x14ac:dyDescent="0.2">
      <c r="A28" s="1" t="s">
        <v>52</v>
      </c>
      <c r="B28" s="2">
        <v>0.95589999999999997</v>
      </c>
      <c r="C28" s="2">
        <v>0.14249999999999999</v>
      </c>
      <c r="D28" s="394">
        <v>0.52166666666666672</v>
      </c>
      <c r="E28" s="2">
        <v>0.40344999999999998</v>
      </c>
      <c r="F28" s="2">
        <v>0.85880000000000001</v>
      </c>
      <c r="I28" s="11">
        <v>0.52166666666666672</v>
      </c>
      <c r="J28" s="11">
        <v>0.45</v>
      </c>
      <c r="K28" s="11">
        <v>0.77500000000000002</v>
      </c>
      <c r="M28" s="35">
        <f t="shared" si="0"/>
        <v>0.11821666666666675</v>
      </c>
      <c r="N28" s="35">
        <f t="shared" si="1"/>
        <v>0.33713333333333328</v>
      </c>
      <c r="Q28">
        <f t="shared" si="2"/>
        <v>1988.25</v>
      </c>
      <c r="S28" s="35">
        <f>D46</f>
        <v>0.76709444444444452</v>
      </c>
      <c r="T28" s="622">
        <f t="shared" si="8"/>
        <v>1997</v>
      </c>
      <c r="U28" s="35">
        <f>D47</f>
        <v>2.0575000000000001</v>
      </c>
      <c r="V28" s="9">
        <f t="shared" si="6"/>
        <v>0.92280351295610075</v>
      </c>
      <c r="W28" s="422" t="s">
        <v>544</v>
      </c>
      <c r="X28" s="9">
        <f t="shared" si="3"/>
        <v>1.3287646820575132</v>
      </c>
      <c r="Y28" s="422" t="s">
        <v>545</v>
      </c>
      <c r="Z28" s="461">
        <f t="shared" si="4"/>
        <v>2.6821990628417476</v>
      </c>
      <c r="AA28" s="462">
        <f t="shared" si="5"/>
        <v>0.93816119886593763</v>
      </c>
      <c r="AB28" s="40">
        <v>1997</v>
      </c>
      <c r="AC28" s="35">
        <v>0.29005555555555573</v>
      </c>
      <c r="AD28" s="35">
        <v>0.43333333333333357</v>
      </c>
      <c r="AE28">
        <v>1997</v>
      </c>
      <c r="AF28" s="35">
        <v>0.29005555555555573</v>
      </c>
      <c r="AG28" s="35">
        <v>0.43333333333333357</v>
      </c>
    </row>
    <row r="29" spans="1:35" x14ac:dyDescent="0.2">
      <c r="A29" s="1" t="s">
        <v>53</v>
      </c>
      <c r="B29" s="2">
        <v>1.84</v>
      </c>
      <c r="C29" s="519">
        <v>0.5</v>
      </c>
      <c r="D29" s="394">
        <f>AVERAGE(B29:C29)</f>
        <v>1.17</v>
      </c>
      <c r="E29" s="2">
        <v>0.9</v>
      </c>
      <c r="F29" s="2">
        <v>1.7</v>
      </c>
      <c r="I29" s="11">
        <v>2.5258333333333329</v>
      </c>
      <c r="J29" s="11">
        <v>2.0499999999999998</v>
      </c>
      <c r="K29" s="11">
        <v>3.125</v>
      </c>
      <c r="M29" s="35">
        <f t="shared" si="0"/>
        <v>0.26999999999999991</v>
      </c>
      <c r="N29" s="35">
        <f t="shared" si="1"/>
        <v>0.53</v>
      </c>
      <c r="Q29">
        <f t="shared" si="2"/>
        <v>1988.75</v>
      </c>
      <c r="S29" s="35">
        <f>D48</f>
        <v>1.9302666666666668</v>
      </c>
      <c r="T29" s="622">
        <f t="shared" si="8"/>
        <v>1998</v>
      </c>
      <c r="U29" s="35">
        <f>D49</f>
        <v>2.7339333333333333</v>
      </c>
      <c r="V29" s="9">
        <f t="shared" si="6"/>
        <v>-0.38306555128220188</v>
      </c>
      <c r="W29" s="422" t="s">
        <v>545</v>
      </c>
      <c r="X29" s="9">
        <f t="shared" si="3"/>
        <v>0.41289920098840094</v>
      </c>
      <c r="Y29" s="422" t="s">
        <v>546</v>
      </c>
      <c r="Z29" s="461">
        <f>U29/S29</f>
        <v>1.4163500725288387</v>
      </c>
      <c r="AA29" s="462">
        <f>S30/U29</f>
        <v>0.48135571866338284</v>
      </c>
      <c r="AB29" s="40">
        <v>1998</v>
      </c>
      <c r="AC29" s="35">
        <v>0.3139333333333334</v>
      </c>
      <c r="AD29" s="35">
        <v>0.426738888888889</v>
      </c>
      <c r="AE29">
        <v>1998</v>
      </c>
      <c r="AF29" s="35">
        <v>0.3139333333333334</v>
      </c>
      <c r="AG29" s="35">
        <v>0.426738888888889</v>
      </c>
    </row>
    <row r="30" spans="1:35" x14ac:dyDescent="0.2">
      <c r="A30" s="1" t="s">
        <v>54</v>
      </c>
      <c r="B30" s="2">
        <v>1.4584999999999999</v>
      </c>
      <c r="C30" s="2">
        <v>0.27333333333333332</v>
      </c>
      <c r="D30" s="394">
        <v>0.93125000000000002</v>
      </c>
      <c r="E30" s="2">
        <v>0.69361666666666666</v>
      </c>
      <c r="F30" s="2">
        <v>1.1717499999999998</v>
      </c>
      <c r="I30" s="11">
        <v>0.93125000000000002</v>
      </c>
      <c r="J30" s="11">
        <v>0.79583333333333339</v>
      </c>
      <c r="K30" s="11">
        <v>1.2875000000000001</v>
      </c>
      <c r="M30" s="35">
        <f t="shared" si="0"/>
        <v>0.23763333333333336</v>
      </c>
      <c r="N30" s="35">
        <f t="shared" si="1"/>
        <v>0.24049999999999983</v>
      </c>
      <c r="Q30">
        <f t="shared" si="2"/>
        <v>1989.25</v>
      </c>
      <c r="S30" s="35">
        <f>D50</f>
        <v>1.3159944444444445</v>
      </c>
      <c r="T30" s="622">
        <f t="shared" si="8"/>
        <v>1999</v>
      </c>
      <c r="U30" s="35">
        <f>D51</f>
        <v>1.1288388888888889</v>
      </c>
      <c r="V30" s="9">
        <f t="shared" si="6"/>
        <v>-1.8225696504137323</v>
      </c>
      <c r="W30" s="422" t="s">
        <v>546</v>
      </c>
      <c r="X30" s="9">
        <f t="shared" si="3"/>
        <v>7.9152127800936056E-2</v>
      </c>
      <c r="Y30" s="422" t="s">
        <v>546</v>
      </c>
      <c r="Z30" s="461">
        <f t="shared" ref="Z30:Z46" si="9">U30/S30</f>
        <v>0.85778393188083368</v>
      </c>
      <c r="AA30" s="462">
        <f t="shared" ref="AA30:AA47" si="10">S31/U30</f>
        <v>0.1884040139573111</v>
      </c>
      <c r="AB30" s="40">
        <f>AB29+1</f>
        <v>1999</v>
      </c>
      <c r="AC30" s="35">
        <v>0.14990555555555574</v>
      </c>
      <c r="AD30" s="35">
        <v>0.26069444444444456</v>
      </c>
      <c r="AE30">
        <v>1999</v>
      </c>
      <c r="AF30" s="35">
        <v>0.14990555555555574</v>
      </c>
      <c r="AG30" s="35">
        <v>0.26069444444444456</v>
      </c>
    </row>
    <row r="31" spans="1:35" x14ac:dyDescent="0.2">
      <c r="A31" s="1" t="s">
        <v>55</v>
      </c>
      <c r="B31" s="2">
        <v>1.5838000000000001</v>
      </c>
      <c r="C31" s="519">
        <v>1.62</v>
      </c>
      <c r="D31" s="394">
        <f>AVERAGE(B31:C31)</f>
        <v>1.6019000000000001</v>
      </c>
      <c r="E31" s="2">
        <v>1.32</v>
      </c>
      <c r="F31" s="2">
        <v>2.0099999999999998</v>
      </c>
      <c r="I31" s="11">
        <v>1.7616666666666667</v>
      </c>
      <c r="J31" s="11">
        <v>1.5833333333333335</v>
      </c>
      <c r="K31" s="11">
        <v>1.9166666666666665</v>
      </c>
      <c r="M31" s="35">
        <f t="shared" si="0"/>
        <v>0.28190000000000004</v>
      </c>
      <c r="N31" s="35">
        <f t="shared" si="1"/>
        <v>0.40809999999999969</v>
      </c>
      <c r="Q31">
        <f t="shared" si="2"/>
        <v>1989.75</v>
      </c>
      <c r="S31" s="35">
        <f>D52</f>
        <v>0.2126777777777778</v>
      </c>
      <c r="T31" s="622">
        <f t="shared" si="8"/>
        <v>2000</v>
      </c>
      <c r="U31" s="35">
        <f>D53</f>
        <v>8.9349999999999999E-2</v>
      </c>
      <c r="V31" s="9">
        <f t="shared" si="6"/>
        <v>-1.8532203425958631</v>
      </c>
      <c r="W31" s="422" t="s">
        <v>546</v>
      </c>
      <c r="X31" s="9">
        <f t="shared" si="3"/>
        <v>0.74612945346017534</v>
      </c>
      <c r="Y31" s="422" t="s">
        <v>546</v>
      </c>
      <c r="Z31" s="461">
        <f t="shared" si="9"/>
        <v>0.42011911603364499</v>
      </c>
      <c r="AA31" s="462">
        <f t="shared" si="10"/>
        <v>0.37306472673008767</v>
      </c>
      <c r="AB31" s="40">
        <f>AB30+1</f>
        <v>2000</v>
      </c>
      <c r="AC31" s="35">
        <v>2.101666666666667E-2</v>
      </c>
      <c r="AD31" s="35">
        <v>6.8983333333333327E-2</v>
      </c>
      <c r="AE31">
        <v>2000</v>
      </c>
      <c r="AF31" s="35">
        <v>2.101666666666667E-2</v>
      </c>
      <c r="AG31" s="35">
        <v>6.8983333333333327E-2</v>
      </c>
    </row>
    <row r="32" spans="1:35" x14ac:dyDescent="0.2">
      <c r="A32" s="1" t="s">
        <v>56</v>
      </c>
      <c r="B32" s="2">
        <v>1.3583000000000001</v>
      </c>
      <c r="C32" s="2">
        <v>1.6</v>
      </c>
      <c r="D32" s="394">
        <v>1.5137499999999999</v>
      </c>
      <c r="E32" s="2">
        <v>1.2284999999999999</v>
      </c>
      <c r="F32" s="2">
        <v>1.8733833333333334</v>
      </c>
      <c r="I32" s="11">
        <v>1.5137499999999999</v>
      </c>
      <c r="J32" s="11">
        <v>1.3416666666666668</v>
      </c>
      <c r="K32" s="11">
        <v>1.791666666666667</v>
      </c>
      <c r="M32" s="35">
        <f t="shared" si="0"/>
        <v>0.28525</v>
      </c>
      <c r="N32" s="35">
        <f t="shared" si="1"/>
        <v>0.35963333333333347</v>
      </c>
      <c r="Q32">
        <f t="shared" si="2"/>
        <v>1990.25</v>
      </c>
      <c r="S32" s="35">
        <f>D54</f>
        <v>3.3333333333333333E-2</v>
      </c>
      <c r="T32" s="622">
        <f t="shared" si="8"/>
        <v>2001</v>
      </c>
      <c r="U32" s="35">
        <f>D55</f>
        <v>6.6666666666666666E-2</v>
      </c>
      <c r="V32" s="9">
        <f t="shared" si="6"/>
        <v>-0.69314718055994529</v>
      </c>
      <c r="W32" s="422" t="s">
        <v>547</v>
      </c>
      <c r="X32" s="9">
        <f t="shared" si="3"/>
        <v>3.2213333333333334</v>
      </c>
      <c r="Y32" s="422" t="s">
        <v>544</v>
      </c>
      <c r="Z32" s="461">
        <f t="shared" si="9"/>
        <v>2</v>
      </c>
      <c r="AA32" s="462">
        <f t="shared" si="10"/>
        <v>0.25</v>
      </c>
      <c r="AB32" s="40">
        <f>AB31+1</f>
        <v>2001</v>
      </c>
      <c r="AC32" s="35">
        <v>6.666666666666668E-3</v>
      </c>
      <c r="AD32" s="35">
        <v>0.11666666666666665</v>
      </c>
      <c r="AE32">
        <v>2001</v>
      </c>
      <c r="AF32" s="35">
        <v>6.666666666666668E-3</v>
      </c>
      <c r="AG32" s="35">
        <v>0.11666666666666665</v>
      </c>
    </row>
    <row r="33" spans="1:35" x14ac:dyDescent="0.2">
      <c r="A33" s="1" t="s">
        <v>57</v>
      </c>
      <c r="B33" s="2">
        <v>1.51</v>
      </c>
      <c r="C33" s="2">
        <v>3.78</v>
      </c>
      <c r="D33" s="394">
        <f t="shared" ref="D33" si="11">(B33+C33)/2</f>
        <v>2.645</v>
      </c>
      <c r="E33" s="2">
        <v>1.85</v>
      </c>
      <c r="F33" s="2">
        <v>3.83</v>
      </c>
      <c r="I33" s="11">
        <v>1.6754166666666666</v>
      </c>
      <c r="J33" s="11">
        <v>1.25</v>
      </c>
      <c r="K33" s="11">
        <v>1.9791666666666667</v>
      </c>
      <c r="M33" s="35">
        <f t="shared" si="0"/>
        <v>0.79499999999999993</v>
      </c>
      <c r="N33" s="35">
        <f t="shared" si="1"/>
        <v>1.1850000000000001</v>
      </c>
      <c r="Q33">
        <f t="shared" si="2"/>
        <v>1990.75</v>
      </c>
      <c r="S33" s="35">
        <f>D56</f>
        <v>1.6666666666666666E-2</v>
      </c>
      <c r="T33" s="622">
        <f t="shared" si="8"/>
        <v>2002</v>
      </c>
      <c r="U33" s="35">
        <f>D57</f>
        <v>0.21475555555555556</v>
      </c>
      <c r="V33" s="9">
        <f t="shared" si="6"/>
        <v>1.8877259992440123</v>
      </c>
      <c r="W33" s="422" t="s">
        <v>547</v>
      </c>
      <c r="X33" s="9">
        <f t="shared" si="3"/>
        <v>0.65484012831125815</v>
      </c>
      <c r="Y33" s="422" t="s">
        <v>544</v>
      </c>
      <c r="Z33" s="461">
        <f t="shared" si="9"/>
        <v>12.885333333333334</v>
      </c>
      <c r="AA33" s="462">
        <f t="shared" si="10"/>
        <v>0.51254656456953651</v>
      </c>
      <c r="AB33" s="40">
        <f>AB32+1</f>
        <v>2002</v>
      </c>
      <c r="AC33" s="35">
        <v>5.3977777777777791E-2</v>
      </c>
      <c r="AD33" s="35">
        <v>0.11346666666666669</v>
      </c>
      <c r="AE33">
        <v>2002</v>
      </c>
      <c r="AF33" s="35">
        <v>5.3977777777777791E-2</v>
      </c>
      <c r="AG33" s="35">
        <v>0.11346666666666669</v>
      </c>
    </row>
    <row r="34" spans="1:35" x14ac:dyDescent="0.2">
      <c r="A34" s="1" t="s">
        <v>58</v>
      </c>
      <c r="B34" s="2">
        <v>0.85009999999999997</v>
      </c>
      <c r="C34" s="2">
        <v>0.88916666666666666</v>
      </c>
      <c r="D34" s="394">
        <v>1.01875</v>
      </c>
      <c r="E34" s="2">
        <v>0.71499999999999997</v>
      </c>
      <c r="F34" s="2">
        <v>1.0776666666666666</v>
      </c>
      <c r="I34" s="11">
        <v>1.01875</v>
      </c>
      <c r="J34" s="11">
        <v>0.83750000000000002</v>
      </c>
      <c r="K34" s="11">
        <v>1.25</v>
      </c>
      <c r="M34" s="35">
        <f t="shared" si="0"/>
        <v>0.30375000000000008</v>
      </c>
      <c r="N34" s="35">
        <f t="shared" si="1"/>
        <v>5.8916666666666506E-2</v>
      </c>
      <c r="Q34">
        <f t="shared" si="2"/>
        <v>1991.25</v>
      </c>
      <c r="S34" s="35">
        <f>D58</f>
        <v>0.11007222222222224</v>
      </c>
      <c r="T34" s="622">
        <f>T33+1</f>
        <v>2003</v>
      </c>
      <c r="U34" s="35">
        <f>D59</f>
        <v>0.14063055555555554</v>
      </c>
      <c r="V34" s="9">
        <f t="shared" si="6"/>
        <v>1.0714978794934555</v>
      </c>
      <c r="W34" s="422" t="s">
        <v>544</v>
      </c>
      <c r="X34" s="9">
        <f t="shared" si="3"/>
        <v>2.5836016354909441</v>
      </c>
      <c r="Y34" s="422" t="s">
        <v>544</v>
      </c>
      <c r="Z34" s="461">
        <f t="shared" si="9"/>
        <v>1.2776207540503706</v>
      </c>
      <c r="AA34" s="462">
        <f t="shared" si="10"/>
        <v>2.2853023090445812</v>
      </c>
      <c r="AB34" s="40">
        <f>AB33+1</f>
        <v>2003</v>
      </c>
      <c r="AC34" s="35">
        <v>4.5708333333333323E-2</v>
      </c>
      <c r="AD34" s="35">
        <v>0.12934166666666674</v>
      </c>
      <c r="AE34">
        <v>2003</v>
      </c>
      <c r="AF34" s="35">
        <v>4.5708333333333323E-2</v>
      </c>
      <c r="AG34" s="35">
        <v>0.12934166666666674</v>
      </c>
    </row>
    <row r="35" spans="1:35" x14ac:dyDescent="0.2">
      <c r="A35" s="1" t="s">
        <v>59</v>
      </c>
      <c r="B35" s="2">
        <v>0.59</v>
      </c>
      <c r="C35" s="2">
        <v>1.1200000000000001</v>
      </c>
      <c r="D35" s="394">
        <v>0.86</v>
      </c>
      <c r="E35" s="2">
        <v>0.63</v>
      </c>
      <c r="F35" s="2">
        <v>1.1599999999999999</v>
      </c>
      <c r="I35" s="11">
        <v>1.2037500000000001</v>
      </c>
      <c r="J35" s="11">
        <v>0.89166666666666672</v>
      </c>
      <c r="K35" s="11">
        <v>2.4416666666666664</v>
      </c>
      <c r="M35" s="35">
        <f t="shared" si="0"/>
        <v>0.22999999999999998</v>
      </c>
      <c r="N35" s="35">
        <f t="shared" si="1"/>
        <v>0.29999999999999993</v>
      </c>
      <c r="Q35">
        <f t="shared" si="2"/>
        <v>1991.75</v>
      </c>
      <c r="S35" s="35">
        <f>D60</f>
        <v>0.3213833333333333</v>
      </c>
      <c r="T35" s="622">
        <v>2004</v>
      </c>
      <c r="U35" s="35">
        <f>D61</f>
        <v>0.36333333333333334</v>
      </c>
      <c r="V35" s="9">
        <f t="shared" si="6"/>
        <v>0.14368725628113332</v>
      </c>
      <c r="W35" s="422" t="s">
        <v>544</v>
      </c>
      <c r="X35" s="9">
        <f t="shared" si="3"/>
        <v>2.3581192660550454</v>
      </c>
      <c r="Y35" s="422" t="s">
        <v>544</v>
      </c>
      <c r="Z35" s="461">
        <f t="shared" si="9"/>
        <v>1.1305294819270861</v>
      </c>
      <c r="AA35" s="462">
        <f t="shared" si="10"/>
        <v>1.0212232415902143</v>
      </c>
      <c r="AB35" s="40">
        <v>2004</v>
      </c>
      <c r="AC35" s="35">
        <v>7.3649999999999993E-2</v>
      </c>
      <c r="AD35" s="35">
        <v>0.14157777777777775</v>
      </c>
      <c r="AE35">
        <v>2004</v>
      </c>
      <c r="AF35" s="35">
        <v>7.3649999999999993E-2</v>
      </c>
      <c r="AG35" s="35">
        <v>0.14157777777777775</v>
      </c>
    </row>
    <row r="36" spans="1:35" x14ac:dyDescent="0.2">
      <c r="A36" s="1" t="s">
        <v>60</v>
      </c>
      <c r="B36" s="2">
        <v>0.25140000000000001</v>
      </c>
      <c r="C36" s="2">
        <v>0.33916666666666662</v>
      </c>
      <c r="D36" s="394">
        <v>0.29458333333333331</v>
      </c>
      <c r="E36" s="2">
        <v>0.2117</v>
      </c>
      <c r="F36" s="2">
        <v>0.44628333333333337</v>
      </c>
      <c r="I36" s="11">
        <v>0.29458333333333331</v>
      </c>
      <c r="J36" s="11">
        <v>0.25416666666666665</v>
      </c>
      <c r="K36" s="11">
        <v>0.42499999999999999</v>
      </c>
      <c r="M36" s="35">
        <f t="shared" si="0"/>
        <v>8.2883333333333309E-2</v>
      </c>
      <c r="N36" s="35">
        <f t="shared" si="1"/>
        <v>0.15170000000000006</v>
      </c>
      <c r="Q36">
        <f t="shared" si="2"/>
        <v>1992.25</v>
      </c>
      <c r="S36" s="35">
        <f>D62</f>
        <v>0.37104444444444451</v>
      </c>
      <c r="T36" s="622">
        <v>2005</v>
      </c>
      <c r="U36" s="35">
        <f>D63</f>
        <v>0.85678333333333323</v>
      </c>
      <c r="V36" s="9">
        <f t="shared" si="6"/>
        <v>0.91362202461253228</v>
      </c>
      <c r="W36" s="422" t="s">
        <v>544</v>
      </c>
      <c r="X36" s="9">
        <f t="shared" si="3"/>
        <v>1.3448363063396036</v>
      </c>
      <c r="Y36" s="422" t="s">
        <v>545</v>
      </c>
      <c r="Z36" s="461">
        <f t="shared" si="9"/>
        <v>2.3091124154039639</v>
      </c>
      <c r="AA36" s="462">
        <f t="shared" si="10"/>
        <v>1.0797816121021133</v>
      </c>
      <c r="AB36" s="40">
        <v>2005</v>
      </c>
      <c r="AC36" s="35">
        <v>0.14971111111111091</v>
      </c>
      <c r="AD36" s="35">
        <v>0.23438888888888898</v>
      </c>
      <c r="AE36">
        <v>2005</v>
      </c>
      <c r="AF36" s="35">
        <v>0.14971111111111091</v>
      </c>
      <c r="AG36" s="35">
        <v>0.23438888888888898</v>
      </c>
    </row>
    <row r="37" spans="1:35" x14ac:dyDescent="0.2">
      <c r="A37" s="1" t="s">
        <v>61</v>
      </c>
      <c r="B37" s="2">
        <v>0.12570000000000001</v>
      </c>
      <c r="C37" s="2">
        <v>0.11666666666666667</v>
      </c>
      <c r="D37" s="394">
        <v>0.13625000000000001</v>
      </c>
      <c r="E37" s="2">
        <v>7.980000000000001E-2</v>
      </c>
      <c r="F37" s="2">
        <v>0.27416666666666667</v>
      </c>
      <c r="I37" s="11">
        <v>0.13625000000000001</v>
      </c>
      <c r="J37" s="11">
        <v>0.1125</v>
      </c>
      <c r="K37" s="11">
        <v>0.30833333333333335</v>
      </c>
      <c r="M37" s="35">
        <f t="shared" si="0"/>
        <v>5.645E-2</v>
      </c>
      <c r="N37" s="35">
        <f t="shared" si="1"/>
        <v>0.13791666666666666</v>
      </c>
      <c r="Q37">
        <f t="shared" si="2"/>
        <v>1992.75</v>
      </c>
      <c r="S37" s="35">
        <f>D64</f>
        <v>0.92513888888888896</v>
      </c>
      <c r="T37" s="622">
        <v>2006</v>
      </c>
      <c r="U37" s="35">
        <f>D65</f>
        <v>1.1522333333333332</v>
      </c>
      <c r="V37" s="9">
        <f t="shared" si="6"/>
        <v>-0.17393168898149267</v>
      </c>
      <c r="W37" s="422" t="s">
        <v>545</v>
      </c>
      <c r="X37" s="9">
        <f t="shared" si="3"/>
        <v>0.54007675914407782</v>
      </c>
      <c r="Y37" s="422" t="s">
        <v>546</v>
      </c>
      <c r="Z37" s="461">
        <f t="shared" si="9"/>
        <v>1.2454706500525445</v>
      </c>
      <c r="AA37" s="462">
        <f t="shared" si="10"/>
        <v>0.67472830541653406</v>
      </c>
      <c r="AB37" s="40">
        <v>2006</v>
      </c>
      <c r="AC37" s="35">
        <v>0.17936111111111086</v>
      </c>
      <c r="AD37" s="35">
        <v>0.25012777777777795</v>
      </c>
      <c r="AE37">
        <v>2006</v>
      </c>
      <c r="AF37" s="35">
        <v>0.17936111111111086</v>
      </c>
      <c r="AG37" s="35">
        <v>0.25012777777777795</v>
      </c>
    </row>
    <row r="38" spans="1:35" x14ac:dyDescent="0.2">
      <c r="A38" s="1" t="s">
        <v>62</v>
      </c>
      <c r="B38" s="2">
        <v>6.8099999999999994E-2</v>
      </c>
      <c r="C38" s="2">
        <v>6.6666666666666666E-2</v>
      </c>
      <c r="D38" s="394">
        <v>9.1666666666666674E-2</v>
      </c>
      <c r="E38" s="2">
        <v>0.05</v>
      </c>
      <c r="F38" s="2">
        <v>0.17499999999999999</v>
      </c>
      <c r="I38" s="11">
        <v>9.1666666666666674E-2</v>
      </c>
      <c r="J38" s="11">
        <v>6.25E-2</v>
      </c>
      <c r="K38" s="11">
        <v>0.23749999999999999</v>
      </c>
      <c r="M38" s="35">
        <f t="shared" ref="M38:M59" si="12">D38-E38</f>
        <v>4.1666666666666671E-2</v>
      </c>
      <c r="N38" s="35">
        <f t="shared" ref="N38:N59" si="13">F38-D38</f>
        <v>8.3333333333333315E-2</v>
      </c>
      <c r="Q38">
        <f t="shared" si="2"/>
        <v>1993.25</v>
      </c>
      <c r="S38" s="35">
        <f>D66</f>
        <v>0.77744444444444438</v>
      </c>
      <c r="T38" s="622">
        <v>2007</v>
      </c>
      <c r="U38" s="35">
        <f>D67</f>
        <v>0.62229444444444448</v>
      </c>
      <c r="V38" s="9">
        <f t="shared" si="6"/>
        <v>-0.86510105869045406</v>
      </c>
      <c r="W38" s="422" t="s">
        <v>546</v>
      </c>
      <c r="X38" s="9">
        <f t="shared" si="3"/>
        <v>0.81242355797987742</v>
      </c>
      <c r="Y38" s="422" t="s">
        <v>546</v>
      </c>
      <c r="Z38" s="461">
        <f t="shared" si="9"/>
        <v>0.80043590110047169</v>
      </c>
      <c r="AA38" s="462">
        <f t="shared" si="10"/>
        <v>0.52597466365511147</v>
      </c>
      <c r="AB38" s="40">
        <v>2007</v>
      </c>
      <c r="AC38" s="35">
        <v>0.11048333333333338</v>
      </c>
      <c r="AD38" s="35">
        <v>0.19299999999999984</v>
      </c>
      <c r="AE38">
        <v>2007</v>
      </c>
      <c r="AF38" s="35">
        <v>0.11048333333333338</v>
      </c>
      <c r="AG38" s="35">
        <v>0.19299999999999984</v>
      </c>
    </row>
    <row r="39" spans="1:35" x14ac:dyDescent="0.2">
      <c r="A39" s="1" t="s">
        <v>63</v>
      </c>
      <c r="B39" s="2">
        <v>0.17180000000000001</v>
      </c>
      <c r="C39" s="2">
        <v>6.6666666666666666E-2</v>
      </c>
      <c r="D39" s="394">
        <v>0.16166666666666665</v>
      </c>
      <c r="E39" s="2">
        <v>7.3633333333333328E-2</v>
      </c>
      <c r="F39" s="2">
        <v>0.29148333333333332</v>
      </c>
      <c r="I39" s="11">
        <v>0.16166666666666665</v>
      </c>
      <c r="J39" s="11">
        <v>0.1125</v>
      </c>
      <c r="K39" s="11">
        <v>0.42916666666666664</v>
      </c>
      <c r="M39" s="35">
        <f t="shared" si="12"/>
        <v>8.8033333333333325E-2</v>
      </c>
      <c r="N39" s="35">
        <f t="shared" si="13"/>
        <v>0.12981666666666666</v>
      </c>
      <c r="Q39">
        <f t="shared" si="2"/>
        <v>1993.75</v>
      </c>
      <c r="S39" s="35">
        <f>D68</f>
        <v>0.32731111111111111</v>
      </c>
      <c r="T39" s="622">
        <v>2008</v>
      </c>
      <c r="U39" s="35">
        <f>D69</f>
        <v>0.50556666666666672</v>
      </c>
      <c r="V39" s="9">
        <f t="shared" si="6"/>
        <v>-0.10546236075152705</v>
      </c>
      <c r="W39" s="422" t="s">
        <v>546</v>
      </c>
      <c r="X39" s="9">
        <f t="shared" si="3"/>
        <v>1.2337091492494667</v>
      </c>
      <c r="Y39" s="422" t="s">
        <v>546</v>
      </c>
      <c r="Z39" s="461">
        <f t="shared" si="9"/>
        <v>1.5446058795573361</v>
      </c>
      <c r="AA39" s="462">
        <f t="shared" si="10"/>
        <v>0.58261356893255078</v>
      </c>
      <c r="AB39" s="40">
        <v>2008</v>
      </c>
      <c r="AC39" s="35">
        <v>0.12012222222222224</v>
      </c>
      <c r="AD39" s="35">
        <v>0.28351111111111105</v>
      </c>
      <c r="AE39">
        <v>2008</v>
      </c>
      <c r="AF39" s="35">
        <v>0.12012222222222224</v>
      </c>
      <c r="AG39" s="35">
        <v>0.28351111111111105</v>
      </c>
    </row>
    <row r="40" spans="1:35" x14ac:dyDescent="0.2">
      <c r="A40" s="1" t="s">
        <v>64</v>
      </c>
      <c r="B40" s="2">
        <v>0.1108</v>
      </c>
      <c r="C40" s="2">
        <v>1.6666666666666666E-2</v>
      </c>
      <c r="D40" s="394">
        <v>6.5416666666666665E-2</v>
      </c>
      <c r="E40" s="2">
        <v>3.3033333333333331E-2</v>
      </c>
      <c r="F40" s="2">
        <v>0.14091666666666666</v>
      </c>
      <c r="I40" s="11">
        <v>6.5416666666666665E-2</v>
      </c>
      <c r="J40" s="11">
        <v>5.8333333333333334E-2</v>
      </c>
      <c r="K40" s="11">
        <v>0.10833333333333334</v>
      </c>
      <c r="M40" s="35">
        <f t="shared" si="12"/>
        <v>3.2383333333333333E-2</v>
      </c>
      <c r="N40" s="35">
        <f t="shared" si="13"/>
        <v>7.5499999999999998E-2</v>
      </c>
      <c r="Q40">
        <f t="shared" si="2"/>
        <v>1994.25</v>
      </c>
      <c r="S40" s="35">
        <f>D70</f>
        <v>0.29454999999999998</v>
      </c>
      <c r="T40" s="622">
        <v>2009</v>
      </c>
      <c r="U40" s="35">
        <f>D71</f>
        <v>0.62372222222222218</v>
      </c>
      <c r="V40" s="9">
        <f t="shared" si="6"/>
        <v>-1.4241783344296144</v>
      </c>
      <c r="W40" s="422" t="s">
        <v>546</v>
      </c>
      <c r="X40" s="9">
        <f t="shared" si="3"/>
        <v>0.50302841364567563</v>
      </c>
      <c r="Y40" s="422" t="s">
        <v>546</v>
      </c>
      <c r="Z40" s="461">
        <f t="shared" si="9"/>
        <v>2.1175427676870555</v>
      </c>
      <c r="AA40" s="462">
        <f t="shared" si="10"/>
        <v>0.11367239690032958</v>
      </c>
      <c r="AB40" s="40">
        <v>2009</v>
      </c>
      <c r="AC40" s="35">
        <v>0.16732222222222215</v>
      </c>
      <c r="AD40" s="35">
        <v>0.28711111111111121</v>
      </c>
      <c r="AE40">
        <v>2009</v>
      </c>
      <c r="AF40" s="35">
        <v>0.16732222222222215</v>
      </c>
      <c r="AG40" s="35">
        <v>0.28711111111111121</v>
      </c>
    </row>
    <row r="41" spans="1:35" x14ac:dyDescent="0.2">
      <c r="A41" s="1" t="s">
        <v>65</v>
      </c>
      <c r="B41" s="2">
        <v>0.47110000000000002</v>
      </c>
      <c r="C41" s="2">
        <v>0.3666666666666667</v>
      </c>
      <c r="D41" s="394">
        <v>0.41666666666666669</v>
      </c>
      <c r="E41" s="2">
        <v>0.33284999999999998</v>
      </c>
      <c r="F41" s="2">
        <v>0.65566666666666662</v>
      </c>
      <c r="I41" s="11">
        <v>0.41666666666666669</v>
      </c>
      <c r="J41" s="11">
        <v>0.39166666666666666</v>
      </c>
      <c r="K41" s="11">
        <v>0.625</v>
      </c>
      <c r="M41" s="35">
        <f t="shared" si="12"/>
        <v>8.3816666666666706E-2</v>
      </c>
      <c r="N41" s="35">
        <f t="shared" si="13"/>
        <v>0.23899999999999993</v>
      </c>
      <c r="Q41">
        <f t="shared" si="2"/>
        <v>1994.75</v>
      </c>
      <c r="S41" s="35">
        <f>D72</f>
        <v>7.0900000000000005E-2</v>
      </c>
      <c r="T41" s="622">
        <v>2010</v>
      </c>
      <c r="U41" s="35">
        <f>D73</f>
        <v>0.31375000000000003</v>
      </c>
      <c r="V41" s="9">
        <f t="shared" si="6"/>
        <v>-5.6577237198588374E-3</v>
      </c>
      <c r="W41" s="422" t="s">
        <v>547</v>
      </c>
      <c r="X41" s="9">
        <f t="shared" si="3"/>
        <v>0.3771580345285524</v>
      </c>
      <c r="Y41" s="422" t="s">
        <v>547</v>
      </c>
      <c r="Z41" s="461">
        <f t="shared" si="9"/>
        <v>4.4252468265162204</v>
      </c>
      <c r="AA41" s="462">
        <f t="shared" si="10"/>
        <v>0.22470119521912352</v>
      </c>
      <c r="AB41" s="40">
        <v>2010</v>
      </c>
      <c r="AC41" s="35">
        <v>0.10875000000000004</v>
      </c>
      <c r="AD41" s="35">
        <v>0.18124999999999997</v>
      </c>
      <c r="AE41">
        <v>2010</v>
      </c>
      <c r="AF41" s="35">
        <v>0.10875000000000004</v>
      </c>
      <c r="AG41" s="35">
        <v>0.18124999999999997</v>
      </c>
    </row>
    <row r="42" spans="1:35" x14ac:dyDescent="0.2">
      <c r="A42" s="1" t="s">
        <v>66</v>
      </c>
      <c r="B42" s="2">
        <v>0.16750000000000001</v>
      </c>
      <c r="C42" s="2">
        <v>7.4999999999999997E-2</v>
      </c>
      <c r="D42" s="394">
        <v>0.1275</v>
      </c>
      <c r="E42" s="2">
        <v>7.6683333333333326E-2</v>
      </c>
      <c r="F42" s="2">
        <v>0.24513333333333331</v>
      </c>
      <c r="I42" s="11">
        <v>0.1275</v>
      </c>
      <c r="J42" s="11">
        <v>0.10916666666666666</v>
      </c>
      <c r="K42" s="11">
        <v>0.22875000000000001</v>
      </c>
      <c r="M42" s="35">
        <f t="shared" si="12"/>
        <v>5.0816666666666677E-2</v>
      </c>
      <c r="N42" s="35">
        <f t="shared" si="13"/>
        <v>0.11763333333333331</v>
      </c>
      <c r="Q42">
        <f t="shared" si="2"/>
        <v>1995.25</v>
      </c>
      <c r="S42" s="35">
        <f>D74</f>
        <v>7.0500000000000007E-2</v>
      </c>
      <c r="T42" s="622">
        <v>2011</v>
      </c>
      <c r="U42" s="35">
        <f>D75</f>
        <v>0.11833333333333333</v>
      </c>
      <c r="V42" s="9">
        <f t="shared" si="6"/>
        <v>-0.74905481249824135</v>
      </c>
      <c r="W42" s="422" t="s">
        <v>547</v>
      </c>
      <c r="X42" s="9">
        <f t="shared" si="3"/>
        <v>0.63380281690140861</v>
      </c>
      <c r="Y42" s="422" t="s">
        <v>547</v>
      </c>
      <c r="Z42" s="461">
        <f t="shared" si="9"/>
        <v>1.6784869976359336</v>
      </c>
      <c r="AA42" s="462">
        <f t="shared" si="10"/>
        <v>0.28169014084507044</v>
      </c>
      <c r="AB42" s="40">
        <v>2011</v>
      </c>
      <c r="AC42" s="35">
        <v>0</v>
      </c>
      <c r="AD42" s="35">
        <v>0.31166666666666665</v>
      </c>
      <c r="AE42">
        <v>2011</v>
      </c>
      <c r="AF42" s="35">
        <v>0</v>
      </c>
      <c r="AG42" s="35">
        <v>0.31166666666666665</v>
      </c>
    </row>
    <row r="43" spans="1:35" x14ac:dyDescent="0.2">
      <c r="A43" s="1" t="s">
        <v>67</v>
      </c>
      <c r="B43" s="2">
        <v>0.99870000000000003</v>
      </c>
      <c r="C43" s="2">
        <v>0.48</v>
      </c>
      <c r="D43" s="394">
        <v>0.75291666666666668</v>
      </c>
      <c r="E43" s="2">
        <v>0.56719999999999993</v>
      </c>
      <c r="F43" s="2">
        <v>1.3858666666666668</v>
      </c>
      <c r="I43" s="11">
        <v>0.75291666666666668</v>
      </c>
      <c r="J43" s="11">
        <v>0.64916666666666667</v>
      </c>
      <c r="K43" s="11">
        <v>1.3808333333333334</v>
      </c>
      <c r="M43" s="35">
        <f t="shared" si="12"/>
        <v>0.18571666666666675</v>
      </c>
      <c r="N43" s="35">
        <f t="shared" si="13"/>
        <v>0.63295000000000012</v>
      </c>
      <c r="Q43">
        <f t="shared" si="2"/>
        <v>1995.75</v>
      </c>
      <c r="S43" s="35">
        <f>D76</f>
        <v>3.3333333333333333E-2</v>
      </c>
      <c r="T43" s="622">
        <v>2012</v>
      </c>
      <c r="U43" s="35">
        <f>D77</f>
        <v>7.5000000000000011E-2</v>
      </c>
      <c r="V43" s="9">
        <f t="shared" si="6"/>
        <v>1.3217558399823195</v>
      </c>
      <c r="W43" s="422" t="s">
        <v>544</v>
      </c>
      <c r="X43" s="9">
        <f t="shared" si="3"/>
        <v>8.6046666666666649</v>
      </c>
      <c r="Y43" s="422" t="s">
        <v>544</v>
      </c>
      <c r="Z43" s="461">
        <f t="shared" si="9"/>
        <v>2.2500000000000004</v>
      </c>
      <c r="AA43" s="462">
        <f t="shared" si="10"/>
        <v>1.6666666666666665</v>
      </c>
      <c r="AB43" s="40">
        <v>2012</v>
      </c>
      <c r="AC43" s="35">
        <v>1.6666666666666677E-2</v>
      </c>
      <c r="AD43" s="35">
        <v>2.4999999999999994E-2</v>
      </c>
      <c r="AE43">
        <v>2012</v>
      </c>
      <c r="AF43" s="35">
        <v>1.6666666666666677E-2</v>
      </c>
      <c r="AG43" s="35">
        <v>2.4999999999999994E-2</v>
      </c>
    </row>
    <row r="44" spans="1:35" x14ac:dyDescent="0.2">
      <c r="A44" s="1" t="s">
        <v>68</v>
      </c>
      <c r="B44" s="2">
        <v>0.57250000000000001</v>
      </c>
      <c r="C44" s="2">
        <v>0.39166666666666672</v>
      </c>
      <c r="D44" s="394">
        <v>0.51458333333333339</v>
      </c>
      <c r="E44" s="2">
        <v>0.39923333333333333</v>
      </c>
      <c r="F44" s="2">
        <v>0.70284999999999997</v>
      </c>
      <c r="I44" s="11">
        <v>0.51458333333333339</v>
      </c>
      <c r="J44" s="11">
        <v>0.49041666666666672</v>
      </c>
      <c r="K44" s="11">
        <v>0.6908333333333333</v>
      </c>
      <c r="M44" s="35">
        <f t="shared" si="12"/>
        <v>0.11535000000000006</v>
      </c>
      <c r="N44" s="35">
        <f t="shared" si="13"/>
        <v>0.18826666666666658</v>
      </c>
      <c r="Q44">
        <f t="shared" si="2"/>
        <v>1996.25</v>
      </c>
      <c r="S44" s="35">
        <f>D78</f>
        <v>0.125</v>
      </c>
      <c r="T44" s="622">
        <v>2013</v>
      </c>
      <c r="U44" s="35">
        <f>D79</f>
        <v>0.64534999999999998</v>
      </c>
      <c r="V44" s="9">
        <f t="shared" si="6"/>
        <v>0.52662022966463162</v>
      </c>
      <c r="W44" s="422" t="s">
        <v>544</v>
      </c>
      <c r="X44" s="9">
        <f t="shared" si="3"/>
        <v>1.5235143720461766</v>
      </c>
      <c r="Y44" s="422" t="s">
        <v>544</v>
      </c>
      <c r="Z44" s="461">
        <f t="shared" si="9"/>
        <v>5.1627999999999998</v>
      </c>
      <c r="AA44" s="462">
        <f t="shared" si="10"/>
        <v>0.3279615712404122</v>
      </c>
      <c r="AB44" s="40">
        <v>2013</v>
      </c>
      <c r="AC44" s="35">
        <f>D78-E78</f>
        <v>2.4999999999999994E-2</v>
      </c>
      <c r="AD44" s="35">
        <f>F78-D78</f>
        <v>2.4999999999999994E-2</v>
      </c>
      <c r="AE44">
        <v>2013</v>
      </c>
      <c r="AF44" s="35">
        <f>D79-E79</f>
        <v>0.28534999999999999</v>
      </c>
      <c r="AG44" s="35">
        <f>F79-D79</f>
        <v>0.48464999999999991</v>
      </c>
      <c r="AH44" t="s">
        <v>726</v>
      </c>
      <c r="AI44" t="s">
        <v>727</v>
      </c>
    </row>
    <row r="45" spans="1:35" x14ac:dyDescent="0.2">
      <c r="A45" s="400" t="s">
        <v>69</v>
      </c>
      <c r="B45" s="398">
        <v>1.7234</v>
      </c>
      <c r="C45" s="399">
        <v>1.4688333333333334</v>
      </c>
      <c r="D45" s="394">
        <v>1.6523333333333334</v>
      </c>
      <c r="E45" s="2">
        <v>1.3146666666666667</v>
      </c>
      <c r="F45" s="2">
        <v>2.0300875</v>
      </c>
      <c r="I45" s="11">
        <v>1.6523333333333334</v>
      </c>
      <c r="J45" s="11">
        <v>1.44</v>
      </c>
      <c r="K45" s="11">
        <v>2.1181375</v>
      </c>
      <c r="M45" s="35">
        <f t="shared" si="12"/>
        <v>0.33766666666666678</v>
      </c>
      <c r="N45" s="35">
        <f t="shared" si="13"/>
        <v>0.37775416666666661</v>
      </c>
      <c r="Q45">
        <f t="shared" si="2"/>
        <v>1996.75</v>
      </c>
      <c r="S45" s="35">
        <f>D80</f>
        <v>0.21165</v>
      </c>
      <c r="T45" s="622">
        <v>2014</v>
      </c>
      <c r="U45" s="35">
        <f>D81</f>
        <v>0.98320000000000007</v>
      </c>
      <c r="V45" s="9">
        <f t="shared" si="6"/>
        <v>0.84212097220766968</v>
      </c>
      <c r="W45" s="422" t="s">
        <v>544</v>
      </c>
      <c r="X45" s="9">
        <f t="shared" si="3"/>
        <v>1.0323433685923513</v>
      </c>
      <c r="Y45" s="422" t="s">
        <v>544</v>
      </c>
      <c r="Z45" s="461">
        <f t="shared" si="9"/>
        <v>4.6454051500118121</v>
      </c>
      <c r="AA45" s="462">
        <f t="shared" si="10"/>
        <v>0.49969487388120415</v>
      </c>
      <c r="AB45" s="40">
        <v>2014</v>
      </c>
      <c r="AC45" s="35">
        <f>D80-E80</f>
        <v>8.6650000000000005E-2</v>
      </c>
      <c r="AD45" s="35">
        <f>F80-D80</f>
        <v>0.19335000000000002</v>
      </c>
      <c r="AE45">
        <v>2014</v>
      </c>
      <c r="AF45" s="35">
        <f>D81-E81</f>
        <v>0.2339</v>
      </c>
      <c r="AG45" s="35">
        <f>F81-D81</f>
        <v>0.30799999999999983</v>
      </c>
    </row>
    <row r="46" spans="1:35" x14ac:dyDescent="0.2">
      <c r="A46" t="s">
        <v>70</v>
      </c>
      <c r="B46" s="2">
        <v>1</v>
      </c>
      <c r="C46" s="2">
        <v>0.53418888888888894</v>
      </c>
      <c r="D46" s="394">
        <v>0.76709444444444452</v>
      </c>
      <c r="E46" s="2">
        <v>0.68072222222222223</v>
      </c>
      <c r="F46" s="2">
        <v>0.96350000000000002</v>
      </c>
      <c r="I46" s="11">
        <v>0.76709444444444452</v>
      </c>
      <c r="J46" s="11">
        <v>0.68072222222222223</v>
      </c>
      <c r="K46" s="11">
        <v>0.96350000000000002</v>
      </c>
      <c r="M46" s="35">
        <f t="shared" si="12"/>
        <v>8.6372222222222295E-2</v>
      </c>
      <c r="N46" s="35">
        <f t="shared" si="13"/>
        <v>0.1964055555555555</v>
      </c>
      <c r="Q46">
        <f t="shared" si="2"/>
        <v>1997.25</v>
      </c>
      <c r="S46" s="35">
        <f>D82</f>
        <v>0.49129999999999996</v>
      </c>
      <c r="T46" s="622">
        <v>2015</v>
      </c>
      <c r="U46" s="35">
        <f>D83</f>
        <v>1.0149999999999999</v>
      </c>
      <c r="V46" s="9">
        <f t="shared" si="6"/>
        <v>0.59528948829620687</v>
      </c>
      <c r="W46" s="7" t="s">
        <v>545</v>
      </c>
      <c r="X46" s="9">
        <f t="shared" si="3"/>
        <v>1.7931034482758623</v>
      </c>
      <c r="Y46" s="422" t="s">
        <v>545</v>
      </c>
      <c r="Z46" s="461">
        <f t="shared" si="9"/>
        <v>2.0659474862609404</v>
      </c>
      <c r="AA46" s="462">
        <f t="shared" si="10"/>
        <v>0.87783251231527104</v>
      </c>
      <c r="AB46" s="40">
        <v>2015</v>
      </c>
      <c r="AC46" s="35">
        <f>D82-E82</f>
        <v>0.15879999999999994</v>
      </c>
      <c r="AD46" s="35">
        <f>F82-D82</f>
        <v>0.23745000000000005</v>
      </c>
      <c r="AE46">
        <v>2015</v>
      </c>
      <c r="AF46" s="35">
        <f>D83-E83</f>
        <v>0.24499999999999988</v>
      </c>
      <c r="AG46" s="35">
        <f>F83-D83</f>
        <v>0.33000000000000007</v>
      </c>
    </row>
    <row r="47" spans="1:35" x14ac:dyDescent="0.2">
      <c r="A47" s="34" t="s">
        <v>71</v>
      </c>
      <c r="B47" s="398">
        <v>1.85</v>
      </c>
      <c r="C47" s="399">
        <v>2.2650000000000001</v>
      </c>
      <c r="D47" s="394">
        <v>2.0575000000000001</v>
      </c>
      <c r="E47" s="2">
        <v>1.7674444444444444</v>
      </c>
      <c r="F47" s="2">
        <v>2.4908333333333337</v>
      </c>
      <c r="G47" s="37" t="s">
        <v>659</v>
      </c>
      <c r="M47" s="35">
        <f t="shared" si="12"/>
        <v>0.29005555555555573</v>
      </c>
      <c r="N47" s="35">
        <f t="shared" si="13"/>
        <v>0.43333333333333357</v>
      </c>
      <c r="Q47">
        <f t="shared" si="2"/>
        <v>1997.75</v>
      </c>
      <c r="S47" s="35">
        <f>D84</f>
        <v>0.89100000000000001</v>
      </c>
      <c r="T47" s="622">
        <v>2016</v>
      </c>
      <c r="U47" s="35">
        <f>D85</f>
        <v>1.82</v>
      </c>
      <c r="V47" s="9">
        <f t="shared" si="6"/>
        <v>0.31671770821636308</v>
      </c>
      <c r="W47" s="7" t="s">
        <v>545</v>
      </c>
      <c r="X47" s="9">
        <f t="shared" si="3"/>
        <v>0.67802197802197794</v>
      </c>
      <c r="Y47" s="422" t="s">
        <v>545</v>
      </c>
      <c r="Z47" s="461">
        <f t="shared" ref="Z47:Z48" si="14">U47/S47</f>
        <v>2.042648709315376</v>
      </c>
      <c r="AA47" s="462">
        <f t="shared" si="10"/>
        <v>0.67197802197802203</v>
      </c>
      <c r="AB47" s="40">
        <v>2016</v>
      </c>
      <c r="AC47" s="35">
        <f>D84-E84</f>
        <v>0.24099999999999999</v>
      </c>
      <c r="AD47" s="35">
        <f>F84-D84</f>
        <v>0.33400000000000007</v>
      </c>
      <c r="AE47">
        <v>2016</v>
      </c>
      <c r="AF47" s="35">
        <f>D85-E85</f>
        <v>0.32499999999999996</v>
      </c>
      <c r="AG47" s="35">
        <f>F85-D85</f>
        <v>0.3899999999999999</v>
      </c>
    </row>
    <row r="48" spans="1:35" x14ac:dyDescent="0.2">
      <c r="A48" t="s">
        <v>72</v>
      </c>
      <c r="B48" s="2">
        <v>2.2666666666666666</v>
      </c>
      <c r="C48" s="2">
        <v>1.5938666666666668</v>
      </c>
      <c r="D48" s="394">
        <v>1.9302666666666668</v>
      </c>
      <c r="E48" s="2">
        <v>1.6916944444444444</v>
      </c>
      <c r="F48" s="2">
        <v>2.2808722222222224</v>
      </c>
      <c r="G48" s="37" t="s">
        <v>659</v>
      </c>
      <c r="M48" s="35">
        <f t="shared" si="12"/>
        <v>0.23857222222222241</v>
      </c>
      <c r="N48" s="35">
        <f t="shared" si="13"/>
        <v>0.35060555555555561</v>
      </c>
      <c r="Q48">
        <f t="shared" si="2"/>
        <v>1998.25</v>
      </c>
      <c r="S48" s="35">
        <v>1.2230000000000001</v>
      </c>
      <c r="T48" s="622">
        <v>2017</v>
      </c>
      <c r="U48" s="35">
        <v>1.234</v>
      </c>
      <c r="V48" s="9"/>
      <c r="W48" s="7" t="s">
        <v>545</v>
      </c>
      <c r="X48" s="9"/>
      <c r="Y48" s="422" t="s">
        <v>545</v>
      </c>
      <c r="Z48" s="461">
        <f t="shared" si="14"/>
        <v>1.0089942763695829</v>
      </c>
      <c r="AA48" s="462"/>
      <c r="AB48" s="40">
        <v>2017</v>
      </c>
      <c r="AC48" s="35">
        <f>D86-E86</f>
        <v>0.29135</v>
      </c>
      <c r="AD48" s="35">
        <f>F86-D86</f>
        <v>0.3771500000000001</v>
      </c>
      <c r="AE48">
        <v>2017</v>
      </c>
      <c r="AF48" s="35">
        <f>D87-E87</f>
        <v>0.30149999999999977</v>
      </c>
      <c r="AG48" s="35">
        <f>F87-D87</f>
        <v>0.40200000000000014</v>
      </c>
    </row>
    <row r="49" spans="1:33" x14ac:dyDescent="0.2">
      <c r="A49" s="34" t="s">
        <v>73</v>
      </c>
      <c r="B49" s="398">
        <v>2.4833333333333334</v>
      </c>
      <c r="C49" s="399">
        <v>2.9845333333333333</v>
      </c>
      <c r="D49" s="394">
        <v>2.7339333333333333</v>
      </c>
      <c r="E49" s="2">
        <v>2.42</v>
      </c>
      <c r="F49" s="2">
        <v>3.1606722222222223</v>
      </c>
      <c r="G49" s="37" t="s">
        <v>659</v>
      </c>
      <c r="M49" s="35">
        <f t="shared" si="12"/>
        <v>0.3139333333333334</v>
      </c>
      <c r="N49" s="35">
        <f t="shared" si="13"/>
        <v>0.426738888888889</v>
      </c>
      <c r="Q49">
        <f t="shared" si="2"/>
        <v>1998.75</v>
      </c>
      <c r="S49" s="35">
        <v>0.57499999999999996</v>
      </c>
      <c r="T49" s="622">
        <v>2018</v>
      </c>
      <c r="U49" s="35">
        <v>1.0449999999999999</v>
      </c>
      <c r="V49" s="9"/>
      <c r="X49" s="9"/>
      <c r="Y49" s="422"/>
      <c r="Z49" s="461"/>
      <c r="AA49" s="462"/>
      <c r="AB49" s="40">
        <v>2018</v>
      </c>
      <c r="AC49" s="35">
        <f>D87-E87</f>
        <v>0.30149999999999977</v>
      </c>
      <c r="AD49" s="35">
        <f>F87-D87</f>
        <v>0.40200000000000014</v>
      </c>
      <c r="AE49">
        <v>2018</v>
      </c>
      <c r="AF49" s="35">
        <f>D89-E89</f>
        <v>0.29999999999999993</v>
      </c>
      <c r="AG49" s="35">
        <f>F89-D89</f>
        <v>0.44500000000000006</v>
      </c>
    </row>
    <row r="50" spans="1:33" x14ac:dyDescent="0.2">
      <c r="A50" t="s">
        <v>74</v>
      </c>
      <c r="B50" s="2">
        <v>0.8833333333333333</v>
      </c>
      <c r="C50" s="2">
        <v>1.7486555555555556</v>
      </c>
      <c r="D50" s="394">
        <v>1.3159944444444445</v>
      </c>
      <c r="E50" s="2">
        <v>1.1838833333333334</v>
      </c>
      <c r="F50" s="2">
        <v>1.562327777777778</v>
      </c>
      <c r="G50" s="37" t="s">
        <v>659</v>
      </c>
      <c r="M50" s="35">
        <f t="shared" si="12"/>
        <v>0.13211111111111107</v>
      </c>
      <c r="N50" s="35">
        <f t="shared" si="13"/>
        <v>0.24633333333333352</v>
      </c>
      <c r="Q50">
        <f t="shared" si="2"/>
        <v>1999.25</v>
      </c>
      <c r="S50" s="35"/>
      <c r="T50" s="622"/>
      <c r="U50" s="35"/>
      <c r="V50" s="9"/>
      <c r="X50" s="9"/>
      <c r="Y50" s="422"/>
      <c r="Z50" s="461"/>
      <c r="AA50" s="462"/>
      <c r="AB50" s="40"/>
      <c r="AC50" s="35"/>
      <c r="AD50" s="35"/>
      <c r="AF50" s="35"/>
      <c r="AG50" s="35"/>
    </row>
    <row r="51" spans="1:33" x14ac:dyDescent="0.2">
      <c r="A51" s="34" t="s">
        <v>123</v>
      </c>
      <c r="B51" s="398">
        <v>0.66666666666666663</v>
      </c>
      <c r="C51" s="399">
        <v>1.5910111111111112</v>
      </c>
      <c r="D51" s="394">
        <v>1.1288388888888889</v>
      </c>
      <c r="E51" s="2">
        <v>0.97893333333333321</v>
      </c>
      <c r="F51" s="2">
        <v>1.3895333333333335</v>
      </c>
      <c r="G51" s="37" t="s">
        <v>659</v>
      </c>
      <c r="M51" s="35">
        <f t="shared" si="12"/>
        <v>0.14990555555555574</v>
      </c>
      <c r="N51" s="35">
        <f t="shared" si="13"/>
        <v>0.26069444444444456</v>
      </c>
      <c r="Q51">
        <f t="shared" si="2"/>
        <v>1999.75</v>
      </c>
    </row>
    <row r="52" spans="1:33" x14ac:dyDescent="0.2">
      <c r="A52" t="s">
        <v>117</v>
      </c>
      <c r="B52" s="2">
        <v>0.25</v>
      </c>
      <c r="C52" s="2">
        <v>0.17535555555555557</v>
      </c>
      <c r="D52" s="394">
        <v>0.2126777777777778</v>
      </c>
      <c r="E52" s="2">
        <v>0.16627222222222221</v>
      </c>
      <c r="F52" s="2">
        <v>0.34938888888888886</v>
      </c>
      <c r="G52" s="37" t="s">
        <v>659</v>
      </c>
      <c r="M52" s="35">
        <f t="shared" si="12"/>
        <v>4.6405555555555589E-2</v>
      </c>
      <c r="N52" s="35">
        <f t="shared" si="13"/>
        <v>0.13671111111111106</v>
      </c>
      <c r="Q52">
        <f t="shared" si="2"/>
        <v>2000.25</v>
      </c>
      <c r="S52" s="620">
        <f>STDEV(S7:S47)/AVERAGE(S7:S47)</f>
        <v>1.1579348728603018</v>
      </c>
      <c r="T52" s="621" t="s">
        <v>706</v>
      </c>
      <c r="U52" s="620">
        <f>STDEV(U7:U47)/AVERAGE(U7:U47)</f>
        <v>1.1024292738261583</v>
      </c>
    </row>
    <row r="53" spans="1:33" x14ac:dyDescent="0.2">
      <c r="A53" s="34" t="s">
        <v>118</v>
      </c>
      <c r="B53" s="398">
        <v>8.3333333333333329E-2</v>
      </c>
      <c r="C53" s="399">
        <v>9.5366666666666669E-2</v>
      </c>
      <c r="D53" s="394">
        <v>8.9349999999999999E-2</v>
      </c>
      <c r="E53" s="2">
        <v>6.8333333333333329E-2</v>
      </c>
      <c r="F53" s="2">
        <v>0.15833333333333333</v>
      </c>
      <c r="G53" s="37" t="s">
        <v>273</v>
      </c>
      <c r="I53" s="37" t="s">
        <v>244</v>
      </c>
      <c r="M53" s="35">
        <f t="shared" si="12"/>
        <v>2.101666666666667E-2</v>
      </c>
      <c r="N53" s="35">
        <f t="shared" si="13"/>
        <v>6.8983333333333327E-2</v>
      </c>
      <c r="Q53">
        <f t="shared" si="2"/>
        <v>2000.75</v>
      </c>
      <c r="V53" s="7" t="s">
        <v>543</v>
      </c>
      <c r="X53" s="422" t="s">
        <v>548</v>
      </c>
      <c r="Y53" s="20" t="s">
        <v>549</v>
      </c>
      <c r="Z53" s="459" t="s">
        <v>569</v>
      </c>
      <c r="AA53" s="460" t="s">
        <v>571</v>
      </c>
      <c r="AC53" s="37" t="s">
        <v>670</v>
      </c>
      <c r="AD53" s="37" t="s">
        <v>670</v>
      </c>
      <c r="AF53" s="37" t="s">
        <v>671</v>
      </c>
      <c r="AG53" s="37" t="s">
        <v>671</v>
      </c>
    </row>
    <row r="54" spans="1:33" x14ac:dyDescent="0.2">
      <c r="A54" t="s">
        <v>222</v>
      </c>
      <c r="B54" s="2">
        <v>6.6666666666666666E-2</v>
      </c>
      <c r="C54" s="2">
        <v>0</v>
      </c>
      <c r="D54" s="394">
        <v>3.3333333333333333E-2</v>
      </c>
      <c r="E54" s="2">
        <v>3.3333333333333333E-2</v>
      </c>
      <c r="F54" s="2">
        <v>5.8333333333333334E-2</v>
      </c>
      <c r="G54" s="37" t="s">
        <v>273</v>
      </c>
      <c r="I54" s="37" t="s">
        <v>536</v>
      </c>
      <c r="M54" s="35">
        <f t="shared" si="12"/>
        <v>0</v>
      </c>
      <c r="N54" s="35">
        <f t="shared" si="13"/>
        <v>2.5000000000000001E-2</v>
      </c>
      <c r="Q54">
        <f t="shared" si="2"/>
        <v>2001.25</v>
      </c>
      <c r="S54" t="s">
        <v>247</v>
      </c>
      <c r="U54" t="s">
        <v>403</v>
      </c>
      <c r="V54" t="s">
        <v>542</v>
      </c>
      <c r="Z54" s="459" t="s">
        <v>570</v>
      </c>
      <c r="AA54" s="460" t="s">
        <v>572</v>
      </c>
      <c r="AC54" s="37" t="s">
        <v>295</v>
      </c>
      <c r="AD54" s="37" t="s">
        <v>204</v>
      </c>
      <c r="AF54" s="37" t="s">
        <v>295</v>
      </c>
      <c r="AG54" s="37" t="s">
        <v>204</v>
      </c>
    </row>
    <row r="55" spans="1:33" ht="13.5" thickBot="1" x14ac:dyDescent="0.25">
      <c r="A55" s="34" t="s">
        <v>246</v>
      </c>
      <c r="B55" s="398">
        <v>0.11666666666666667</v>
      </c>
      <c r="C55" s="399">
        <v>1.6666666666666666E-2</v>
      </c>
      <c r="D55" s="394">
        <v>6.6666666666666666E-2</v>
      </c>
      <c r="E55" s="2">
        <v>0.06</v>
      </c>
      <c r="F55" s="2">
        <v>0.18333333333333332</v>
      </c>
      <c r="G55" s="37" t="s">
        <v>273</v>
      </c>
      <c r="I55" s="37" t="s">
        <v>536</v>
      </c>
      <c r="M55" s="35">
        <f t="shared" si="12"/>
        <v>6.666666666666668E-3</v>
      </c>
      <c r="N55" s="35">
        <f t="shared" si="13"/>
        <v>0.11666666666666665</v>
      </c>
      <c r="Q55">
        <f t="shared" si="2"/>
        <v>2001.75</v>
      </c>
      <c r="Z55" s="468" t="s">
        <v>574</v>
      </c>
      <c r="AA55" s="467" t="s">
        <v>573</v>
      </c>
    </row>
    <row r="56" spans="1:33" x14ac:dyDescent="0.2">
      <c r="A56" t="s">
        <v>277</v>
      </c>
      <c r="B56" s="2">
        <v>3.3333333333333333E-2</v>
      </c>
      <c r="C56" s="2">
        <v>0</v>
      </c>
      <c r="D56" s="394">
        <v>1.6666666666666666E-2</v>
      </c>
      <c r="E56" s="2">
        <v>1.4999999999999999E-2</v>
      </c>
      <c r="F56" s="2">
        <v>0.05</v>
      </c>
      <c r="G56" s="37" t="s">
        <v>273</v>
      </c>
      <c r="I56" s="37" t="s">
        <v>536</v>
      </c>
      <c r="M56" s="35">
        <f t="shared" si="12"/>
        <v>1.666666666666667E-3</v>
      </c>
      <c r="N56" s="35">
        <f t="shared" si="13"/>
        <v>3.333333333333334E-2</v>
      </c>
      <c r="Q56">
        <f t="shared" si="2"/>
        <v>2002.25</v>
      </c>
    </row>
    <row r="57" spans="1:33" x14ac:dyDescent="0.2">
      <c r="A57" s="34" t="s">
        <v>278</v>
      </c>
      <c r="B57" s="398">
        <v>0.21475555555555556</v>
      </c>
      <c r="C57" s="520">
        <v>0.1</v>
      </c>
      <c r="D57" s="394">
        <v>0.21475555555555556</v>
      </c>
      <c r="E57" s="2">
        <v>0.16077777777777777</v>
      </c>
      <c r="F57" s="2">
        <v>0.32822222222222225</v>
      </c>
      <c r="G57" s="37" t="s">
        <v>273</v>
      </c>
      <c r="I57" s="37" t="s">
        <v>536</v>
      </c>
      <c r="M57" s="35">
        <f t="shared" si="12"/>
        <v>5.3977777777777791E-2</v>
      </c>
      <c r="N57" s="35">
        <f t="shared" si="13"/>
        <v>0.11346666666666669</v>
      </c>
      <c r="Q57">
        <f t="shared" si="2"/>
        <v>2002.75</v>
      </c>
      <c r="AE57" t="s">
        <v>728</v>
      </c>
    </row>
    <row r="58" spans="1:33" x14ac:dyDescent="0.2">
      <c r="A58" t="s">
        <v>279</v>
      </c>
      <c r="B58" s="2">
        <v>0.10533333333333333</v>
      </c>
      <c r="C58" s="2">
        <v>0.11481111111111113</v>
      </c>
      <c r="D58" s="394">
        <v>0.11007222222222224</v>
      </c>
      <c r="E58" s="2">
        <v>7.5222222222222218E-2</v>
      </c>
      <c r="F58" s="2">
        <v>0.19133333333333336</v>
      </c>
      <c r="G58" s="37" t="s">
        <v>658</v>
      </c>
      <c r="I58" s="37" t="s">
        <v>536</v>
      </c>
      <c r="M58" s="35">
        <f t="shared" si="12"/>
        <v>3.485000000000002E-2</v>
      </c>
      <c r="N58" s="35">
        <f t="shared" si="13"/>
        <v>8.1261111111111117E-2</v>
      </c>
      <c r="Q58">
        <f t="shared" si="2"/>
        <v>2003.25</v>
      </c>
    </row>
    <row r="59" spans="1:33" x14ac:dyDescent="0.2">
      <c r="A59" s="34" t="s">
        <v>280</v>
      </c>
      <c r="B59" s="398">
        <v>0.1671111111111111</v>
      </c>
      <c r="C59" s="399">
        <v>0.11415</v>
      </c>
      <c r="D59" s="394">
        <v>0.14063055555555554</v>
      </c>
      <c r="E59" s="2">
        <v>9.4922222222222213E-2</v>
      </c>
      <c r="F59" s="2">
        <v>0.26997222222222228</v>
      </c>
      <c r="G59" s="37" t="s">
        <v>658</v>
      </c>
      <c r="I59" s="37" t="s">
        <v>536</v>
      </c>
      <c r="M59" s="35">
        <f t="shared" si="12"/>
        <v>4.5708333333333323E-2</v>
      </c>
      <c r="N59" s="35">
        <f t="shared" si="13"/>
        <v>0.12934166666666674</v>
      </c>
      <c r="Q59">
        <f t="shared" si="2"/>
        <v>2003.75</v>
      </c>
    </row>
    <row r="60" spans="1:33" x14ac:dyDescent="0.2">
      <c r="A60" t="s">
        <v>320</v>
      </c>
      <c r="B60" s="2">
        <v>0.3213333333333333</v>
      </c>
      <c r="C60" s="2">
        <v>0.32143333333333329</v>
      </c>
      <c r="D60" s="394">
        <v>0.3213833333333333</v>
      </c>
      <c r="E60" s="2">
        <v>0.2523333333333333</v>
      </c>
      <c r="F60" s="2">
        <v>0.45381666666666665</v>
      </c>
      <c r="G60" s="37" t="s">
        <v>322</v>
      </c>
      <c r="I60" s="37" t="s">
        <v>536</v>
      </c>
      <c r="M60" s="35">
        <f>D60-E60</f>
        <v>6.905E-2</v>
      </c>
      <c r="N60" s="35">
        <f>F60-D60</f>
        <v>0.13243333333333335</v>
      </c>
      <c r="Q60">
        <f t="shared" si="2"/>
        <v>2004.25</v>
      </c>
    </row>
    <row r="61" spans="1:33" x14ac:dyDescent="0.2">
      <c r="A61" s="34" t="s">
        <v>321</v>
      </c>
      <c r="B61" s="398">
        <v>0.5737444444444445</v>
      </c>
      <c r="C61" s="399">
        <v>0.15292222222222221</v>
      </c>
      <c r="D61" s="394">
        <v>0.36333333333333334</v>
      </c>
      <c r="E61" s="2">
        <v>0.28968333333333335</v>
      </c>
      <c r="F61" s="2">
        <v>0.50491111111111109</v>
      </c>
      <c r="G61" s="37" t="s">
        <v>658</v>
      </c>
      <c r="I61" s="37" t="s">
        <v>536</v>
      </c>
      <c r="M61" s="35">
        <f t="shared" ref="M61:M69" si="15">D61-E61</f>
        <v>7.3649999999999993E-2</v>
      </c>
      <c r="N61" s="35">
        <f t="shared" ref="N61:N69" si="16">F61-D61</f>
        <v>0.14157777777777775</v>
      </c>
      <c r="Q61">
        <f t="shared" si="2"/>
        <v>2004.75</v>
      </c>
    </row>
    <row r="62" spans="1:33" x14ac:dyDescent="0.2">
      <c r="A62" t="s">
        <v>353</v>
      </c>
      <c r="B62" s="2">
        <v>0.40345555555555562</v>
      </c>
      <c r="C62" s="2">
        <v>0.33863333333333334</v>
      </c>
      <c r="D62" s="394">
        <v>0.37104444444444451</v>
      </c>
      <c r="E62" s="2">
        <v>0.28957777777777777</v>
      </c>
      <c r="F62" s="2">
        <v>0.52911666666666668</v>
      </c>
      <c r="G62" s="37" t="s">
        <v>658</v>
      </c>
      <c r="I62" s="37" t="s">
        <v>536</v>
      </c>
      <c r="M62" s="35">
        <f t="shared" si="15"/>
        <v>8.1466666666666743E-2</v>
      </c>
      <c r="N62" s="35">
        <f t="shared" si="16"/>
        <v>0.15807222222222217</v>
      </c>
      <c r="Q62">
        <f t="shared" si="2"/>
        <v>2005.25</v>
      </c>
    </row>
    <row r="63" spans="1:33" x14ac:dyDescent="0.2">
      <c r="A63" s="34" t="s">
        <v>354</v>
      </c>
      <c r="B63" s="398">
        <v>1.0265555555555554</v>
      </c>
      <c r="C63" s="399">
        <v>0.68701111111111102</v>
      </c>
      <c r="D63" s="394">
        <v>0.85678333333333323</v>
      </c>
      <c r="E63" s="2">
        <v>0.70707222222222232</v>
      </c>
      <c r="F63" s="2">
        <v>1.0911722222222222</v>
      </c>
      <c r="G63" s="37" t="s">
        <v>658</v>
      </c>
      <c r="I63" s="37" t="s">
        <v>536</v>
      </c>
      <c r="M63" s="35">
        <f t="shared" si="15"/>
        <v>0.14971111111111091</v>
      </c>
      <c r="N63" s="35">
        <f t="shared" si="16"/>
        <v>0.23438888888888898</v>
      </c>
      <c r="Q63">
        <f t="shared" si="2"/>
        <v>2005.75</v>
      </c>
    </row>
    <row r="64" spans="1:33" x14ac:dyDescent="0.2">
      <c r="A64" t="s">
        <v>400</v>
      </c>
      <c r="B64" s="2">
        <v>0.74055555555555552</v>
      </c>
      <c r="C64" s="2">
        <v>1.1097222222222223</v>
      </c>
      <c r="D64" s="394">
        <v>0.92513888888888896</v>
      </c>
      <c r="E64" s="2">
        <v>0.75941111111111104</v>
      </c>
      <c r="F64" s="2">
        <v>1.1927833333333333</v>
      </c>
      <c r="G64" s="37" t="s">
        <v>658</v>
      </c>
      <c r="I64" s="37" t="s">
        <v>536</v>
      </c>
      <c r="M64" s="35">
        <f t="shared" si="15"/>
        <v>0.16572777777777792</v>
      </c>
      <c r="N64" s="35">
        <f t="shared" si="16"/>
        <v>0.26764444444444435</v>
      </c>
      <c r="Q64">
        <v>2006.25</v>
      </c>
    </row>
    <row r="65" spans="1:17" x14ac:dyDescent="0.2">
      <c r="A65" s="34" t="s">
        <v>401</v>
      </c>
      <c r="B65" s="398">
        <v>0.81955555555555559</v>
      </c>
      <c r="C65" s="399">
        <v>1.4849111111111111</v>
      </c>
      <c r="D65" s="394">
        <v>1.1522333333333332</v>
      </c>
      <c r="E65" s="2">
        <v>0.97287222222222236</v>
      </c>
      <c r="F65" s="2">
        <v>1.4023611111111112</v>
      </c>
      <c r="G65" s="37" t="s">
        <v>658</v>
      </c>
      <c r="I65" s="37" t="s">
        <v>536</v>
      </c>
      <c r="M65" s="35">
        <f t="shared" si="15"/>
        <v>0.17936111111111086</v>
      </c>
      <c r="N65" s="35">
        <f t="shared" si="16"/>
        <v>0.25012777777777795</v>
      </c>
      <c r="Q65">
        <v>2006.75</v>
      </c>
    </row>
    <row r="66" spans="1:17" x14ac:dyDescent="0.2">
      <c r="A66" t="s">
        <v>416</v>
      </c>
      <c r="B66" s="2">
        <v>0.72444444444444434</v>
      </c>
      <c r="C66" s="2">
        <v>0.83044444444444443</v>
      </c>
      <c r="D66" s="394">
        <v>0.77744444444444438</v>
      </c>
      <c r="E66" s="2">
        <v>0.65526111111111118</v>
      </c>
      <c r="F66" s="2">
        <v>0.97523888888888877</v>
      </c>
      <c r="G66" s="37" t="s">
        <v>658</v>
      </c>
      <c r="I66" s="37" t="s">
        <v>536</v>
      </c>
      <c r="M66" s="35">
        <f t="shared" si="15"/>
        <v>0.1221833333333332</v>
      </c>
      <c r="N66" s="35">
        <f t="shared" si="16"/>
        <v>0.19779444444444438</v>
      </c>
      <c r="Q66">
        <v>2007.25</v>
      </c>
    </row>
    <row r="67" spans="1:17" x14ac:dyDescent="0.2">
      <c r="A67" s="34" t="s">
        <v>417</v>
      </c>
      <c r="B67" s="398">
        <v>0.56199999999999994</v>
      </c>
      <c r="C67" s="399">
        <v>0.68258888888888902</v>
      </c>
      <c r="D67" s="394">
        <v>0.62229444444444448</v>
      </c>
      <c r="E67" s="2">
        <v>0.51181111111111111</v>
      </c>
      <c r="F67" s="2">
        <v>0.81529444444444432</v>
      </c>
      <c r="G67" s="37" t="s">
        <v>658</v>
      </c>
      <c r="I67" s="37" t="s">
        <v>536</v>
      </c>
      <c r="M67" s="35">
        <f t="shared" si="15"/>
        <v>0.11048333333333338</v>
      </c>
      <c r="N67" s="35">
        <f t="shared" si="16"/>
        <v>0.19299999999999984</v>
      </c>
      <c r="Q67">
        <v>2007.75</v>
      </c>
    </row>
    <row r="68" spans="1:17" x14ac:dyDescent="0.2">
      <c r="A68" t="s">
        <v>472</v>
      </c>
      <c r="B68" s="2">
        <v>0.39500000000000002</v>
      </c>
      <c r="C68" s="2">
        <v>0.2596222222222222</v>
      </c>
      <c r="D68" s="394">
        <v>0.32731111111111111</v>
      </c>
      <c r="E68" s="2">
        <v>0.2625555555555556</v>
      </c>
      <c r="F68" s="2">
        <v>0.44990555555555556</v>
      </c>
      <c r="G68" s="37" t="s">
        <v>658</v>
      </c>
      <c r="I68" s="37" t="s">
        <v>536</v>
      </c>
      <c r="M68" s="35">
        <f t="shared" si="15"/>
        <v>6.4755555555555511E-2</v>
      </c>
      <c r="N68" s="35">
        <f t="shared" si="16"/>
        <v>0.12259444444444445</v>
      </c>
      <c r="Q68">
        <v>2008.25</v>
      </c>
    </row>
    <row r="69" spans="1:17" x14ac:dyDescent="0.2">
      <c r="A69" s="34" t="s">
        <v>473</v>
      </c>
      <c r="B69" s="398">
        <v>0.45200000000000001</v>
      </c>
      <c r="C69" s="399">
        <v>0.63170000000000004</v>
      </c>
      <c r="D69" s="394">
        <v>0.50556666666666672</v>
      </c>
      <c r="E69" s="2">
        <v>0.38544444444444448</v>
      </c>
      <c r="F69" s="2">
        <v>0.78907777777777777</v>
      </c>
      <c r="G69" s="37" t="s">
        <v>658</v>
      </c>
      <c r="I69" s="37" t="s">
        <v>536</v>
      </c>
      <c r="M69" s="35">
        <f t="shared" si="15"/>
        <v>0.12012222222222224</v>
      </c>
      <c r="N69" s="35">
        <f t="shared" si="16"/>
        <v>0.28351111111111105</v>
      </c>
      <c r="Q69">
        <v>2008.75</v>
      </c>
    </row>
    <row r="70" spans="1:17" x14ac:dyDescent="0.2">
      <c r="A70" t="s">
        <v>500</v>
      </c>
      <c r="B70" s="2">
        <v>0.26300000000000001</v>
      </c>
      <c r="C70" s="2">
        <v>0.3261</v>
      </c>
      <c r="D70" s="394">
        <v>0.29454999999999998</v>
      </c>
      <c r="E70" s="2">
        <v>0.22604444444444444</v>
      </c>
      <c r="F70" s="2">
        <v>0.42262777777777782</v>
      </c>
      <c r="G70" s="37" t="s">
        <v>658</v>
      </c>
      <c r="I70" s="37" t="s">
        <v>536</v>
      </c>
      <c r="M70" s="35">
        <f>D70-E70</f>
        <v>6.8505555555555542E-2</v>
      </c>
      <c r="N70" s="35">
        <f t="shared" ref="N70:N76" si="17">F70-D70</f>
        <v>0.12807777777777785</v>
      </c>
      <c r="Q70">
        <v>2009.25</v>
      </c>
    </row>
    <row r="71" spans="1:17" x14ac:dyDescent="0.2">
      <c r="A71" s="34" t="s">
        <v>501</v>
      </c>
      <c r="B71" s="398">
        <v>0.28365555555555555</v>
      </c>
      <c r="C71" s="399">
        <v>0.96378888888888881</v>
      </c>
      <c r="D71" s="394">
        <v>0.62372222222222218</v>
      </c>
      <c r="E71" s="2">
        <v>0.45640000000000003</v>
      </c>
      <c r="F71" s="2">
        <v>0.91083333333333338</v>
      </c>
      <c r="G71" s="37" t="s">
        <v>658</v>
      </c>
      <c r="I71" s="37" t="s">
        <v>536</v>
      </c>
      <c r="M71" s="35">
        <f>D71-E71</f>
        <v>0.16732222222222215</v>
      </c>
      <c r="N71" s="35">
        <f t="shared" si="17"/>
        <v>0.28711111111111121</v>
      </c>
      <c r="Q71">
        <v>2009.75</v>
      </c>
    </row>
    <row r="72" spans="1:17" x14ac:dyDescent="0.2">
      <c r="A72" t="s">
        <v>509</v>
      </c>
      <c r="B72" s="2">
        <v>9.1800000000000007E-2</v>
      </c>
      <c r="C72" s="2">
        <f>3/60</f>
        <v>0.05</v>
      </c>
      <c r="D72" s="394">
        <f>(B72+C72)/2</f>
        <v>7.0900000000000005E-2</v>
      </c>
      <c r="E72" s="7">
        <v>4.1000000000000002E-2</v>
      </c>
      <c r="F72" s="2">
        <v>0.14000000000000001</v>
      </c>
      <c r="G72" s="37" t="s">
        <v>273</v>
      </c>
      <c r="I72" s="37" t="s">
        <v>540</v>
      </c>
      <c r="M72" s="35">
        <f>D72-E72</f>
        <v>2.9900000000000003E-2</v>
      </c>
      <c r="N72" s="35">
        <f t="shared" si="17"/>
        <v>6.9100000000000009E-2</v>
      </c>
      <c r="Q72">
        <v>2010.25</v>
      </c>
    </row>
    <row r="73" spans="1:17" x14ac:dyDescent="0.2">
      <c r="A73" s="34" t="s">
        <v>510</v>
      </c>
      <c r="B73" s="398">
        <v>0.40910000000000002</v>
      </c>
      <c r="C73" s="398">
        <v>0.21840000000000001</v>
      </c>
      <c r="D73" s="394">
        <f>(B73+C73)/2</f>
        <v>0.31375000000000003</v>
      </c>
      <c r="E73" s="2">
        <f>0.41/2</f>
        <v>0.20499999999999999</v>
      </c>
      <c r="F73" s="2">
        <f>0.99/2</f>
        <v>0.495</v>
      </c>
      <c r="G73" s="37" t="s">
        <v>658</v>
      </c>
      <c r="I73" s="37" t="s">
        <v>536</v>
      </c>
      <c r="M73" s="35">
        <f>D73-E73</f>
        <v>0.10875000000000004</v>
      </c>
      <c r="N73" s="35">
        <f t="shared" si="17"/>
        <v>0.18124999999999997</v>
      </c>
      <c r="Q73">
        <v>2010.75</v>
      </c>
    </row>
    <row r="74" spans="1:17" x14ac:dyDescent="0.2">
      <c r="A74" t="s">
        <v>564</v>
      </c>
      <c r="B74" s="447">
        <v>9.0999999999999998E-2</v>
      </c>
      <c r="C74" s="2">
        <f>3/60</f>
        <v>0.05</v>
      </c>
      <c r="D74" s="394">
        <f>AVERAGE(B74:C74)</f>
        <v>7.0500000000000007E-2</v>
      </c>
      <c r="E74" s="7">
        <v>0.05</v>
      </c>
      <c r="F74" s="2">
        <v>0.12</v>
      </c>
      <c r="G74" s="37" t="s">
        <v>273</v>
      </c>
      <c r="I74" s="37" t="s">
        <v>540</v>
      </c>
      <c r="M74" s="35">
        <f>D74-E74</f>
        <v>2.0500000000000004E-2</v>
      </c>
      <c r="N74" s="35">
        <f t="shared" si="17"/>
        <v>4.9499999999999988E-2</v>
      </c>
      <c r="Q74">
        <v>2011.25</v>
      </c>
    </row>
    <row r="75" spans="1:17" x14ac:dyDescent="0.2">
      <c r="A75" s="34" t="s">
        <v>565</v>
      </c>
      <c r="B75" s="92">
        <v>0.22</v>
      </c>
      <c r="C75" s="399">
        <f>1/60</f>
        <v>1.6666666666666666E-2</v>
      </c>
      <c r="D75" s="394">
        <f t="shared" ref="D75:D89" si="18">(B75+C75)/2</f>
        <v>0.11833333333333333</v>
      </c>
      <c r="E75" s="2">
        <v>0.12</v>
      </c>
      <c r="F75" s="2">
        <v>0.43</v>
      </c>
      <c r="G75" s="37" t="s">
        <v>273</v>
      </c>
      <c r="I75" s="37" t="s">
        <v>540</v>
      </c>
      <c r="M75" s="35">
        <v>0</v>
      </c>
      <c r="N75" s="35">
        <f t="shared" si="17"/>
        <v>0.31166666666666665</v>
      </c>
      <c r="Q75">
        <v>2011.75</v>
      </c>
    </row>
    <row r="76" spans="1:17" x14ac:dyDescent="0.2">
      <c r="A76" s="20" t="s">
        <v>586</v>
      </c>
      <c r="B76" s="23">
        <f>3/60</f>
        <v>0.05</v>
      </c>
      <c r="C76" s="239">
        <f>1/60</f>
        <v>1.6666666666666666E-2</v>
      </c>
      <c r="D76" s="394">
        <f t="shared" si="18"/>
        <v>3.3333333333333333E-2</v>
      </c>
      <c r="E76" s="2">
        <f>2/60</f>
        <v>3.3333333333333333E-2</v>
      </c>
      <c r="F76" s="2">
        <f>5/60</f>
        <v>8.3333333333333329E-2</v>
      </c>
      <c r="G76" s="37" t="s">
        <v>273</v>
      </c>
      <c r="I76" s="37" t="s">
        <v>589</v>
      </c>
      <c r="M76" s="35">
        <f t="shared" ref="M76:M81" si="19">D76-E76</f>
        <v>0</v>
      </c>
      <c r="N76" s="35">
        <f t="shared" si="17"/>
        <v>4.9999999999999996E-2</v>
      </c>
      <c r="Q76">
        <v>2012.25</v>
      </c>
    </row>
    <row r="77" spans="1:17" x14ac:dyDescent="0.2">
      <c r="A77" s="508" t="s">
        <v>587</v>
      </c>
      <c r="B77" s="514">
        <f>6/60</f>
        <v>0.1</v>
      </c>
      <c r="C77" s="399">
        <f>3/60</f>
        <v>0.05</v>
      </c>
      <c r="D77" s="394">
        <f t="shared" si="18"/>
        <v>7.5000000000000011E-2</v>
      </c>
      <c r="E77" s="2">
        <f>7/120</f>
        <v>5.8333333333333334E-2</v>
      </c>
      <c r="F77" s="2">
        <v>0.1</v>
      </c>
      <c r="G77" s="37" t="s">
        <v>273</v>
      </c>
      <c r="I77" s="37" t="s">
        <v>589</v>
      </c>
      <c r="M77" s="35">
        <f t="shared" si="19"/>
        <v>1.6666666666666677E-2</v>
      </c>
      <c r="N77" s="35">
        <f t="shared" ref="N77:N83" si="20">F77-D77</f>
        <v>2.4999999999999994E-2</v>
      </c>
      <c r="Q77">
        <v>2012.75</v>
      </c>
    </row>
    <row r="78" spans="1:17" x14ac:dyDescent="0.2">
      <c r="A78" s="20" t="s">
        <v>590</v>
      </c>
      <c r="B78" s="53">
        <f>9/60</f>
        <v>0.15</v>
      </c>
      <c r="C78" s="239">
        <f>6/60</f>
        <v>0.1</v>
      </c>
      <c r="D78" s="394">
        <f t="shared" si="18"/>
        <v>0.125</v>
      </c>
      <c r="E78" s="2">
        <f>6/60</f>
        <v>0.1</v>
      </c>
      <c r="F78" s="2">
        <f>9/60</f>
        <v>0.15</v>
      </c>
      <c r="G78" s="37" t="s">
        <v>273</v>
      </c>
      <c r="I78" s="37" t="s">
        <v>589</v>
      </c>
      <c r="M78" s="35">
        <f t="shared" si="19"/>
        <v>2.4999999999999994E-2</v>
      </c>
      <c r="N78" s="35">
        <f t="shared" si="20"/>
        <v>2.4999999999999994E-2</v>
      </c>
      <c r="Q78">
        <v>2013.25</v>
      </c>
    </row>
    <row r="79" spans="1:17" x14ac:dyDescent="0.2">
      <c r="A79" s="508" t="s">
        <v>591</v>
      </c>
      <c r="B79" s="514">
        <v>0.85</v>
      </c>
      <c r="C79" s="398">
        <v>0.44069999999999998</v>
      </c>
      <c r="D79" s="394">
        <f t="shared" si="18"/>
        <v>0.64534999999999998</v>
      </c>
      <c r="E79" s="2">
        <v>0.36</v>
      </c>
      <c r="F79" s="2">
        <v>1.1299999999999999</v>
      </c>
      <c r="G79" s="37" t="s">
        <v>658</v>
      </c>
      <c r="I79" s="37" t="s">
        <v>536</v>
      </c>
      <c r="M79" s="35">
        <f t="shared" si="19"/>
        <v>0.28534999999999999</v>
      </c>
      <c r="N79" s="35">
        <f t="shared" si="20"/>
        <v>0.48464999999999991</v>
      </c>
      <c r="Q79">
        <v>2013.75</v>
      </c>
    </row>
    <row r="80" spans="1:17" x14ac:dyDescent="0.2">
      <c r="A80" s="20" t="s">
        <v>613</v>
      </c>
      <c r="B80" s="53">
        <v>0.32329999999999998</v>
      </c>
      <c r="C80" s="239">
        <f>6/60</f>
        <v>0.1</v>
      </c>
      <c r="D80" s="394">
        <f t="shared" si="18"/>
        <v>0.21165</v>
      </c>
      <c r="E80" s="2">
        <v>0.125</v>
      </c>
      <c r="F80" s="2">
        <v>0.40500000000000003</v>
      </c>
      <c r="G80" s="37" t="s">
        <v>658</v>
      </c>
      <c r="I80" s="37" t="s">
        <v>536</v>
      </c>
      <c r="M80" s="35">
        <f t="shared" si="19"/>
        <v>8.6650000000000005E-2</v>
      </c>
      <c r="N80" s="35">
        <f t="shared" si="20"/>
        <v>0.19335000000000002</v>
      </c>
      <c r="Q80">
        <v>2014.25</v>
      </c>
    </row>
    <row r="81" spans="1:17" x14ac:dyDescent="0.2">
      <c r="A81" s="508" t="s">
        <v>614</v>
      </c>
      <c r="B81" s="514">
        <v>1.2575000000000001</v>
      </c>
      <c r="C81" s="399">
        <v>0.70889999999999997</v>
      </c>
      <c r="D81" s="394">
        <f t="shared" si="18"/>
        <v>0.98320000000000007</v>
      </c>
      <c r="E81" s="2">
        <f>(0.515+0.9836)/2</f>
        <v>0.74930000000000008</v>
      </c>
      <c r="F81" s="2">
        <f>(0.975+1.6074)/2</f>
        <v>1.2911999999999999</v>
      </c>
      <c r="G81" s="37" t="s">
        <v>658</v>
      </c>
      <c r="I81" s="37" t="s">
        <v>536</v>
      </c>
      <c r="M81" s="35">
        <f t="shared" si="19"/>
        <v>0.2339</v>
      </c>
      <c r="N81" s="35">
        <f t="shared" si="20"/>
        <v>0.30799999999999983</v>
      </c>
      <c r="Q81">
        <v>2014.75</v>
      </c>
    </row>
    <row r="82" spans="1:17" x14ac:dyDescent="0.2">
      <c r="A82" s="20" t="s">
        <v>662</v>
      </c>
      <c r="B82" s="53">
        <v>0.7</v>
      </c>
      <c r="C82" s="239">
        <v>0.28260000000000002</v>
      </c>
      <c r="D82" s="394">
        <f t="shared" si="18"/>
        <v>0.49129999999999996</v>
      </c>
      <c r="E82" s="2">
        <f>(0.515+0.15)/2</f>
        <v>0.33250000000000002</v>
      </c>
      <c r="F82" s="2">
        <f>(0.94+0.5175)/2</f>
        <v>0.72875000000000001</v>
      </c>
      <c r="G82" s="37" t="s">
        <v>658</v>
      </c>
      <c r="I82" s="37" t="s">
        <v>536</v>
      </c>
      <c r="M82" s="35">
        <f t="shared" ref="M82:M83" si="21">D82-E82</f>
        <v>0.15879999999999994</v>
      </c>
      <c r="N82" s="35">
        <f t="shared" si="20"/>
        <v>0.23745000000000005</v>
      </c>
      <c r="Q82">
        <v>2015.25</v>
      </c>
    </row>
    <row r="83" spans="1:17" x14ac:dyDescent="0.2">
      <c r="A83" s="508" t="s">
        <v>663</v>
      </c>
      <c r="B83" s="514">
        <v>1.1299999999999999</v>
      </c>
      <c r="C83" s="398">
        <v>0.9</v>
      </c>
      <c r="D83" s="394">
        <f t="shared" si="18"/>
        <v>1.0149999999999999</v>
      </c>
      <c r="E83" s="2">
        <f>(0.67+0.87)/2</f>
        <v>0.77</v>
      </c>
      <c r="F83" s="2">
        <f>(1.21+1.48)/2</f>
        <v>1.345</v>
      </c>
      <c r="G83" s="37" t="s">
        <v>658</v>
      </c>
      <c r="I83" s="37" t="s">
        <v>536</v>
      </c>
      <c r="M83" s="35">
        <f t="shared" si="21"/>
        <v>0.24499999999999988</v>
      </c>
      <c r="N83" s="35">
        <f t="shared" si="20"/>
        <v>0.33000000000000007</v>
      </c>
      <c r="Q83">
        <v>2015.75</v>
      </c>
    </row>
    <row r="84" spans="1:17" x14ac:dyDescent="0.2">
      <c r="A84" s="20" t="s">
        <v>685</v>
      </c>
      <c r="B84" s="53">
        <v>0.76200000000000001</v>
      </c>
      <c r="C84" s="239">
        <v>1.02</v>
      </c>
      <c r="D84" s="394">
        <f t="shared" si="18"/>
        <v>0.89100000000000001</v>
      </c>
      <c r="E84" s="2">
        <f>(0.74+0.56)/2</f>
        <v>0.65</v>
      </c>
      <c r="F84" s="2">
        <f>(1.41+1.04)/2</f>
        <v>1.2250000000000001</v>
      </c>
      <c r="G84" s="37" t="s">
        <v>658</v>
      </c>
      <c r="I84" s="37" t="s">
        <v>536</v>
      </c>
      <c r="M84" s="35">
        <f t="shared" ref="M84" si="22">D84-E84</f>
        <v>0.24099999999999999</v>
      </c>
      <c r="N84" s="35">
        <f t="shared" ref="N84" si="23">F84-D84</f>
        <v>0.33400000000000007</v>
      </c>
      <c r="Q84">
        <v>2016.25</v>
      </c>
    </row>
    <row r="85" spans="1:17" x14ac:dyDescent="0.2">
      <c r="A85" s="508" t="s">
        <v>686</v>
      </c>
      <c r="B85" s="92">
        <v>1.62</v>
      </c>
      <c r="C85" s="92">
        <v>2.02</v>
      </c>
      <c r="D85" s="394">
        <f t="shared" si="18"/>
        <v>1.82</v>
      </c>
      <c r="E85" s="2">
        <f>(1.64+1.35)/2</f>
        <v>1.4950000000000001</v>
      </c>
      <c r="F85" s="2">
        <f>(2.48+1.94)/2</f>
        <v>2.21</v>
      </c>
      <c r="G85" s="37" t="s">
        <v>658</v>
      </c>
      <c r="I85" s="37" t="s">
        <v>536</v>
      </c>
      <c r="M85" s="35">
        <f t="shared" ref="M85" si="24">D85-E85</f>
        <v>0.32499999999999996</v>
      </c>
      <c r="N85" s="35">
        <f t="shared" ref="N85" si="25">F85-D85</f>
        <v>0.3899999999999999</v>
      </c>
      <c r="Q85">
        <v>2016.75</v>
      </c>
    </row>
    <row r="86" spans="1:17" x14ac:dyDescent="0.2">
      <c r="A86" s="20" t="s">
        <v>715</v>
      </c>
      <c r="B86" s="23">
        <v>1.19</v>
      </c>
      <c r="C86" s="53">
        <v>1.2557</v>
      </c>
      <c r="D86" s="394">
        <f>(B86+C86)/2</f>
        <v>1.22285</v>
      </c>
      <c r="E86" s="2">
        <f>(0.92+0.943)/2</f>
        <v>0.93149999999999999</v>
      </c>
      <c r="F86" s="2">
        <f>(1.53+1.67)/2</f>
        <v>1.6</v>
      </c>
      <c r="G86" s="37" t="s">
        <v>658</v>
      </c>
      <c r="I86" s="37" t="s">
        <v>536</v>
      </c>
      <c r="M86" s="35">
        <f t="shared" ref="M86:M87" si="26">D86-E86</f>
        <v>0.29135</v>
      </c>
      <c r="N86" s="35">
        <f t="shared" ref="N86:N87" si="27">F86-D86</f>
        <v>0.3771500000000001</v>
      </c>
      <c r="Q86">
        <v>2017.25</v>
      </c>
    </row>
    <row r="87" spans="1:17" x14ac:dyDescent="0.2">
      <c r="A87" s="508" t="s">
        <v>716</v>
      </c>
      <c r="B87" s="514">
        <v>1.0269999999999999</v>
      </c>
      <c r="C87" s="92">
        <v>1.44</v>
      </c>
      <c r="D87" s="394">
        <f t="shared" si="18"/>
        <v>1.2334999999999998</v>
      </c>
      <c r="E87" s="2">
        <f>(0.744+1.12)/2</f>
        <v>0.93200000000000005</v>
      </c>
      <c r="F87" s="2">
        <f>(1.853+1.418)/2</f>
        <v>1.6355</v>
      </c>
      <c r="G87" s="37" t="s">
        <v>658</v>
      </c>
      <c r="H87" s="22"/>
      <c r="I87" s="37" t="s">
        <v>536</v>
      </c>
      <c r="J87" s="22"/>
      <c r="K87" s="22"/>
      <c r="L87" s="22"/>
      <c r="M87" s="35">
        <f t="shared" si="26"/>
        <v>0.30149999999999977</v>
      </c>
      <c r="N87" s="35">
        <f t="shared" si="27"/>
        <v>0.40200000000000014</v>
      </c>
      <c r="O87" s="22"/>
      <c r="P87" s="22"/>
      <c r="Q87" s="22">
        <v>2017.75</v>
      </c>
    </row>
    <row r="88" spans="1:17" x14ac:dyDescent="0.2">
      <c r="A88" s="20" t="s">
        <v>722</v>
      </c>
      <c r="B88" s="53">
        <v>0.61</v>
      </c>
      <c r="C88" s="23">
        <v>0.54</v>
      </c>
      <c r="D88" s="394">
        <f t="shared" si="18"/>
        <v>0.57499999999999996</v>
      </c>
      <c r="E88" s="239">
        <v>0.41499999999999998</v>
      </c>
      <c r="F88" s="239">
        <v>0.8</v>
      </c>
      <c r="G88" s="37" t="s">
        <v>658</v>
      </c>
      <c r="H88" s="22"/>
      <c r="I88" s="37" t="s">
        <v>536</v>
      </c>
      <c r="J88" s="22"/>
      <c r="K88" s="22"/>
      <c r="L88" s="22"/>
      <c r="M88" s="35">
        <v>0.16</v>
      </c>
      <c r="N88" s="632">
        <v>0.22500000000000001</v>
      </c>
      <c r="O88" s="22"/>
      <c r="P88" s="22"/>
      <c r="Q88" s="87">
        <v>2018.25</v>
      </c>
    </row>
    <row r="89" spans="1:17" x14ac:dyDescent="0.2">
      <c r="A89" s="508" t="s">
        <v>723</v>
      </c>
      <c r="B89" s="514">
        <v>0.81</v>
      </c>
      <c r="C89" s="633">
        <v>1.28</v>
      </c>
      <c r="D89" s="626">
        <f t="shared" si="18"/>
        <v>1.0449999999999999</v>
      </c>
      <c r="E89" s="239">
        <f>(0.52+0.97)/2</f>
        <v>0.745</v>
      </c>
      <c r="F89" s="239">
        <f>(1.28+1.7)/2</f>
        <v>1.49</v>
      </c>
      <c r="G89" s="37" t="s">
        <v>658</v>
      </c>
      <c r="H89" s="22"/>
      <c r="I89" s="37" t="s">
        <v>536</v>
      </c>
      <c r="J89" s="22"/>
      <c r="K89" s="22"/>
      <c r="L89" s="22"/>
      <c r="M89" s="35">
        <f t="shared" ref="M89" si="28">D89-E89</f>
        <v>0.29999999999999993</v>
      </c>
      <c r="N89" s="35">
        <f t="shared" ref="N89" si="29">F89-D89</f>
        <v>0.44500000000000006</v>
      </c>
      <c r="O89" s="22"/>
      <c r="P89" s="22"/>
      <c r="Q89" s="87">
        <v>2018.75</v>
      </c>
    </row>
    <row r="90" spans="1:17" x14ac:dyDescent="0.2">
      <c r="A90" s="617"/>
      <c r="B90" s="22"/>
      <c r="C90" s="23"/>
      <c r="D90" s="626"/>
    </row>
  </sheetData>
  <phoneticPr fontId="0" type="noConversion"/>
  <printOptions horizontalCentered="1" gridLines="1"/>
  <pageMargins left="0.74803149606299213" right="0.74803149606299213" top="0.82" bottom="0.77" header="0.37" footer="0.46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5"/>
  <sheetViews>
    <sheetView topLeftCell="A7" workbookViewId="0">
      <selection activeCell="L30" sqref="L30"/>
    </sheetView>
  </sheetViews>
  <sheetFormatPr defaultRowHeight="12.75" x14ac:dyDescent="0.2"/>
  <cols>
    <col min="1" max="1" width="10.28515625" customWidth="1"/>
    <col min="2" max="2" width="8" customWidth="1"/>
    <col min="3" max="3" width="9.28515625" customWidth="1"/>
    <col min="4" max="4" width="8.7109375" customWidth="1"/>
    <col min="5" max="5" width="14.28515625" customWidth="1"/>
    <col min="6" max="6" width="18.7109375" customWidth="1"/>
    <col min="7" max="7" width="12.140625" customWidth="1"/>
    <col min="8" max="8" width="7.7109375" customWidth="1"/>
    <col min="9" max="9" width="11.7109375" customWidth="1"/>
    <col min="10" max="10" width="7" customWidth="1"/>
  </cols>
  <sheetData>
    <row r="1" spans="1:20" ht="16.5" thickBot="1" x14ac:dyDescent="0.3">
      <c r="A1" s="301" t="s">
        <v>409</v>
      </c>
      <c r="B1" s="76"/>
      <c r="C1" s="77"/>
      <c r="D1" s="263"/>
      <c r="E1" s="77"/>
      <c r="F1" s="76"/>
      <c r="G1" s="77"/>
    </row>
    <row r="2" spans="1:20" x14ac:dyDescent="0.2">
      <c r="A2" s="37" t="s">
        <v>418</v>
      </c>
    </row>
    <row r="3" spans="1:20" ht="13.5" thickBot="1" x14ac:dyDescent="0.25">
      <c r="A3" s="264" t="s">
        <v>412</v>
      </c>
      <c r="B3" s="98"/>
      <c r="C3" s="34"/>
      <c r="D3" s="34"/>
      <c r="G3" s="271" t="s">
        <v>414</v>
      </c>
      <c r="S3" s="7">
        <v>2001</v>
      </c>
      <c r="T3" s="9">
        <v>0.12200000000000003</v>
      </c>
    </row>
    <row r="4" spans="1:20" ht="16.5" thickBot="1" x14ac:dyDescent="0.3">
      <c r="A4" s="264"/>
      <c r="B4" s="265"/>
      <c r="C4" s="22"/>
      <c r="D4" s="22"/>
      <c r="L4" s="359" t="s">
        <v>474</v>
      </c>
      <c r="M4" s="69"/>
      <c r="N4" s="69"/>
      <c r="O4" s="304"/>
      <c r="S4" s="7">
        <f t="shared" ref="S4:S20" si="0">S3+1</f>
        <v>2002</v>
      </c>
      <c r="T4" s="9">
        <v>0.2085714285714286</v>
      </c>
    </row>
    <row r="5" spans="1:20" ht="26.25" thickBot="1" x14ac:dyDescent="0.25">
      <c r="A5" s="266" t="s">
        <v>16</v>
      </c>
      <c r="B5" s="266" t="s">
        <v>242</v>
      </c>
      <c r="C5" s="266" t="s">
        <v>282</v>
      </c>
      <c r="D5" s="266" t="s">
        <v>243</v>
      </c>
      <c r="E5" s="267" t="s">
        <v>284</v>
      </c>
      <c r="F5" s="267" t="s">
        <v>262</v>
      </c>
      <c r="G5" s="267" t="s">
        <v>410</v>
      </c>
      <c r="H5" s="268" t="s">
        <v>411</v>
      </c>
      <c r="I5" s="269" t="s">
        <v>112</v>
      </c>
      <c r="S5" s="7">
        <f t="shared" si="0"/>
        <v>2003</v>
      </c>
      <c r="T5" s="9">
        <v>0.12571428571428572</v>
      </c>
    </row>
    <row r="6" spans="1:20" ht="17.100000000000001" customHeight="1" x14ac:dyDescent="0.2">
      <c r="A6" s="7">
        <v>1995</v>
      </c>
      <c r="B6" s="9"/>
      <c r="C6" s="9"/>
      <c r="D6" s="9"/>
      <c r="E6" s="9"/>
      <c r="F6" s="9"/>
      <c r="G6" s="9"/>
      <c r="H6" s="9"/>
      <c r="I6" s="44"/>
      <c r="J6" s="7">
        <v>1995</v>
      </c>
      <c r="S6" s="7">
        <f t="shared" si="0"/>
        <v>2004</v>
      </c>
      <c r="T6" s="9">
        <v>0.2871428571428572</v>
      </c>
    </row>
    <row r="7" spans="1:20" ht="17.100000000000001" customHeight="1" x14ac:dyDescent="0.2">
      <c r="A7" s="7">
        <f>A6+1</f>
        <v>1996</v>
      </c>
      <c r="B7" s="9"/>
      <c r="C7" s="9"/>
      <c r="D7" s="9"/>
      <c r="E7" s="9"/>
      <c r="F7" s="9"/>
      <c r="G7" s="9"/>
      <c r="H7" s="9"/>
      <c r="I7" s="41"/>
      <c r="J7" s="7">
        <f>J6+1</f>
        <v>1996</v>
      </c>
      <c r="S7" s="7">
        <f t="shared" si="0"/>
        <v>2005</v>
      </c>
      <c r="T7" s="9">
        <v>0.57399999999999995</v>
      </c>
    </row>
    <row r="8" spans="1:20" ht="17.100000000000001" customHeight="1" x14ac:dyDescent="0.2">
      <c r="A8" s="7">
        <f t="shared" ref="A8:A18" si="1">A7+1</f>
        <v>1997</v>
      </c>
      <c r="B8" s="9"/>
      <c r="C8" s="9"/>
      <c r="D8" s="9"/>
      <c r="E8" s="9"/>
      <c r="F8" s="9"/>
      <c r="G8" s="9"/>
      <c r="H8" s="9"/>
      <c r="I8" s="41">
        <v>0.45</v>
      </c>
      <c r="J8" s="7">
        <f t="shared" ref="J8:J18" si="2">J7+1</f>
        <v>1997</v>
      </c>
      <c r="S8" s="7">
        <f t="shared" si="0"/>
        <v>2006</v>
      </c>
      <c r="T8" s="9">
        <v>1.2042857142857142</v>
      </c>
    </row>
    <row r="9" spans="1:20" ht="17.100000000000001" customHeight="1" x14ac:dyDescent="0.2">
      <c r="A9" s="7">
        <f t="shared" si="1"/>
        <v>1998</v>
      </c>
      <c r="B9" s="9"/>
      <c r="C9" s="9"/>
      <c r="D9" s="9"/>
      <c r="E9" s="9"/>
      <c r="F9" s="9"/>
      <c r="G9" s="9"/>
      <c r="H9" s="9"/>
      <c r="I9" s="41"/>
      <c r="J9" s="7">
        <f t="shared" si="2"/>
        <v>1998</v>
      </c>
      <c r="S9" s="7">
        <f t="shared" si="0"/>
        <v>2007</v>
      </c>
      <c r="T9" s="9">
        <v>1.0680000000000001</v>
      </c>
    </row>
    <row r="10" spans="1:20" ht="17.100000000000001" customHeight="1" x14ac:dyDescent="0.2">
      <c r="A10" s="7">
        <f t="shared" si="1"/>
        <v>1999</v>
      </c>
      <c r="B10" s="9"/>
      <c r="C10" s="9"/>
      <c r="D10" s="9"/>
      <c r="E10" s="9"/>
      <c r="F10" s="9"/>
      <c r="G10" s="9"/>
      <c r="H10" s="9"/>
      <c r="I10" s="134"/>
      <c r="J10" s="7">
        <f t="shared" si="2"/>
        <v>1999</v>
      </c>
      <c r="N10" s="35"/>
      <c r="S10" s="7">
        <f t="shared" si="0"/>
        <v>2008</v>
      </c>
    </row>
    <row r="11" spans="1:20" ht="17.100000000000001" customHeight="1" x14ac:dyDescent="0.2">
      <c r="A11" s="7">
        <f t="shared" si="1"/>
        <v>2000</v>
      </c>
      <c r="B11" s="9"/>
      <c r="C11" s="9"/>
      <c r="D11" s="9"/>
      <c r="E11" s="9"/>
      <c r="F11" s="9"/>
      <c r="G11" s="9"/>
      <c r="H11" s="9"/>
      <c r="I11" s="134"/>
      <c r="J11" s="7">
        <f t="shared" si="2"/>
        <v>2000</v>
      </c>
      <c r="N11" s="35"/>
      <c r="S11" s="7">
        <f t="shared" si="0"/>
        <v>2009</v>
      </c>
    </row>
    <row r="12" spans="1:20" ht="17.100000000000001" customHeight="1" x14ac:dyDescent="0.2">
      <c r="A12" s="7">
        <f t="shared" si="1"/>
        <v>2001</v>
      </c>
      <c r="B12" s="9">
        <v>0.18</v>
      </c>
      <c r="C12" s="9"/>
      <c r="D12" s="9">
        <v>0.21</v>
      </c>
      <c r="E12" s="9"/>
      <c r="F12" s="9">
        <v>0.03</v>
      </c>
      <c r="G12" s="9">
        <v>0.17</v>
      </c>
      <c r="H12" s="9">
        <v>0.02</v>
      </c>
      <c r="I12" s="134">
        <f t="shared" ref="I12:I18" si="3">AVERAGE(B12:H12)</f>
        <v>0.12200000000000003</v>
      </c>
      <c r="J12" s="7">
        <f t="shared" si="2"/>
        <v>2001</v>
      </c>
      <c r="N12" s="35"/>
      <c r="S12" s="7">
        <f t="shared" si="0"/>
        <v>2010</v>
      </c>
      <c r="T12" s="9">
        <f>F25</f>
        <v>0.94</v>
      </c>
    </row>
    <row r="13" spans="1:20" ht="17.100000000000001" customHeight="1" x14ac:dyDescent="0.2">
      <c r="A13" s="7">
        <f t="shared" si="1"/>
        <v>2002</v>
      </c>
      <c r="B13" s="9">
        <v>0.45</v>
      </c>
      <c r="C13" s="9">
        <v>0.22</v>
      </c>
      <c r="D13" s="9">
        <v>0.17</v>
      </c>
      <c r="E13" s="9">
        <v>0.01</v>
      </c>
      <c r="F13" s="9">
        <v>7.0000000000000007E-2</v>
      </c>
      <c r="G13" s="9">
        <v>0.38</v>
      </c>
      <c r="H13" s="9">
        <v>0.16</v>
      </c>
      <c r="I13" s="134">
        <f t="shared" si="3"/>
        <v>0.2085714285714286</v>
      </c>
      <c r="J13" s="7">
        <f t="shared" si="2"/>
        <v>2002</v>
      </c>
      <c r="N13" s="35"/>
      <c r="S13" s="7">
        <f t="shared" si="0"/>
        <v>2011</v>
      </c>
      <c r="T13" s="7">
        <v>0.62</v>
      </c>
    </row>
    <row r="14" spans="1:20" ht="17.100000000000001" customHeight="1" x14ac:dyDescent="0.2">
      <c r="A14" s="7">
        <f t="shared" si="1"/>
        <v>2003</v>
      </c>
      <c r="B14" s="9">
        <v>0.33</v>
      </c>
      <c r="C14" s="9">
        <v>0.2</v>
      </c>
      <c r="D14" s="9">
        <v>0.1</v>
      </c>
      <c r="E14" s="9">
        <v>0.09</v>
      </c>
      <c r="F14" s="9">
        <v>0.15</v>
      </c>
      <c r="G14" s="9">
        <v>0.01</v>
      </c>
      <c r="H14" s="9">
        <v>0</v>
      </c>
      <c r="I14" s="134">
        <f t="shared" si="3"/>
        <v>0.12571428571428572</v>
      </c>
      <c r="J14" s="7">
        <f t="shared" si="2"/>
        <v>2003</v>
      </c>
      <c r="N14" s="35"/>
      <c r="S14" s="7">
        <f t="shared" si="0"/>
        <v>2012</v>
      </c>
      <c r="T14" s="7">
        <v>0.83</v>
      </c>
    </row>
    <row r="15" spans="1:20" ht="17.100000000000001" customHeight="1" x14ac:dyDescent="0.2">
      <c r="A15" s="7">
        <f t="shared" si="1"/>
        <v>2004</v>
      </c>
      <c r="B15" s="9">
        <v>0.51</v>
      </c>
      <c r="C15" s="9">
        <v>0.8</v>
      </c>
      <c r="D15" s="9">
        <v>0.48</v>
      </c>
      <c r="E15" s="9">
        <v>0.08</v>
      </c>
      <c r="F15" s="9">
        <v>0.05</v>
      </c>
      <c r="G15" s="9">
        <v>0.06</v>
      </c>
      <c r="H15" s="9">
        <v>0.03</v>
      </c>
      <c r="I15" s="134">
        <f t="shared" si="3"/>
        <v>0.2871428571428572</v>
      </c>
      <c r="J15" s="7">
        <f t="shared" si="2"/>
        <v>2004</v>
      </c>
      <c r="N15" s="35"/>
      <c r="S15" s="7">
        <f t="shared" si="0"/>
        <v>2013</v>
      </c>
      <c r="T15" s="7">
        <v>0.45</v>
      </c>
    </row>
    <row r="16" spans="1:20" ht="17.100000000000001" customHeight="1" x14ac:dyDescent="0.2">
      <c r="A16" s="7">
        <f t="shared" si="1"/>
        <v>2005</v>
      </c>
      <c r="B16" s="9"/>
      <c r="C16" s="9">
        <v>2.2599999999999998</v>
      </c>
      <c r="D16" s="9">
        <v>0.34</v>
      </c>
      <c r="E16" s="9">
        <v>0.14000000000000001</v>
      </c>
      <c r="F16" s="9"/>
      <c r="G16" s="9">
        <v>0.13</v>
      </c>
      <c r="H16" s="9">
        <v>0</v>
      </c>
      <c r="I16" s="134">
        <f t="shared" si="3"/>
        <v>0.57399999999999995</v>
      </c>
      <c r="J16" s="7">
        <f t="shared" si="2"/>
        <v>2005</v>
      </c>
      <c r="N16" s="35"/>
      <c r="S16" s="7">
        <f t="shared" si="0"/>
        <v>2014</v>
      </c>
      <c r="T16" s="7">
        <v>0.92</v>
      </c>
    </row>
    <row r="17" spans="1:20" ht="17.100000000000001" customHeight="1" x14ac:dyDescent="0.2">
      <c r="A17" s="7">
        <f t="shared" si="1"/>
        <v>2006</v>
      </c>
      <c r="B17" s="9">
        <v>2.66</v>
      </c>
      <c r="C17" s="9">
        <v>2.98</v>
      </c>
      <c r="D17" s="9">
        <v>0.84</v>
      </c>
      <c r="E17" s="9">
        <v>0.44</v>
      </c>
      <c r="F17" s="9">
        <v>1.29</v>
      </c>
      <c r="G17" s="9">
        <v>0.18</v>
      </c>
      <c r="H17" s="9">
        <v>0.04</v>
      </c>
      <c r="I17" s="134">
        <f t="shared" si="3"/>
        <v>1.2042857142857142</v>
      </c>
      <c r="J17" s="7">
        <f t="shared" si="2"/>
        <v>2006</v>
      </c>
      <c r="N17" s="35"/>
      <c r="S17" s="7">
        <f t="shared" si="0"/>
        <v>2015</v>
      </c>
      <c r="T17" s="7">
        <v>1.4</v>
      </c>
    </row>
    <row r="18" spans="1:20" ht="17.100000000000001" customHeight="1" x14ac:dyDescent="0.2">
      <c r="A18" s="7">
        <f t="shared" si="1"/>
        <v>2007</v>
      </c>
      <c r="B18" s="9"/>
      <c r="C18" s="9">
        <v>2.4</v>
      </c>
      <c r="D18" s="9">
        <v>2.11</v>
      </c>
      <c r="E18" s="9">
        <v>0.53</v>
      </c>
      <c r="F18" s="9"/>
      <c r="G18" s="9">
        <v>0.27</v>
      </c>
      <c r="H18" s="9">
        <v>0.03</v>
      </c>
      <c r="I18" s="134">
        <f t="shared" si="3"/>
        <v>1.0680000000000001</v>
      </c>
      <c r="J18" s="7">
        <f t="shared" si="2"/>
        <v>2007</v>
      </c>
      <c r="N18" s="35"/>
      <c r="S18" s="7">
        <f t="shared" si="0"/>
        <v>2016</v>
      </c>
      <c r="T18" s="7">
        <v>1.84</v>
      </c>
    </row>
    <row r="19" spans="1:20" ht="17.100000000000001" customHeight="1" x14ac:dyDescent="0.2">
      <c r="B19" s="9"/>
      <c r="C19" s="9"/>
      <c r="D19" s="9"/>
      <c r="E19" s="9"/>
      <c r="F19" s="9"/>
      <c r="G19" s="9"/>
      <c r="H19" s="9"/>
      <c r="N19" s="35"/>
      <c r="S19" s="7">
        <v>2017</v>
      </c>
      <c r="T19" s="7">
        <v>2.0699999999999998</v>
      </c>
    </row>
    <row r="20" spans="1:20" ht="13.5" thickBot="1" x14ac:dyDescent="0.25">
      <c r="B20" s="3"/>
      <c r="C20" s="3"/>
      <c r="D20" s="3"/>
      <c r="E20" s="72"/>
      <c r="F20" s="72"/>
      <c r="G20" s="72"/>
      <c r="H20" s="72"/>
      <c r="I20" s="3"/>
      <c r="S20" s="7">
        <f t="shared" si="0"/>
        <v>2018</v>
      </c>
      <c r="T20" s="7">
        <v>1.65</v>
      </c>
    </row>
    <row r="22" spans="1:20" ht="24" x14ac:dyDescent="0.2">
      <c r="A22" s="270" t="s">
        <v>413</v>
      </c>
      <c r="B22" s="184">
        <f t="shared" ref="B22:I22" si="4">AVERAGE(B5:B19)</f>
        <v>0.82599999999999996</v>
      </c>
      <c r="C22" s="184">
        <f t="shared" si="4"/>
        <v>1.4766666666666666</v>
      </c>
      <c r="D22" s="184">
        <f t="shared" si="4"/>
        <v>0.6071428571428571</v>
      </c>
      <c r="E22" s="184">
        <f t="shared" si="4"/>
        <v>0.215</v>
      </c>
      <c r="F22" s="184">
        <f t="shared" si="4"/>
        <v>0.318</v>
      </c>
      <c r="G22" s="184">
        <f t="shared" si="4"/>
        <v>0.17142857142857146</v>
      </c>
      <c r="H22" s="184">
        <f t="shared" si="4"/>
        <v>0.04</v>
      </c>
      <c r="I22" s="187">
        <f t="shared" si="4"/>
        <v>0.50496428571428575</v>
      </c>
    </row>
    <row r="24" spans="1:20" ht="39" customHeight="1" thickBot="1" x14ac:dyDescent="0.25">
      <c r="A24" s="579" t="s">
        <v>661</v>
      </c>
      <c r="B24" s="266" t="s">
        <v>77</v>
      </c>
      <c r="C24" s="266" t="s">
        <v>122</v>
      </c>
      <c r="D24" s="266" t="s">
        <v>121</v>
      </c>
      <c r="E24" s="420" t="s">
        <v>282</v>
      </c>
      <c r="F24" s="269" t="s">
        <v>112</v>
      </c>
      <c r="G24" s="521" t="s">
        <v>593</v>
      </c>
    </row>
    <row r="25" spans="1:20" ht="16.899999999999999" customHeight="1" x14ac:dyDescent="0.2">
      <c r="A25" s="7">
        <v>2010</v>
      </c>
      <c r="B25" s="7">
        <v>0.86</v>
      </c>
      <c r="C25" s="7">
        <v>1.04</v>
      </c>
      <c r="D25" s="7">
        <v>1.29</v>
      </c>
      <c r="E25" s="7">
        <v>0.56999999999999995</v>
      </c>
      <c r="F25" s="419">
        <f>AVERAGE(B25:E25)</f>
        <v>0.94</v>
      </c>
      <c r="G25" s="9">
        <f>AVERAGE(C25:D25)</f>
        <v>1.165</v>
      </c>
      <c r="H25" s="271" t="s">
        <v>414</v>
      </c>
    </row>
    <row r="26" spans="1:20" ht="16.899999999999999" customHeight="1" x14ac:dyDescent="0.2">
      <c r="A26" s="7">
        <v>2011</v>
      </c>
      <c r="B26" s="7">
        <v>2.4700000000000002</v>
      </c>
      <c r="C26" s="7">
        <v>0.43</v>
      </c>
      <c r="D26" s="7">
        <v>0.79</v>
      </c>
      <c r="F26" s="419">
        <f>AVERAGE(B26:E26)</f>
        <v>1.2300000000000002</v>
      </c>
      <c r="G26" s="9">
        <v>0.62</v>
      </c>
    </row>
    <row r="27" spans="1:20" ht="16.899999999999999" customHeight="1" x14ac:dyDescent="0.2">
      <c r="A27" s="7">
        <v>2012</v>
      </c>
      <c r="B27" s="7">
        <v>2.86</v>
      </c>
      <c r="C27" s="7">
        <v>0.14000000000000001</v>
      </c>
      <c r="D27" s="7">
        <v>1.46</v>
      </c>
      <c r="F27" s="419">
        <f>AVERAGE(B27:E27)</f>
        <v>1.4866666666666666</v>
      </c>
      <c r="G27" s="9">
        <v>0.83</v>
      </c>
    </row>
    <row r="28" spans="1:20" ht="16.899999999999999" customHeight="1" x14ac:dyDescent="0.2">
      <c r="A28" s="7">
        <v>2013</v>
      </c>
      <c r="B28" s="7">
        <v>2.39</v>
      </c>
      <c r="C28" s="7">
        <v>0.23</v>
      </c>
      <c r="D28" s="7">
        <v>0.67</v>
      </c>
      <c r="F28" s="419">
        <f>AVERAGE(B28:E28)</f>
        <v>1.0966666666666667</v>
      </c>
      <c r="G28" s="9">
        <v>0.45</v>
      </c>
    </row>
    <row r="29" spans="1:20" ht="16.149999999999999" customHeight="1" x14ac:dyDescent="0.2">
      <c r="A29" s="7">
        <v>2014</v>
      </c>
      <c r="B29" s="7">
        <v>2.06</v>
      </c>
      <c r="C29" s="9">
        <v>0.3</v>
      </c>
      <c r="D29" s="9">
        <v>1.5</v>
      </c>
      <c r="F29" s="419">
        <f>AVERAGE(B29:D29)</f>
        <v>1.2866666666666666</v>
      </c>
      <c r="G29" s="9">
        <v>0.92</v>
      </c>
    </row>
    <row r="30" spans="1:20" ht="16.149999999999999" customHeight="1" x14ac:dyDescent="0.2">
      <c r="A30" s="7">
        <v>2015</v>
      </c>
      <c r="B30" s="7">
        <v>2.88</v>
      </c>
      <c r="C30" s="7">
        <v>0.59</v>
      </c>
      <c r="D30" s="7">
        <v>2.1800000000000002</v>
      </c>
      <c r="F30" s="601">
        <v>1.9</v>
      </c>
      <c r="G30" s="9">
        <v>1.4</v>
      </c>
    </row>
    <row r="31" spans="1:20" ht="16.149999999999999" customHeight="1" x14ac:dyDescent="0.2">
      <c r="A31" s="7">
        <v>2016</v>
      </c>
      <c r="B31" s="7">
        <v>3.55</v>
      </c>
      <c r="C31" s="7">
        <v>1.38</v>
      </c>
      <c r="D31" s="9">
        <v>2.2999999999999998</v>
      </c>
      <c r="F31" s="601">
        <v>2.4300000000000002</v>
      </c>
      <c r="G31" s="9">
        <v>1.84</v>
      </c>
    </row>
    <row r="32" spans="1:20" ht="16.149999999999999" customHeight="1" x14ac:dyDescent="0.2">
      <c r="A32" s="7">
        <v>2017</v>
      </c>
      <c r="B32" s="7">
        <v>2.13</v>
      </c>
      <c r="C32" s="7">
        <v>1.94</v>
      </c>
      <c r="D32" s="7">
        <v>2.21</v>
      </c>
      <c r="F32" s="601">
        <v>2.09</v>
      </c>
      <c r="G32" s="9">
        <v>2.0699999999999998</v>
      </c>
    </row>
    <row r="33" spans="1:8" ht="16.149999999999999" customHeight="1" x14ac:dyDescent="0.2">
      <c r="A33" s="7">
        <v>2018</v>
      </c>
      <c r="B33" s="7">
        <v>1.99</v>
      </c>
      <c r="C33" s="7">
        <v>1.86</v>
      </c>
      <c r="D33" s="9">
        <v>1.36</v>
      </c>
      <c r="F33" s="601">
        <v>1.77</v>
      </c>
      <c r="G33" s="9">
        <v>1.65</v>
      </c>
      <c r="H33" s="37" t="s">
        <v>737</v>
      </c>
    </row>
    <row r="34" spans="1:8" ht="16.149999999999999" customHeight="1" x14ac:dyDescent="0.2"/>
    <row r="35" spans="1:8" ht="16.149999999999999" customHeight="1" x14ac:dyDescent="0.2"/>
  </sheetData>
  <phoneticPr fontId="27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6"/>
  <sheetViews>
    <sheetView workbookViewId="0">
      <pane ySplit="4" topLeftCell="A58" activePane="bottomLeft" state="frozenSplit"/>
      <selection pane="bottomLeft" activeCell="S88" sqref="S88"/>
    </sheetView>
  </sheetViews>
  <sheetFormatPr defaultRowHeight="12.75" x14ac:dyDescent="0.2"/>
  <cols>
    <col min="1" max="1" width="11.7109375" customWidth="1"/>
    <col min="2" max="2" width="16" customWidth="1"/>
    <col min="3" max="3" width="15" customWidth="1"/>
    <col min="4" max="4" width="13.85546875" customWidth="1"/>
    <col min="5" max="5" width="12" customWidth="1"/>
    <col min="6" max="6" width="18.42578125" customWidth="1"/>
    <col min="7" max="7" width="20.5703125" customWidth="1"/>
    <col min="8" max="9" width="12" style="7" customWidth="1"/>
    <col min="14" max="14" width="9.140625" style="9"/>
    <col min="17" max="17" width="10.85546875" customWidth="1"/>
  </cols>
  <sheetData>
    <row r="1" spans="1:19" ht="16.5" thickBot="1" x14ac:dyDescent="0.3">
      <c r="A1" s="322" t="s">
        <v>80</v>
      </c>
      <c r="B1" s="96"/>
      <c r="C1" s="97"/>
      <c r="D1" s="37" t="s">
        <v>81</v>
      </c>
      <c r="G1" s="188" t="s">
        <v>504</v>
      </c>
    </row>
    <row r="2" spans="1:19" x14ac:dyDescent="0.2">
      <c r="A2" s="37" t="s">
        <v>120</v>
      </c>
      <c r="F2" s="106" t="s">
        <v>541</v>
      </c>
      <c r="J2" s="37" t="s">
        <v>660</v>
      </c>
    </row>
    <row r="3" spans="1:19" x14ac:dyDescent="0.2">
      <c r="B3" s="98" t="s">
        <v>299</v>
      </c>
      <c r="C3" s="34"/>
      <c r="D3" s="34"/>
    </row>
    <row r="4" spans="1:19" ht="13.5" thickBot="1" x14ac:dyDescent="0.25">
      <c r="A4" s="4" t="s">
        <v>82</v>
      </c>
      <c r="B4" s="25" t="s">
        <v>83</v>
      </c>
      <c r="C4" s="25" t="s">
        <v>84</v>
      </c>
      <c r="D4" s="25" t="s">
        <v>85</v>
      </c>
      <c r="E4" s="179" t="s">
        <v>77</v>
      </c>
      <c r="F4" s="179" t="s">
        <v>119</v>
      </c>
      <c r="G4" s="135" t="s">
        <v>112</v>
      </c>
      <c r="H4" s="7" t="s">
        <v>582</v>
      </c>
      <c r="I4" s="7" t="s">
        <v>425</v>
      </c>
      <c r="N4" s="9" t="s">
        <v>480</v>
      </c>
    </row>
    <row r="5" spans="1:19" x14ac:dyDescent="0.2">
      <c r="A5" t="s">
        <v>86</v>
      </c>
      <c r="B5" s="6"/>
      <c r="C5" s="6"/>
      <c r="D5" s="6"/>
      <c r="E5" s="6"/>
      <c r="F5" s="6"/>
      <c r="G5" s="44"/>
    </row>
    <row r="6" spans="1:19" x14ac:dyDescent="0.2">
      <c r="A6" t="s">
        <v>87</v>
      </c>
      <c r="B6" s="6"/>
      <c r="C6" s="6"/>
      <c r="D6" s="6"/>
      <c r="E6" s="6"/>
      <c r="F6" s="6"/>
      <c r="G6" s="41"/>
    </row>
    <row r="7" spans="1:19" x14ac:dyDescent="0.2">
      <c r="A7" t="s">
        <v>88</v>
      </c>
      <c r="B7" s="6"/>
      <c r="C7" s="6"/>
      <c r="D7" s="6"/>
      <c r="E7" s="6"/>
      <c r="F7" s="6"/>
      <c r="G7" s="41"/>
      <c r="M7" s="422" t="s">
        <v>611</v>
      </c>
      <c r="P7" s="603" t="s">
        <v>693</v>
      </c>
      <c r="Q7" s="577"/>
    </row>
    <row r="8" spans="1:19" x14ac:dyDescent="0.2">
      <c r="A8" t="s">
        <v>89</v>
      </c>
      <c r="B8" s="6"/>
      <c r="C8" s="6"/>
      <c r="D8" s="6"/>
      <c r="E8" s="6"/>
      <c r="F8" s="6"/>
      <c r="G8" s="41"/>
      <c r="L8">
        <v>1986</v>
      </c>
    </row>
    <row r="9" spans="1:19" x14ac:dyDescent="0.2">
      <c r="A9" t="s">
        <v>90</v>
      </c>
      <c r="B9" s="9">
        <v>2.3333333333333335</v>
      </c>
      <c r="C9" s="9">
        <v>1.8333333333333333</v>
      </c>
      <c r="D9" s="9">
        <v>1.4166666666666667</v>
      </c>
      <c r="E9" s="9"/>
      <c r="F9" s="9"/>
      <c r="G9" s="134">
        <f>(B9+C9+D9)/3</f>
        <v>1.8611111111111114</v>
      </c>
      <c r="H9" s="499">
        <f>STDEV(B9:F9)</f>
        <v>0.4589642122738416</v>
      </c>
      <c r="I9" s="499">
        <f>H9/SQRT(3)</f>
        <v>0.26498311150470699</v>
      </c>
      <c r="J9">
        <v>1987.4</v>
      </c>
      <c r="L9">
        <f>L8+1</f>
        <v>1987</v>
      </c>
      <c r="M9" s="35">
        <f>G9</f>
        <v>1.8611111111111114</v>
      </c>
      <c r="N9" s="9">
        <f>AVERAGE(B9:D9)</f>
        <v>1.8611111111111114</v>
      </c>
      <c r="P9" s="603" t="s">
        <v>690</v>
      </c>
      <c r="Q9" s="577"/>
      <c r="R9" s="604" t="s">
        <v>247</v>
      </c>
      <c r="S9" s="604" t="s">
        <v>403</v>
      </c>
    </row>
    <row r="10" spans="1:19" x14ac:dyDescent="0.2">
      <c r="A10" t="s">
        <v>91</v>
      </c>
      <c r="B10" s="9">
        <v>2.1666666666666665</v>
      </c>
      <c r="C10" s="9">
        <v>1.0833333333333333</v>
      </c>
      <c r="D10" s="9">
        <v>1.4166666666666667</v>
      </c>
      <c r="E10" s="9"/>
      <c r="F10" s="9"/>
      <c r="G10" s="134">
        <f t="shared" ref="G10:G30" si="0">(B10+C10+D10)/3</f>
        <v>1.5555555555555556</v>
      </c>
      <c r="H10" s="499">
        <f t="shared" ref="H10:H68" si="1">STDEV(B10:F10)</f>
        <v>0.55486067653994853</v>
      </c>
      <c r="I10" s="499">
        <f t="shared" ref="I10:I20" si="2">H10/SQRT(3)</f>
        <v>0.32034896096307719</v>
      </c>
      <c r="J10">
        <v>1987.6</v>
      </c>
      <c r="L10">
        <f t="shared" ref="L10:L24" si="3">L9+1</f>
        <v>1988</v>
      </c>
      <c r="M10" s="35">
        <f>G11</f>
        <v>1.75</v>
      </c>
      <c r="N10" s="9">
        <f t="shared" ref="N10:N70" si="4">AVERAGE(B10:D10)</f>
        <v>1.5555555555555556</v>
      </c>
      <c r="P10" s="603" t="s">
        <v>688</v>
      </c>
      <c r="Q10" s="577"/>
      <c r="R10" s="605">
        <f>AVERAGE(M9:M21)</f>
        <v>2.1011448034188041</v>
      </c>
      <c r="S10" s="605">
        <f>AVERAGE(N9:N21)</f>
        <v>1.7478632478632483</v>
      </c>
    </row>
    <row r="11" spans="1:19" x14ac:dyDescent="0.2">
      <c r="A11" t="s">
        <v>92</v>
      </c>
      <c r="B11" s="9">
        <v>2.25</v>
      </c>
      <c r="C11" s="9">
        <v>1.4166666666666667</v>
      </c>
      <c r="D11" s="9">
        <v>1.5833333333333333</v>
      </c>
      <c r="E11" s="9"/>
      <c r="F11" s="9"/>
      <c r="G11" s="134">
        <f t="shared" si="0"/>
        <v>1.75</v>
      </c>
      <c r="H11" s="499">
        <f t="shared" si="1"/>
        <v>0.44095855184409866</v>
      </c>
      <c r="I11" s="499">
        <f t="shared" si="2"/>
        <v>0.2545875386086579</v>
      </c>
      <c r="J11">
        <v>1988.4</v>
      </c>
      <c r="L11">
        <f t="shared" si="3"/>
        <v>1989</v>
      </c>
      <c r="M11" s="35">
        <f>G13</f>
        <v>1.9166666666666667</v>
      </c>
      <c r="N11" s="9">
        <f t="shared" si="4"/>
        <v>1.75</v>
      </c>
      <c r="P11" s="603" t="s">
        <v>689</v>
      </c>
      <c r="Q11" s="577"/>
      <c r="R11" s="605">
        <f>AVERAGE(M22:M35)</f>
        <v>1.9994958571428569</v>
      </c>
      <c r="S11" s="605">
        <f>AVERAGE(N22:N35)</f>
        <v>2.6636904761904767</v>
      </c>
    </row>
    <row r="12" spans="1:19" x14ac:dyDescent="0.2">
      <c r="A12" t="s">
        <v>93</v>
      </c>
      <c r="B12" s="9">
        <v>2.1666666666666665</v>
      </c>
      <c r="C12" s="9">
        <v>1.75</v>
      </c>
      <c r="D12" s="9">
        <v>1.4166666666666667</v>
      </c>
      <c r="E12" s="9"/>
      <c r="F12" s="9"/>
      <c r="G12" s="134">
        <f t="shared" si="0"/>
        <v>1.7777777777777777</v>
      </c>
      <c r="H12" s="499">
        <f t="shared" si="1"/>
        <v>0.37577081273524182</v>
      </c>
      <c r="I12" s="499">
        <f t="shared" si="2"/>
        <v>0.21695137988629634</v>
      </c>
      <c r="J12">
        <v>1988.6</v>
      </c>
      <c r="L12">
        <f t="shared" si="3"/>
        <v>1990</v>
      </c>
      <c r="M12" s="35">
        <f>G15</f>
        <v>1.8333333333333333</v>
      </c>
      <c r="N12" s="9">
        <f t="shared" si="4"/>
        <v>1.7777777777777777</v>
      </c>
    </row>
    <row r="13" spans="1:19" x14ac:dyDescent="0.2">
      <c r="A13" t="s">
        <v>94</v>
      </c>
      <c r="B13" s="9">
        <v>2.25</v>
      </c>
      <c r="C13" s="9">
        <v>1.8333333333333333</v>
      </c>
      <c r="D13" s="9">
        <v>1.6666666666666667</v>
      </c>
      <c r="E13" s="9"/>
      <c r="F13" s="9"/>
      <c r="G13" s="134">
        <f t="shared" si="0"/>
        <v>1.9166666666666667</v>
      </c>
      <c r="H13" s="499">
        <f t="shared" si="1"/>
        <v>0.30046260628866561</v>
      </c>
      <c r="I13" s="499">
        <f t="shared" si="2"/>
        <v>0.17347216662217765</v>
      </c>
      <c r="J13">
        <v>1989.4</v>
      </c>
      <c r="L13">
        <f t="shared" si="3"/>
        <v>1991</v>
      </c>
      <c r="M13" s="35">
        <f>G17</f>
        <v>1.5277777777777777</v>
      </c>
      <c r="N13" s="9">
        <f t="shared" si="4"/>
        <v>1.9166666666666667</v>
      </c>
    </row>
    <row r="14" spans="1:19" x14ac:dyDescent="0.2">
      <c r="A14" t="s">
        <v>95</v>
      </c>
      <c r="B14" s="9">
        <v>2.8333333333333335</v>
      </c>
      <c r="C14" s="9">
        <v>1.6666666666666667</v>
      </c>
      <c r="D14" s="9">
        <v>1.9166666666666667</v>
      </c>
      <c r="E14" s="9"/>
      <c r="F14" s="9"/>
      <c r="G14" s="134">
        <f t="shared" si="0"/>
        <v>2.1388888888888888</v>
      </c>
      <c r="H14" s="499">
        <f t="shared" si="1"/>
        <v>0.61425956631933287</v>
      </c>
      <c r="I14" s="499">
        <f t="shared" si="2"/>
        <v>0.35464292596676961</v>
      </c>
      <c r="J14">
        <v>1989.6</v>
      </c>
      <c r="L14">
        <f t="shared" si="3"/>
        <v>1992</v>
      </c>
      <c r="M14" s="35">
        <f>G19</f>
        <v>1.6666666666666667</v>
      </c>
      <c r="N14" s="9">
        <f t="shared" si="4"/>
        <v>2.1388888888888888</v>
      </c>
      <c r="P14" s="603" t="s">
        <v>691</v>
      </c>
      <c r="Q14" s="577"/>
      <c r="R14" s="577"/>
    </row>
    <row r="15" spans="1:19" x14ac:dyDescent="0.2">
      <c r="A15" t="s">
        <v>96</v>
      </c>
      <c r="B15" s="9">
        <v>2.1666666666666665</v>
      </c>
      <c r="C15" s="9">
        <v>1.5</v>
      </c>
      <c r="D15" s="9">
        <v>1.8333333333333333</v>
      </c>
      <c r="E15" s="9"/>
      <c r="F15" s="9"/>
      <c r="G15" s="134">
        <f t="shared" si="0"/>
        <v>1.8333333333333333</v>
      </c>
      <c r="H15" s="499">
        <f t="shared" si="1"/>
        <v>0.33333333333333143</v>
      </c>
      <c r="I15" s="499">
        <f t="shared" si="2"/>
        <v>0.19245008972987415</v>
      </c>
      <c r="J15">
        <v>1990.4</v>
      </c>
      <c r="L15">
        <f t="shared" si="3"/>
        <v>1993</v>
      </c>
      <c r="M15" s="35">
        <f>G21</f>
        <v>1.5555555555555556</v>
      </c>
      <c r="N15" s="9">
        <f t="shared" si="4"/>
        <v>1.8333333333333333</v>
      </c>
      <c r="P15" s="603" t="s">
        <v>688</v>
      </c>
      <c r="Q15" s="577"/>
      <c r="R15" s="605">
        <f>AVERAGE(G9:G34)</f>
        <v>2.2106578717948717</v>
      </c>
    </row>
    <row r="16" spans="1:19" x14ac:dyDescent="0.2">
      <c r="A16" t="s">
        <v>97</v>
      </c>
      <c r="B16" s="9">
        <v>2.0833333333333335</v>
      </c>
      <c r="C16" s="9">
        <v>1.4166666666666667</v>
      </c>
      <c r="D16" s="9">
        <v>1.9166666666666667</v>
      </c>
      <c r="E16" s="9"/>
      <c r="F16" s="9"/>
      <c r="G16" s="134">
        <f t="shared" si="0"/>
        <v>1.8055555555555556</v>
      </c>
      <c r="H16" s="499">
        <f t="shared" si="1"/>
        <v>0.34694433324435653</v>
      </c>
      <c r="I16" s="499">
        <f t="shared" si="2"/>
        <v>0.20030840419244447</v>
      </c>
      <c r="J16">
        <v>1990.6</v>
      </c>
      <c r="L16">
        <f t="shared" si="3"/>
        <v>1994</v>
      </c>
      <c r="M16" s="35">
        <f>G23</f>
        <v>2.3333333333333335</v>
      </c>
      <c r="N16" s="9">
        <f t="shared" si="4"/>
        <v>1.8055555555555556</v>
      </c>
      <c r="P16" s="603" t="s">
        <v>689</v>
      </c>
      <c r="Q16" s="577"/>
      <c r="R16" s="605">
        <f>AVERAGE(G35:G66)</f>
        <v>2.3433329270833334</v>
      </c>
    </row>
    <row r="17" spans="1:18" x14ac:dyDescent="0.2">
      <c r="A17" t="s">
        <v>98</v>
      </c>
      <c r="B17" s="9">
        <v>2</v>
      </c>
      <c r="C17" s="9">
        <v>0.91666666666666663</v>
      </c>
      <c r="D17" s="9">
        <v>1.6666666666666667</v>
      </c>
      <c r="E17" s="9"/>
      <c r="F17" s="9"/>
      <c r="G17" s="134">
        <f t="shared" si="0"/>
        <v>1.5277777777777777</v>
      </c>
      <c r="H17" s="499">
        <f t="shared" si="1"/>
        <v>0.55486067653994975</v>
      </c>
      <c r="I17" s="499">
        <f t="shared" si="2"/>
        <v>0.32034896096307786</v>
      </c>
      <c r="J17">
        <v>1991.4</v>
      </c>
      <c r="L17">
        <f t="shared" si="3"/>
        <v>1995</v>
      </c>
      <c r="M17" s="35">
        <f>G25</f>
        <v>1.7222222222222221</v>
      </c>
      <c r="N17" s="9">
        <f t="shared" si="4"/>
        <v>1.5277777777777777</v>
      </c>
      <c r="P17" s="577"/>
      <c r="Q17" s="577"/>
      <c r="R17" s="577"/>
    </row>
    <row r="18" spans="1:18" x14ac:dyDescent="0.2">
      <c r="A18" t="s">
        <v>99</v>
      </c>
      <c r="B18" s="9">
        <v>2.25</v>
      </c>
      <c r="C18" s="9">
        <v>1.0833333333333333</v>
      </c>
      <c r="D18" s="9">
        <v>1.6666666666666667</v>
      </c>
      <c r="E18" s="9"/>
      <c r="F18" s="9"/>
      <c r="G18" s="134">
        <f t="shared" si="0"/>
        <v>1.6666666666666667</v>
      </c>
      <c r="H18" s="499">
        <f t="shared" si="1"/>
        <v>0.58333333333333326</v>
      </c>
      <c r="I18" s="499">
        <f t="shared" si="2"/>
        <v>0.33678765702728169</v>
      </c>
      <c r="J18">
        <v>1991.6</v>
      </c>
      <c r="L18">
        <f t="shared" si="3"/>
        <v>1996</v>
      </c>
      <c r="M18" s="35">
        <f>G27</f>
        <v>2.1388888888888888</v>
      </c>
      <c r="N18" s="9">
        <f t="shared" si="4"/>
        <v>1.6666666666666667</v>
      </c>
      <c r="P18" s="603" t="s">
        <v>692</v>
      </c>
      <c r="Q18" s="577"/>
      <c r="R18" s="606">
        <f>R16/R15</f>
        <v>1.0600160961047946</v>
      </c>
    </row>
    <row r="19" spans="1:18" x14ac:dyDescent="0.2">
      <c r="A19" t="s">
        <v>100</v>
      </c>
      <c r="B19" s="9">
        <v>2.3333333333333335</v>
      </c>
      <c r="C19" s="9">
        <v>1.3333333333333333</v>
      </c>
      <c r="D19" s="9">
        <v>1.3333333333333333</v>
      </c>
      <c r="E19" s="9"/>
      <c r="F19" s="9"/>
      <c r="G19" s="134">
        <f t="shared" si="0"/>
        <v>1.6666666666666667</v>
      </c>
      <c r="H19" s="499">
        <f t="shared" si="1"/>
        <v>0.57735026918962551</v>
      </c>
      <c r="I19" s="499">
        <f t="shared" si="2"/>
        <v>0.3333333333333332</v>
      </c>
      <c r="J19">
        <v>1992.4</v>
      </c>
      <c r="L19">
        <f t="shared" si="3"/>
        <v>1997</v>
      </c>
      <c r="M19" s="35">
        <f>G29</f>
        <v>2.0555555555555554</v>
      </c>
      <c r="N19" s="9">
        <f t="shared" si="4"/>
        <v>1.6666666666666667</v>
      </c>
    </row>
    <row r="20" spans="1:18" x14ac:dyDescent="0.2">
      <c r="A20" t="s">
        <v>101</v>
      </c>
      <c r="B20" s="9">
        <v>2.1666666666666665</v>
      </c>
      <c r="C20" s="9">
        <v>1.25</v>
      </c>
      <c r="D20" s="9">
        <v>1.5833333333333333</v>
      </c>
      <c r="E20" s="9"/>
      <c r="F20" s="9"/>
      <c r="G20" s="134">
        <f t="shared" si="0"/>
        <v>1.6666666666666667</v>
      </c>
      <c r="H20" s="499">
        <f t="shared" si="1"/>
        <v>0.46398036356916744</v>
      </c>
      <c r="I20" s="499">
        <f t="shared" si="2"/>
        <v>0.26787918780535924</v>
      </c>
      <c r="J20">
        <v>1992.6</v>
      </c>
      <c r="L20">
        <f t="shared" si="3"/>
        <v>1998</v>
      </c>
      <c r="M20" s="35">
        <f>G31</f>
        <v>2.8433333333333333</v>
      </c>
      <c r="N20" s="9">
        <f t="shared" si="4"/>
        <v>1.6666666666666667</v>
      </c>
    </row>
    <row r="21" spans="1:18" x14ac:dyDescent="0.2">
      <c r="A21" t="s">
        <v>102</v>
      </c>
      <c r="B21" s="9">
        <v>1.9166666666666667</v>
      </c>
      <c r="C21" s="9">
        <v>1.1666666666666667</v>
      </c>
      <c r="D21" s="9">
        <v>1.5833333333333333</v>
      </c>
      <c r="E21" s="183">
        <v>3.5666666666666664</v>
      </c>
      <c r="F21" s="183">
        <v>2.3083333333333331</v>
      </c>
      <c r="G21" s="134">
        <f t="shared" si="0"/>
        <v>1.5555555555555556</v>
      </c>
      <c r="H21" s="499">
        <f t="shared" si="1"/>
        <v>0.91731038004229026</v>
      </c>
      <c r="I21" s="499">
        <f>H21/SQRT(5)</f>
        <v>0.41023367324814547</v>
      </c>
      <c r="J21">
        <v>1993.4</v>
      </c>
      <c r="L21">
        <f t="shared" si="3"/>
        <v>1999</v>
      </c>
      <c r="M21" s="35">
        <f>G33</f>
        <v>4.1104380000000003</v>
      </c>
      <c r="N21" s="9">
        <f t="shared" si="4"/>
        <v>1.5555555555555556</v>
      </c>
    </row>
    <row r="22" spans="1:18" x14ac:dyDescent="0.2">
      <c r="A22" t="s">
        <v>103</v>
      </c>
      <c r="B22" s="9">
        <v>2.75</v>
      </c>
      <c r="C22" s="9">
        <v>1.5833333333333333</v>
      </c>
      <c r="D22" s="9">
        <v>2.6666666666666665</v>
      </c>
      <c r="E22" s="183">
        <v>4.166666666666667</v>
      </c>
      <c r="F22" s="183">
        <v>1.5416666666666667</v>
      </c>
      <c r="G22" s="134">
        <f t="shared" si="0"/>
        <v>2.3333333333333335</v>
      </c>
      <c r="H22" s="499">
        <f t="shared" si="1"/>
        <v>1.0744830798523033</v>
      </c>
      <c r="I22" s="499">
        <f>H22/SQRT(5)</f>
        <v>0.48052344144461695</v>
      </c>
      <c r="J22">
        <v>1993.6</v>
      </c>
      <c r="L22">
        <f t="shared" si="3"/>
        <v>2000</v>
      </c>
      <c r="M22" s="35">
        <f>G35</f>
        <v>3.3473416666666664</v>
      </c>
      <c r="N22" s="9">
        <f t="shared" si="4"/>
        <v>2.3333333333333335</v>
      </c>
    </row>
    <row r="23" spans="1:18" x14ac:dyDescent="0.2">
      <c r="A23" t="s">
        <v>104</v>
      </c>
      <c r="B23" s="9">
        <v>2.25</v>
      </c>
      <c r="C23" s="9">
        <v>1.75</v>
      </c>
      <c r="D23" s="9">
        <v>3</v>
      </c>
      <c r="E23" s="183">
        <v>2.85</v>
      </c>
      <c r="F23" s="183">
        <v>2.5666666666666669</v>
      </c>
      <c r="G23" s="134">
        <f t="shared" si="0"/>
        <v>2.3333333333333335</v>
      </c>
      <c r="H23" s="499">
        <f t="shared" si="1"/>
        <v>0.50013886960412424</v>
      </c>
      <c r="I23" s="499">
        <f>H23/SQRT(5)</f>
        <v>0.223668902124945</v>
      </c>
      <c r="J23">
        <v>1994.4</v>
      </c>
      <c r="L23">
        <f t="shared" si="3"/>
        <v>2001</v>
      </c>
      <c r="M23" s="35">
        <f>G37</f>
        <v>2.2455799999999999</v>
      </c>
      <c r="N23" s="9">
        <f t="shared" si="4"/>
        <v>2.3333333333333335</v>
      </c>
    </row>
    <row r="24" spans="1:18" x14ac:dyDescent="0.2">
      <c r="A24" t="s">
        <v>105</v>
      </c>
      <c r="B24" s="9">
        <v>2.75</v>
      </c>
      <c r="C24" s="9">
        <v>1.5833333333333333</v>
      </c>
      <c r="D24" s="9">
        <v>3.3333333333333335</v>
      </c>
      <c r="E24" s="183">
        <v>4.541666666666667</v>
      </c>
      <c r="F24" s="183">
        <v>5.05</v>
      </c>
      <c r="G24" s="134">
        <f t="shared" si="0"/>
        <v>2.5555555555555554</v>
      </c>
      <c r="H24" s="499">
        <f t="shared" si="1"/>
        <v>1.3910228051489471</v>
      </c>
      <c r="I24" s="499">
        <f>H24/SQRT(5)</f>
        <v>0.62208431011309795</v>
      </c>
      <c r="J24">
        <v>1994.6</v>
      </c>
      <c r="L24">
        <f t="shared" si="3"/>
        <v>2002</v>
      </c>
      <c r="M24" s="35">
        <f>G39</f>
        <v>2.3461500000000002</v>
      </c>
      <c r="N24" s="9">
        <f t="shared" si="4"/>
        <v>2.5555555555555554</v>
      </c>
    </row>
    <row r="25" spans="1:18" x14ac:dyDescent="0.2">
      <c r="A25" t="s">
        <v>106</v>
      </c>
      <c r="B25" s="9">
        <v>2</v>
      </c>
      <c r="C25" s="9">
        <v>1</v>
      </c>
      <c r="D25" s="9">
        <v>2.1666666666666665</v>
      </c>
      <c r="E25" s="183">
        <v>3.1666666666666665</v>
      </c>
      <c r="F25" s="183">
        <v>2.9916666666666667</v>
      </c>
      <c r="G25" s="134">
        <f t="shared" si="0"/>
        <v>1.7222222222222221</v>
      </c>
      <c r="H25" s="499">
        <f t="shared" si="1"/>
        <v>0.86907517894982333</v>
      </c>
      <c r="I25" s="499">
        <f>H25/SQRT(5)</f>
        <v>0.38866223553791984</v>
      </c>
      <c r="J25">
        <v>1995.4</v>
      </c>
      <c r="L25">
        <f>L24+1</f>
        <v>2003</v>
      </c>
      <c r="M25" s="35">
        <f>G41</f>
        <v>1.5775399999999999</v>
      </c>
      <c r="N25" s="9">
        <f t="shared" si="4"/>
        <v>1.7222222222222221</v>
      </c>
    </row>
    <row r="26" spans="1:18" x14ac:dyDescent="0.2">
      <c r="A26" t="s">
        <v>107</v>
      </c>
      <c r="B26" s="9">
        <v>2.5833333333333335</v>
      </c>
      <c r="C26" s="9">
        <v>1.3333333333333333</v>
      </c>
      <c r="D26" s="9">
        <v>2.9166666666666665</v>
      </c>
      <c r="E26" s="183">
        <v>2.1</v>
      </c>
      <c r="F26" s="9"/>
      <c r="G26" s="134">
        <f t="shared" si="0"/>
        <v>2.2777777777777781</v>
      </c>
      <c r="H26" s="499">
        <f t="shared" si="1"/>
        <v>0.68731899974277388</v>
      </c>
      <c r="I26" s="499">
        <f>H26/SQRT(4)</f>
        <v>0.34365949987138694</v>
      </c>
      <c r="J26">
        <v>1995.6</v>
      </c>
      <c r="L26">
        <v>2004</v>
      </c>
      <c r="M26" s="35">
        <f>G43</f>
        <v>1.56325</v>
      </c>
      <c r="N26" s="9">
        <f t="shared" si="4"/>
        <v>2.2777777777777781</v>
      </c>
    </row>
    <row r="27" spans="1:18" x14ac:dyDescent="0.2">
      <c r="A27" t="s">
        <v>108</v>
      </c>
      <c r="B27" s="9">
        <v>2.1666666666666665</v>
      </c>
      <c r="C27" s="9">
        <v>1.8333333333333333</v>
      </c>
      <c r="D27" s="9">
        <v>2.4166666666666665</v>
      </c>
      <c r="E27" s="9"/>
      <c r="F27" s="9"/>
      <c r="G27" s="134">
        <f t="shared" si="0"/>
        <v>2.1388888888888888</v>
      </c>
      <c r="H27" s="499">
        <f t="shared" si="1"/>
        <v>0.29265704869035497</v>
      </c>
      <c r="I27" s="499">
        <f>H27/SQRT(3)</f>
        <v>0.16896562584161787</v>
      </c>
      <c r="J27">
        <f>J25+1</f>
        <v>1996.4</v>
      </c>
      <c r="L27">
        <v>2005</v>
      </c>
      <c r="M27" s="35">
        <f>G45</f>
        <v>1.7247749999999999</v>
      </c>
      <c r="N27" s="9">
        <f t="shared" si="4"/>
        <v>2.1388888888888888</v>
      </c>
    </row>
    <row r="28" spans="1:18" ht="13.5" thickBot="1" x14ac:dyDescent="0.25">
      <c r="A28" s="3" t="s">
        <v>109</v>
      </c>
      <c r="B28" s="72">
        <v>3</v>
      </c>
      <c r="C28" s="72">
        <v>1.6666666666666667</v>
      </c>
      <c r="D28" s="72">
        <v>2.5833333333333335</v>
      </c>
      <c r="E28" s="72"/>
      <c r="F28" s="72"/>
      <c r="G28" s="174">
        <f t="shared" si="0"/>
        <v>2.4166666666666665</v>
      </c>
      <c r="H28" s="499">
        <f t="shared" si="1"/>
        <v>0.68211273098937142</v>
      </c>
      <c r="I28" s="499">
        <f>H28/SQRT(3)</f>
        <v>0.39381796885438441</v>
      </c>
      <c r="J28">
        <f t="shared" ref="J28:J42" si="5">J26+1</f>
        <v>1996.6</v>
      </c>
      <c r="L28">
        <v>2006</v>
      </c>
      <c r="M28" s="35">
        <f>G47</f>
        <v>2.2476453333333333</v>
      </c>
      <c r="N28" s="9">
        <f t="shared" si="4"/>
        <v>2.4166666666666665</v>
      </c>
    </row>
    <row r="29" spans="1:18" x14ac:dyDescent="0.2">
      <c r="A29" t="s">
        <v>110</v>
      </c>
      <c r="B29" s="9">
        <v>2.25</v>
      </c>
      <c r="C29" s="9">
        <v>1.25</v>
      </c>
      <c r="D29" s="9">
        <v>2.6666666666666665</v>
      </c>
      <c r="E29" s="175"/>
      <c r="F29" s="175"/>
      <c r="G29" s="173">
        <f t="shared" si="0"/>
        <v>2.0555555555555554</v>
      </c>
      <c r="H29" s="499">
        <f t="shared" si="1"/>
        <v>0.72807457900450934</v>
      </c>
      <c r="I29" s="499">
        <f>H29/SQRT(3)</f>
        <v>0.42035405417837696</v>
      </c>
      <c r="J29">
        <f t="shared" si="5"/>
        <v>1997.4</v>
      </c>
      <c r="L29">
        <v>2007</v>
      </c>
      <c r="M29" s="35">
        <f>G49</f>
        <v>1.7829466666666669</v>
      </c>
      <c r="N29" s="9">
        <f t="shared" si="4"/>
        <v>2.0555555555555554</v>
      </c>
    </row>
    <row r="30" spans="1:18" ht="13.5" thickBot="1" x14ac:dyDescent="0.25">
      <c r="A30" s="3" t="s">
        <v>111</v>
      </c>
      <c r="B30" s="72">
        <v>2.8333333333333335</v>
      </c>
      <c r="C30" s="72">
        <v>1.25</v>
      </c>
      <c r="D30" s="72">
        <v>3.25</v>
      </c>
      <c r="E30" s="176"/>
      <c r="F30" s="176"/>
      <c r="G30" s="174">
        <f t="shared" si="0"/>
        <v>2.4444444444444446</v>
      </c>
      <c r="H30" s="499">
        <f t="shared" si="1"/>
        <v>1.055189995179032</v>
      </c>
      <c r="I30" s="499">
        <f>H30/SQRT(3)</f>
        <v>0.60921422776281409</v>
      </c>
      <c r="J30">
        <f t="shared" si="5"/>
        <v>1997.6</v>
      </c>
      <c r="L30">
        <v>2008</v>
      </c>
      <c r="M30" s="35">
        <f>G51</f>
        <v>2.24132</v>
      </c>
      <c r="N30" s="9">
        <f t="shared" si="4"/>
        <v>2.4444444444444446</v>
      </c>
    </row>
    <row r="31" spans="1:18" x14ac:dyDescent="0.2">
      <c r="A31" t="s">
        <v>113</v>
      </c>
      <c r="B31" s="9">
        <v>2.4166666666666665</v>
      </c>
      <c r="C31" s="9">
        <v>0.75</v>
      </c>
      <c r="D31" s="9">
        <v>3.6666666666666665</v>
      </c>
      <c r="E31" s="175">
        <v>3.95</v>
      </c>
      <c r="F31" s="175">
        <v>3.4333333333333336</v>
      </c>
      <c r="G31" s="173">
        <f t="shared" ref="G31:G68" si="6">AVERAGE(B31:F31)</f>
        <v>2.8433333333333333</v>
      </c>
      <c r="H31" s="499">
        <f t="shared" si="1"/>
        <v>1.3052564669230504</v>
      </c>
      <c r="I31" s="499">
        <f>H31/SQRT(5)</f>
        <v>0.58372843762222926</v>
      </c>
      <c r="J31">
        <f t="shared" si="5"/>
        <v>1998.4</v>
      </c>
      <c r="L31">
        <v>2009</v>
      </c>
      <c r="M31" s="35">
        <f>G53</f>
        <v>1.4018583333333334</v>
      </c>
      <c r="N31" s="9">
        <f t="shared" si="4"/>
        <v>2.2777777777777777</v>
      </c>
    </row>
    <row r="32" spans="1:18" ht="13.5" thickBot="1" x14ac:dyDescent="0.25">
      <c r="A32" s="3" t="s">
        <v>114</v>
      </c>
      <c r="B32" s="72">
        <v>3.5</v>
      </c>
      <c r="C32" s="72">
        <v>1.8333333333333333</v>
      </c>
      <c r="D32" s="72">
        <v>5.083333333333333</v>
      </c>
      <c r="E32" s="176">
        <v>4.3499999999999996</v>
      </c>
      <c r="F32" s="176">
        <v>4.1166666666666663</v>
      </c>
      <c r="G32" s="174">
        <f t="shared" si="6"/>
        <v>3.7766666666666664</v>
      </c>
      <c r="H32" s="499">
        <f t="shared" si="1"/>
        <v>1.2252324042582468</v>
      </c>
      <c r="I32" s="499">
        <f>H32/SQRT(5)</f>
        <v>0.54794058883138852</v>
      </c>
      <c r="J32">
        <f t="shared" si="5"/>
        <v>1998.6</v>
      </c>
      <c r="L32">
        <v>2010</v>
      </c>
      <c r="M32" s="35">
        <f>G55</f>
        <v>0.95960833333333329</v>
      </c>
      <c r="N32" s="9">
        <f t="shared" si="4"/>
        <v>3.4722222222222219</v>
      </c>
    </row>
    <row r="33" spans="1:14" x14ac:dyDescent="0.2">
      <c r="A33" t="s">
        <v>115</v>
      </c>
      <c r="B33" s="9">
        <v>4.5</v>
      </c>
      <c r="C33" s="9">
        <v>1.9166666666666667</v>
      </c>
      <c r="D33" s="9">
        <v>5.166666666666667</v>
      </c>
      <c r="E33" s="368">
        <f>6.7*0.6757</f>
        <v>4.52719</v>
      </c>
      <c r="F33" s="175">
        <v>4.4416666666666664</v>
      </c>
      <c r="G33" s="173">
        <f t="shared" si="6"/>
        <v>4.1104380000000003</v>
      </c>
      <c r="H33" s="499">
        <f t="shared" si="1"/>
        <v>1.2612895058444498</v>
      </c>
      <c r="I33" s="499">
        <f>H33/SQRT(5)</f>
        <v>0.56406581487506158</v>
      </c>
      <c r="J33">
        <f t="shared" si="5"/>
        <v>1999.4</v>
      </c>
      <c r="L33">
        <v>2011</v>
      </c>
      <c r="M33" s="35">
        <f>G57</f>
        <v>1.97516</v>
      </c>
      <c r="N33" s="9">
        <f t="shared" si="4"/>
        <v>3.8611111111111112</v>
      </c>
    </row>
    <row r="34" spans="1:14" ht="13.5" thickBot="1" x14ac:dyDescent="0.25">
      <c r="A34" s="3" t="s">
        <v>116</v>
      </c>
      <c r="B34" s="72">
        <v>4.416666666666667</v>
      </c>
      <c r="C34" s="72">
        <v>2.1666666666666665</v>
      </c>
      <c r="D34" s="72">
        <v>5.25</v>
      </c>
      <c r="E34" s="176">
        <v>4.125</v>
      </c>
      <c r="F34" s="176">
        <v>2.7749999999999999</v>
      </c>
      <c r="G34" s="174">
        <f t="shared" si="6"/>
        <v>3.746666666666667</v>
      </c>
      <c r="H34" s="499">
        <f t="shared" si="1"/>
        <v>1.2542511045772817</v>
      </c>
      <c r="I34" s="499">
        <f>H34/SQRT(5)</f>
        <v>0.56091814613779989</v>
      </c>
      <c r="J34">
        <f t="shared" si="5"/>
        <v>1999.6</v>
      </c>
      <c r="L34">
        <v>2012</v>
      </c>
      <c r="M34" s="35">
        <f>G59</f>
        <v>2.2625999999999999</v>
      </c>
      <c r="N34" s="9">
        <f t="shared" si="4"/>
        <v>3.9444444444444446</v>
      </c>
    </row>
    <row r="35" spans="1:14" x14ac:dyDescent="0.2">
      <c r="A35" t="s">
        <v>117</v>
      </c>
      <c r="B35" s="9">
        <v>3.25</v>
      </c>
      <c r="D35" s="9">
        <v>3.6666666666666665</v>
      </c>
      <c r="E35" s="416">
        <v>2.8797000000000001</v>
      </c>
      <c r="F35" s="409">
        <v>3.593</v>
      </c>
      <c r="G35" s="173">
        <f t="shared" si="6"/>
        <v>3.3473416666666664</v>
      </c>
      <c r="H35" s="499">
        <f t="shared" si="1"/>
        <v>0.36077721696051945</v>
      </c>
      <c r="I35" s="499">
        <f>H35/SQRT(3)</f>
        <v>0.20829482332963994</v>
      </c>
      <c r="J35">
        <f t="shared" si="5"/>
        <v>2000.4</v>
      </c>
      <c r="L35">
        <v>2013</v>
      </c>
      <c r="M35" s="35">
        <f>G61</f>
        <v>2.3171666666666666</v>
      </c>
      <c r="N35" s="9">
        <f t="shared" si="4"/>
        <v>3.458333333333333</v>
      </c>
    </row>
    <row r="36" spans="1:14" ht="13.5" thickBot="1" x14ac:dyDescent="0.25">
      <c r="A36" s="3" t="s">
        <v>118</v>
      </c>
      <c r="B36" s="72">
        <v>3.25</v>
      </c>
      <c r="C36" s="3"/>
      <c r="D36" s="72">
        <v>3</v>
      </c>
      <c r="E36" s="417">
        <v>2.9483000000000001</v>
      </c>
      <c r="F36" s="410">
        <v>2.2890000000000001</v>
      </c>
      <c r="G36" s="174">
        <f t="shared" si="6"/>
        <v>2.8718249999999999</v>
      </c>
      <c r="H36" s="499">
        <f t="shared" si="1"/>
        <v>0.41027574771934539</v>
      </c>
      <c r="I36" s="499">
        <f>H36/SQRT(3)</f>
        <v>0.23687281338773905</v>
      </c>
      <c r="J36">
        <f t="shared" si="5"/>
        <v>2000.6</v>
      </c>
      <c r="L36">
        <v>2014</v>
      </c>
      <c r="N36" s="9">
        <f t="shared" si="4"/>
        <v>3.125</v>
      </c>
    </row>
    <row r="37" spans="1:14" x14ac:dyDescent="0.2">
      <c r="A37" t="s">
        <v>222</v>
      </c>
      <c r="B37" s="9">
        <v>2.4166666666666665</v>
      </c>
      <c r="C37" s="9">
        <v>1.75</v>
      </c>
      <c r="D37" s="9">
        <v>2.5833333333333335</v>
      </c>
      <c r="E37" s="416">
        <v>2.1381999999999999</v>
      </c>
      <c r="F37" s="411">
        <v>2.3397000000000001</v>
      </c>
      <c r="G37" s="173">
        <f t="shared" si="6"/>
        <v>2.2455799999999999</v>
      </c>
      <c r="H37" s="499">
        <f t="shared" si="1"/>
        <v>0.3198970681675945</v>
      </c>
      <c r="I37" s="499">
        <f>H37/SQRT(5)</f>
        <v>0.14306231804512506</v>
      </c>
      <c r="J37">
        <f t="shared" si="5"/>
        <v>2001.4</v>
      </c>
      <c r="L37">
        <v>2015</v>
      </c>
      <c r="N37" s="9">
        <f t="shared" si="4"/>
        <v>2.25</v>
      </c>
    </row>
    <row r="38" spans="1:14" ht="13.5" thickBot="1" x14ac:dyDescent="0.25">
      <c r="A38" s="3" t="s">
        <v>246</v>
      </c>
      <c r="B38" s="72">
        <v>2.75</v>
      </c>
      <c r="C38" s="72">
        <v>1.5</v>
      </c>
      <c r="D38" s="72">
        <v>2.9166666666666665</v>
      </c>
      <c r="E38" s="417">
        <v>2.6438999999999999</v>
      </c>
      <c r="F38" s="412">
        <v>2.7925</v>
      </c>
      <c r="G38" s="174">
        <f t="shared" si="6"/>
        <v>2.5206133333333334</v>
      </c>
      <c r="H38" s="499">
        <f t="shared" si="1"/>
        <v>0.57884583948482238</v>
      </c>
      <c r="I38" s="499">
        <f>H38/SQRT(5)</f>
        <v>0.25886772911619893</v>
      </c>
      <c r="J38">
        <f t="shared" si="5"/>
        <v>2001.6</v>
      </c>
      <c r="L38">
        <v>2016</v>
      </c>
      <c r="N38" s="9">
        <f t="shared" si="4"/>
        <v>2.3888888888888888</v>
      </c>
    </row>
    <row r="39" spans="1:14" x14ac:dyDescent="0.2">
      <c r="A39" t="s">
        <v>277</v>
      </c>
      <c r="B39" s="9">
        <v>2.08</v>
      </c>
      <c r="C39" s="9"/>
      <c r="D39" s="9">
        <v>2.17</v>
      </c>
      <c r="E39" s="416">
        <v>2.6027</v>
      </c>
      <c r="F39" s="413">
        <v>2.5318999999999998</v>
      </c>
      <c r="G39" s="173">
        <f t="shared" si="6"/>
        <v>2.3461500000000002</v>
      </c>
      <c r="H39" s="499">
        <f t="shared" si="1"/>
        <v>0.25960586151574716</v>
      </c>
      <c r="I39" s="499">
        <f>H39/SQRT(3)</f>
        <v>0.14988351402932135</v>
      </c>
      <c r="J39">
        <f t="shared" si="5"/>
        <v>2002.4</v>
      </c>
      <c r="N39" s="9">
        <f t="shared" si="4"/>
        <v>2.125</v>
      </c>
    </row>
    <row r="40" spans="1:14" ht="13.5" thickBot="1" x14ac:dyDescent="0.25">
      <c r="A40" s="3" t="s">
        <v>278</v>
      </c>
      <c r="B40" s="72">
        <v>2.08</v>
      </c>
      <c r="C40" s="72">
        <v>0.67</v>
      </c>
      <c r="D40" s="72">
        <v>2.75</v>
      </c>
      <c r="E40" s="417">
        <v>2.7991999999999999</v>
      </c>
      <c r="F40" s="410">
        <v>2.3338000000000001</v>
      </c>
      <c r="G40" s="174">
        <f t="shared" si="6"/>
        <v>2.1265999999999998</v>
      </c>
      <c r="H40" s="499">
        <f t="shared" si="1"/>
        <v>0.86715126708089441</v>
      </c>
      <c r="I40" s="499">
        <f>H40/SQRT(5)</f>
        <v>0.38780183599359108</v>
      </c>
      <c r="J40">
        <f t="shared" si="5"/>
        <v>2002.6</v>
      </c>
      <c r="N40" s="9">
        <f t="shared" si="4"/>
        <v>1.8333333333333333</v>
      </c>
    </row>
    <row r="41" spans="1:14" x14ac:dyDescent="0.2">
      <c r="A41" t="s">
        <v>279</v>
      </c>
      <c r="B41" s="9">
        <v>1.5</v>
      </c>
      <c r="C41" s="9">
        <v>0.75</v>
      </c>
      <c r="D41" s="9">
        <v>2.17</v>
      </c>
      <c r="E41" s="416">
        <v>2.0240999999999998</v>
      </c>
      <c r="F41" s="413">
        <v>1.4436</v>
      </c>
      <c r="G41" s="173">
        <f t="shared" si="6"/>
        <v>1.5775399999999999</v>
      </c>
      <c r="H41" s="499">
        <f t="shared" si="1"/>
        <v>0.56107029684345222</v>
      </c>
      <c r="I41" s="499">
        <f>H41/SQRT(5)</f>
        <v>0.25091826477958895</v>
      </c>
      <c r="J41">
        <f t="shared" si="5"/>
        <v>2003.4</v>
      </c>
      <c r="N41" s="9">
        <f t="shared" si="4"/>
        <v>1.4733333333333334</v>
      </c>
    </row>
    <row r="42" spans="1:14" ht="13.5" thickBot="1" x14ac:dyDescent="0.25">
      <c r="A42" s="3" t="s">
        <v>280</v>
      </c>
      <c r="B42" s="72">
        <v>1.67</v>
      </c>
      <c r="C42" s="72">
        <v>0.92</v>
      </c>
      <c r="D42" s="72">
        <v>2</v>
      </c>
      <c r="E42" s="417">
        <v>2.903</v>
      </c>
      <c r="F42" s="414">
        <v>2.4523000000000001</v>
      </c>
      <c r="G42" s="174">
        <f t="shared" si="6"/>
        <v>1.9890599999999998</v>
      </c>
      <c r="H42" s="499">
        <f t="shared" si="1"/>
        <v>0.75741102975861174</v>
      </c>
      <c r="I42" s="499">
        <f>H42/SQRT(5)</f>
        <v>0.3387245098896744</v>
      </c>
      <c r="J42">
        <f t="shared" si="5"/>
        <v>2003.6</v>
      </c>
      <c r="N42" s="9">
        <f t="shared" si="4"/>
        <v>1.53</v>
      </c>
    </row>
    <row r="43" spans="1:14" x14ac:dyDescent="0.2">
      <c r="A43" s="87" t="s">
        <v>320</v>
      </c>
      <c r="B43" s="53">
        <v>1.17</v>
      </c>
      <c r="C43" s="53"/>
      <c r="D43" s="53">
        <v>1.67</v>
      </c>
      <c r="E43" s="418">
        <v>2.1920999999999999</v>
      </c>
      <c r="F43" s="415">
        <v>1.2209000000000001</v>
      </c>
      <c r="G43" s="173">
        <f t="shared" si="6"/>
        <v>1.56325</v>
      </c>
      <c r="H43" s="499">
        <f t="shared" si="1"/>
        <v>0.47563885809859247</v>
      </c>
      <c r="I43" s="499">
        <f>H43/SQRT(4)</f>
        <v>0.23781942904929623</v>
      </c>
      <c r="J43">
        <v>2004.4</v>
      </c>
      <c r="N43" s="9">
        <f t="shared" si="4"/>
        <v>1.42</v>
      </c>
    </row>
    <row r="44" spans="1:14" ht="13.5" thickBot="1" x14ac:dyDescent="0.25">
      <c r="A44" s="222" t="s">
        <v>321</v>
      </c>
      <c r="B44" s="72">
        <v>1.25</v>
      </c>
      <c r="C44" s="72">
        <v>0.92</v>
      </c>
      <c r="D44" s="72">
        <v>1.58</v>
      </c>
      <c r="E44" s="417">
        <v>2.4495</v>
      </c>
      <c r="F44" s="414">
        <v>2.1021999999999998</v>
      </c>
      <c r="G44" s="174">
        <f t="shared" si="6"/>
        <v>1.6603400000000001</v>
      </c>
      <c r="H44" s="499">
        <f t="shared" si="1"/>
        <v>0.62067513886090175</v>
      </c>
      <c r="I44" s="499">
        <f>H44/SQRT(5)</f>
        <v>0.27757436048741951</v>
      </c>
      <c r="J44">
        <v>2004.6</v>
      </c>
      <c r="N44" s="9">
        <f t="shared" si="4"/>
        <v>1.25</v>
      </c>
    </row>
    <row r="45" spans="1:14" x14ac:dyDescent="0.2">
      <c r="A45" s="87" t="s">
        <v>353</v>
      </c>
      <c r="B45" s="53">
        <v>1.5833333333333333</v>
      </c>
      <c r="D45" s="53">
        <v>1.4166666666666667</v>
      </c>
      <c r="E45" s="416">
        <v>2.2820999999999998</v>
      </c>
      <c r="F45" s="413">
        <v>1.617</v>
      </c>
      <c r="G45" s="173">
        <f t="shared" si="6"/>
        <v>1.7247749999999999</v>
      </c>
      <c r="H45" s="499">
        <f t="shared" si="1"/>
        <v>0.38173424280463747</v>
      </c>
      <c r="I45" s="499">
        <f>H45/SQRT(4)</f>
        <v>0.19086712140231873</v>
      </c>
      <c r="J45">
        <v>2005.4</v>
      </c>
      <c r="N45" s="9">
        <f t="shared" si="4"/>
        <v>1.5</v>
      </c>
    </row>
    <row r="46" spans="1:14" ht="13.5" thickBot="1" x14ac:dyDescent="0.25">
      <c r="A46" s="222" t="s">
        <v>354</v>
      </c>
      <c r="B46" s="72">
        <v>1.9166666666666667</v>
      </c>
      <c r="C46" s="3"/>
      <c r="D46" s="72">
        <v>2</v>
      </c>
      <c r="E46" s="417">
        <v>2.2854000000000001</v>
      </c>
      <c r="F46" s="414">
        <v>3.4093</v>
      </c>
      <c r="G46" s="174">
        <f t="shared" si="6"/>
        <v>2.4028416666666668</v>
      </c>
      <c r="H46" s="499">
        <f t="shared" si="1"/>
        <v>0.6892987888265707</v>
      </c>
      <c r="I46" s="499">
        <f>H46/SQRT(4)</f>
        <v>0.34464939441328535</v>
      </c>
      <c r="J46">
        <v>2005.6</v>
      </c>
      <c r="N46" s="9">
        <f t="shared" si="4"/>
        <v>1.9583333333333335</v>
      </c>
    </row>
    <row r="47" spans="1:14" x14ac:dyDescent="0.2">
      <c r="A47" s="87" t="s">
        <v>400</v>
      </c>
      <c r="B47" s="53">
        <v>2.9166666666666665</v>
      </c>
      <c r="C47" s="53">
        <v>1.5833333333333333</v>
      </c>
      <c r="D47" s="53">
        <v>2.6666666666666665</v>
      </c>
      <c r="E47" s="416">
        <v>1.6046</v>
      </c>
      <c r="F47" s="413">
        <f>(4.1116)*0.6</f>
        <v>2.4669599999999998</v>
      </c>
      <c r="G47" s="173">
        <f t="shared" si="6"/>
        <v>2.2476453333333333</v>
      </c>
      <c r="H47" s="499">
        <f t="shared" si="1"/>
        <v>0.61767408058871331</v>
      </c>
      <c r="I47" s="499">
        <f t="shared" ref="I47:I52" si="7">H47/SQRT(5)</f>
        <v>0.27623224642720923</v>
      </c>
      <c r="J47">
        <v>2006.4</v>
      </c>
      <c r="N47" s="9">
        <f t="shared" si="4"/>
        <v>2.3888888888888888</v>
      </c>
    </row>
    <row r="48" spans="1:14" ht="13.5" thickBot="1" x14ac:dyDescent="0.25">
      <c r="A48" s="222" t="s">
        <v>401</v>
      </c>
      <c r="B48" s="72">
        <v>2.9166666666666665</v>
      </c>
      <c r="C48" s="72">
        <v>1.8333333333333333</v>
      </c>
      <c r="D48" s="72">
        <v>2.9166666666666665</v>
      </c>
      <c r="E48" s="417">
        <v>2.8359999999999999</v>
      </c>
      <c r="F48" s="414">
        <v>3.2906</v>
      </c>
      <c r="G48" s="174">
        <f t="shared" si="6"/>
        <v>2.7586533333333332</v>
      </c>
      <c r="H48" s="499">
        <f t="shared" si="1"/>
        <v>0.54660389964864942</v>
      </c>
      <c r="I48" s="499">
        <f t="shared" si="7"/>
        <v>0.24444869527617069</v>
      </c>
      <c r="J48">
        <v>2006.6</v>
      </c>
      <c r="N48" s="9">
        <f t="shared" si="4"/>
        <v>2.5555555555555554</v>
      </c>
    </row>
    <row r="49" spans="1:14" x14ac:dyDescent="0.2">
      <c r="A49" s="87" t="s">
        <v>416</v>
      </c>
      <c r="B49" s="53">
        <v>1.6666666666666667</v>
      </c>
      <c r="C49" s="53">
        <v>1.5</v>
      </c>
      <c r="D49" s="53">
        <v>2.1666666666666665</v>
      </c>
      <c r="E49" s="418">
        <v>1.3825000000000001</v>
      </c>
      <c r="F49" s="503">
        <v>2.1989000000000001</v>
      </c>
      <c r="G49" s="173">
        <f t="shared" si="6"/>
        <v>1.7829466666666669</v>
      </c>
      <c r="H49" s="499">
        <f t="shared" si="1"/>
        <v>0.37887847699933069</v>
      </c>
      <c r="I49" s="499">
        <f t="shared" si="7"/>
        <v>0.1694396059564188</v>
      </c>
      <c r="J49">
        <v>2007.4</v>
      </c>
      <c r="N49" s="9">
        <f t="shared" si="4"/>
        <v>1.7777777777777779</v>
      </c>
    </row>
    <row r="50" spans="1:14" ht="13.5" thickBot="1" x14ac:dyDescent="0.25">
      <c r="A50" s="222" t="s">
        <v>417</v>
      </c>
      <c r="B50" s="72">
        <v>1.9166666666666667</v>
      </c>
      <c r="C50" s="72">
        <v>2.6666666666666665</v>
      </c>
      <c r="D50" s="72">
        <v>2.5833333333333335</v>
      </c>
      <c r="E50" s="417">
        <v>1.1154999999999999</v>
      </c>
      <c r="F50" s="414">
        <v>3.5232000000000001</v>
      </c>
      <c r="G50" s="174">
        <f t="shared" si="6"/>
        <v>2.3610733333333327</v>
      </c>
      <c r="H50" s="499">
        <f t="shared" si="1"/>
        <v>0.90031597181829059</v>
      </c>
      <c r="I50" s="499">
        <f t="shared" si="7"/>
        <v>0.40263354284289654</v>
      </c>
      <c r="J50">
        <v>2007.6</v>
      </c>
      <c r="N50" s="9">
        <f t="shared" si="4"/>
        <v>2.3888888888888888</v>
      </c>
    </row>
    <row r="51" spans="1:14" x14ac:dyDescent="0.2">
      <c r="A51" s="87" t="s">
        <v>472</v>
      </c>
      <c r="B51" s="53">
        <v>1.5833333333333333</v>
      </c>
      <c r="C51" s="53">
        <v>2.25</v>
      </c>
      <c r="D51" s="53">
        <v>1.9166666666666667</v>
      </c>
      <c r="E51" s="418">
        <v>2.5070000000000001</v>
      </c>
      <c r="F51" s="415">
        <v>2.9496000000000002</v>
      </c>
      <c r="G51" s="173">
        <f t="shared" si="6"/>
        <v>2.24132</v>
      </c>
      <c r="H51" s="499">
        <f t="shared" si="1"/>
        <v>0.52694117403073637</v>
      </c>
      <c r="I51" s="499">
        <f t="shared" si="7"/>
        <v>0.23565525705525467</v>
      </c>
      <c r="J51">
        <v>2008.4</v>
      </c>
      <c r="N51" s="9">
        <f t="shared" si="4"/>
        <v>1.9166666666666667</v>
      </c>
    </row>
    <row r="52" spans="1:14" ht="13.5" thickBot="1" x14ac:dyDescent="0.25">
      <c r="A52" s="222" t="s">
        <v>473</v>
      </c>
      <c r="B52" s="72">
        <v>1.6666666666666667</v>
      </c>
      <c r="C52" s="72">
        <v>2.3333333333333335</v>
      </c>
      <c r="D52" s="72">
        <v>2.4166666666666665</v>
      </c>
      <c r="E52" s="417">
        <v>5.0648</v>
      </c>
      <c r="F52" s="414">
        <v>2.7536</v>
      </c>
      <c r="G52" s="174">
        <f t="shared" si="6"/>
        <v>2.8470133333333334</v>
      </c>
      <c r="H52" s="499">
        <f t="shared" si="1"/>
        <v>1.3009215386708675</v>
      </c>
      <c r="I52" s="499">
        <f t="shared" si="7"/>
        <v>0.58178979877233616</v>
      </c>
      <c r="J52">
        <v>2008.6</v>
      </c>
      <c r="N52" s="9">
        <f t="shared" si="4"/>
        <v>2.1388888888888888</v>
      </c>
    </row>
    <row r="53" spans="1:14" x14ac:dyDescent="0.2">
      <c r="A53" s="87" t="s">
        <v>500</v>
      </c>
      <c r="B53" s="53">
        <v>0.91666666666666663</v>
      </c>
      <c r="C53" s="53">
        <v>1.9166666666666667</v>
      </c>
      <c r="D53" s="53">
        <v>1.25</v>
      </c>
      <c r="E53" s="53"/>
      <c r="F53" s="415">
        <v>1.5241</v>
      </c>
      <c r="G53" s="507">
        <f t="shared" si="6"/>
        <v>1.4018583333333334</v>
      </c>
      <c r="H53" s="499">
        <f t="shared" si="1"/>
        <v>0.42365180354643628</v>
      </c>
      <c r="I53" s="499">
        <f>H53/SQRT(4)</f>
        <v>0.21182590177321814</v>
      </c>
      <c r="J53">
        <v>2009.4</v>
      </c>
      <c r="N53" s="9">
        <f t="shared" si="4"/>
        <v>1.3611111111111114</v>
      </c>
    </row>
    <row r="54" spans="1:14" ht="13.5" thickBot="1" x14ac:dyDescent="0.25">
      <c r="A54" s="222" t="s">
        <v>501</v>
      </c>
      <c r="B54" s="72">
        <v>1</v>
      </c>
      <c r="C54" s="72">
        <v>1.75</v>
      </c>
      <c r="D54" s="72">
        <v>1.8333333333333333</v>
      </c>
      <c r="E54" s="72"/>
      <c r="F54" s="504">
        <v>0.75</v>
      </c>
      <c r="G54" s="174">
        <f t="shared" si="6"/>
        <v>1.3333333333333333</v>
      </c>
      <c r="H54" s="499">
        <f t="shared" si="1"/>
        <v>0.54006172486732174</v>
      </c>
      <c r="I54" s="499">
        <f>H54/SQRT(4)</f>
        <v>0.27003086243366087</v>
      </c>
      <c r="J54">
        <v>2009.6</v>
      </c>
      <c r="N54" s="9">
        <f t="shared" si="4"/>
        <v>1.5277777777777777</v>
      </c>
    </row>
    <row r="55" spans="1:14" x14ac:dyDescent="0.2">
      <c r="A55" s="87" t="s">
        <v>509</v>
      </c>
      <c r="B55" s="53">
        <v>0.58333333333333337</v>
      </c>
      <c r="C55" s="53">
        <v>1.5833333333333333</v>
      </c>
      <c r="D55" s="53">
        <v>0.91666666666666663</v>
      </c>
      <c r="E55" s="448"/>
      <c r="F55" s="415">
        <v>0.75509999999999999</v>
      </c>
      <c r="G55" s="507">
        <f t="shared" si="6"/>
        <v>0.95960833333333329</v>
      </c>
      <c r="H55" s="499">
        <f t="shared" si="1"/>
        <v>0.43752462650266455</v>
      </c>
      <c r="I55" s="499">
        <f>H55/SQRT(4)</f>
        <v>0.21876231325133227</v>
      </c>
      <c r="J55">
        <v>2010.4</v>
      </c>
      <c r="N55" s="9">
        <f t="shared" si="4"/>
        <v>1.0277777777777777</v>
      </c>
    </row>
    <row r="56" spans="1:14" ht="13.5" thickBot="1" x14ac:dyDescent="0.25">
      <c r="A56" s="222" t="s">
        <v>510</v>
      </c>
      <c r="B56" s="72">
        <v>0.75</v>
      </c>
      <c r="C56" s="72">
        <v>2</v>
      </c>
      <c r="D56" s="72">
        <v>1.0833333333333333</v>
      </c>
      <c r="E56" s="72"/>
      <c r="F56" s="72"/>
      <c r="G56" s="174">
        <f t="shared" si="6"/>
        <v>1.2777777777777777</v>
      </c>
      <c r="H56" s="499">
        <f t="shared" si="1"/>
        <v>0.64728778876283566</v>
      </c>
      <c r="I56" s="499">
        <f>H56/SQRT(3)</f>
        <v>0.37371177908538084</v>
      </c>
      <c r="J56">
        <v>2010.6</v>
      </c>
      <c r="N56" s="9">
        <f t="shared" si="4"/>
        <v>1.2777777777777777</v>
      </c>
    </row>
    <row r="57" spans="1:14" x14ac:dyDescent="0.2">
      <c r="A57" s="449" t="s">
        <v>564</v>
      </c>
      <c r="B57" s="53">
        <v>1.9166666666666667</v>
      </c>
      <c r="C57" s="53">
        <v>2</v>
      </c>
      <c r="D57" s="53">
        <v>1.8333333333333333</v>
      </c>
      <c r="E57" s="451">
        <v>2.1549999999999998</v>
      </c>
      <c r="F57" s="503">
        <v>1.9708000000000001</v>
      </c>
      <c r="G57" s="507">
        <f t="shared" si="6"/>
        <v>1.97516</v>
      </c>
      <c r="H57" s="499">
        <f t="shared" si="1"/>
        <v>0.1188641390645452</v>
      </c>
      <c r="I57" s="499">
        <f>H57/SQRT(5)</f>
        <v>5.3157659007062263E-2</v>
      </c>
      <c r="J57">
        <v>2011.4</v>
      </c>
      <c r="N57" s="9">
        <f t="shared" si="4"/>
        <v>1.9166666666666667</v>
      </c>
    </row>
    <row r="58" spans="1:14" ht="13.5" thickBot="1" x14ac:dyDescent="0.25">
      <c r="A58" s="450" t="s">
        <v>565</v>
      </c>
      <c r="B58" s="72">
        <v>2.25</v>
      </c>
      <c r="C58" s="72">
        <v>2.4166666666666665</v>
      </c>
      <c r="D58" s="72">
        <v>2.3333333333333335</v>
      </c>
      <c r="E58" s="72"/>
      <c r="F58" s="72"/>
      <c r="G58" s="174">
        <f t="shared" si="6"/>
        <v>2.3333333333333335</v>
      </c>
      <c r="H58" s="499">
        <f t="shared" si="1"/>
        <v>8.3333333333333259E-2</v>
      </c>
      <c r="I58" s="499">
        <f>H58/SQRT(3)</f>
        <v>4.8112522432468774E-2</v>
      </c>
      <c r="J58">
        <v>2011.6</v>
      </c>
      <c r="N58" s="9">
        <f t="shared" si="4"/>
        <v>2.3333333333333335</v>
      </c>
    </row>
    <row r="59" spans="1:14" x14ac:dyDescent="0.2">
      <c r="A59" s="505" t="s">
        <v>586</v>
      </c>
      <c r="B59" s="53">
        <v>2</v>
      </c>
      <c r="C59" s="53">
        <v>2.25</v>
      </c>
      <c r="D59" s="53">
        <v>2</v>
      </c>
      <c r="E59" s="511">
        <v>2.95</v>
      </c>
      <c r="F59" s="515">
        <v>2.113</v>
      </c>
      <c r="G59" s="507">
        <f t="shared" si="6"/>
        <v>2.2625999999999999</v>
      </c>
      <c r="H59" s="499">
        <f t="shared" si="1"/>
        <v>0.3977986928083122</v>
      </c>
      <c r="I59" s="499">
        <f>H59/SQRT(5)</f>
        <v>0.17790098369598856</v>
      </c>
      <c r="J59">
        <v>2012.4</v>
      </c>
      <c r="N59" s="9">
        <f t="shared" si="4"/>
        <v>2.0833333333333335</v>
      </c>
    </row>
    <row r="60" spans="1:14" ht="13.5" thickBot="1" x14ac:dyDescent="0.25">
      <c r="A60" s="506" t="s">
        <v>587</v>
      </c>
      <c r="B60" s="72">
        <v>2.08</v>
      </c>
      <c r="C60" s="72"/>
      <c r="D60" s="72">
        <v>2.5</v>
      </c>
      <c r="E60" s="72"/>
      <c r="F60" s="72"/>
      <c r="G60" s="581">
        <f t="shared" si="6"/>
        <v>2.29</v>
      </c>
      <c r="H60" s="499">
        <f t="shared" si="1"/>
        <v>0.29698484809834991</v>
      </c>
      <c r="I60" s="499">
        <f>H60/SQRT(2)</f>
        <v>0.20999999999999994</v>
      </c>
      <c r="J60">
        <v>2012.6</v>
      </c>
      <c r="N60" s="9">
        <f t="shared" si="4"/>
        <v>2.29</v>
      </c>
    </row>
    <row r="61" spans="1:14" x14ac:dyDescent="0.2">
      <c r="A61" s="505" t="s">
        <v>590</v>
      </c>
      <c r="B61" s="634">
        <v>1.6666666666666667</v>
      </c>
      <c r="C61" s="53"/>
      <c r="D61" s="53">
        <v>2.3333333333333335</v>
      </c>
      <c r="E61" s="511">
        <v>4.1020000000000003</v>
      </c>
      <c r="F61" s="567">
        <f>14/12</f>
        <v>1.1666666666666667</v>
      </c>
      <c r="G61" s="134">
        <f t="shared" si="6"/>
        <v>2.3171666666666666</v>
      </c>
      <c r="H61" s="499">
        <f t="shared" si="1"/>
        <v>1.2822755669627457</v>
      </c>
      <c r="I61" s="499">
        <f>H61/SQRT(4)</f>
        <v>0.64113778348137285</v>
      </c>
      <c r="J61">
        <v>2013.4</v>
      </c>
      <c r="N61" s="9">
        <f t="shared" si="4"/>
        <v>2</v>
      </c>
    </row>
    <row r="62" spans="1:14" ht="13.5" thickBot="1" x14ac:dyDescent="0.25">
      <c r="A62" s="506" t="s">
        <v>591</v>
      </c>
      <c r="B62" s="635">
        <v>2.0833333333333335</v>
      </c>
      <c r="C62" s="72"/>
      <c r="D62" s="72">
        <v>3.3333333333333335</v>
      </c>
      <c r="E62" s="568">
        <v>4.3277999999999999</v>
      </c>
      <c r="F62" s="72"/>
      <c r="G62" s="134">
        <f t="shared" si="6"/>
        <v>3.2481555555555559</v>
      </c>
      <c r="H62" s="499">
        <f t="shared" si="1"/>
        <v>1.1246551003818075</v>
      </c>
      <c r="I62" s="499">
        <f>H62/SQRT(3)</f>
        <v>0.64931992495092217</v>
      </c>
      <c r="J62">
        <v>2013.6</v>
      </c>
      <c r="N62" s="9">
        <f t="shared" si="4"/>
        <v>2.7083333333333335</v>
      </c>
    </row>
    <row r="63" spans="1:14" x14ac:dyDescent="0.2">
      <c r="A63" s="505" t="s">
        <v>613</v>
      </c>
      <c r="B63" s="634">
        <v>1.6666666666666667</v>
      </c>
      <c r="C63" s="53"/>
      <c r="D63" s="53">
        <v>2.0833333333333335</v>
      </c>
      <c r="E63" s="511">
        <v>2.9049999999999998</v>
      </c>
      <c r="F63" s="584">
        <v>1.8347</v>
      </c>
      <c r="G63" s="134">
        <f t="shared" si="6"/>
        <v>2.1224249999999998</v>
      </c>
      <c r="H63" s="499">
        <f t="shared" si="1"/>
        <v>0.54907592767471924</v>
      </c>
      <c r="I63" s="499">
        <f>H63/SQRT(4)</f>
        <v>0.27453796383735962</v>
      </c>
      <c r="J63">
        <v>2014.4</v>
      </c>
      <c r="N63" s="9">
        <f t="shared" si="4"/>
        <v>1.875</v>
      </c>
    </row>
    <row r="64" spans="1:14" ht="13.5" thickBot="1" x14ac:dyDescent="0.25">
      <c r="A64" s="506" t="s">
        <v>614</v>
      </c>
      <c r="B64" s="635">
        <v>2.5</v>
      </c>
      <c r="C64" s="72"/>
      <c r="D64" s="72">
        <v>3.6666666666666665</v>
      </c>
      <c r="E64" s="568">
        <v>5.4470000000000001</v>
      </c>
      <c r="F64" s="72"/>
      <c r="G64" s="134">
        <f t="shared" si="6"/>
        <v>3.8712222222222223</v>
      </c>
      <c r="H64" s="499">
        <f t="shared" si="1"/>
        <v>1.4841106702269478</v>
      </c>
      <c r="I64" s="499">
        <f>H64/SQRT(3)</f>
        <v>0.85685169496272429</v>
      </c>
      <c r="J64">
        <v>2014.6</v>
      </c>
      <c r="N64" s="9">
        <f t="shared" si="4"/>
        <v>3.083333333333333</v>
      </c>
    </row>
    <row r="65" spans="1:14" x14ac:dyDescent="0.2">
      <c r="A65" s="505" t="s">
        <v>662</v>
      </c>
      <c r="B65" s="634">
        <v>3.4166666666666665</v>
      </c>
      <c r="C65" s="53"/>
      <c r="D65" s="53">
        <v>5.416666666666667</v>
      </c>
      <c r="E65" s="511">
        <v>5.95</v>
      </c>
      <c r="F65" s="584">
        <v>5.73</v>
      </c>
      <c r="G65" s="134">
        <f t="shared" si="6"/>
        <v>5.1283333333333339</v>
      </c>
      <c r="H65" s="499">
        <f t="shared" si="1"/>
        <v>1.1619061605508079</v>
      </c>
      <c r="I65" s="499">
        <f>H65/SQRT(4)</f>
        <v>0.58095308027540393</v>
      </c>
      <c r="J65">
        <v>2015.4</v>
      </c>
      <c r="N65" s="9">
        <f t="shared" si="4"/>
        <v>4.416666666666667</v>
      </c>
    </row>
    <row r="66" spans="1:14" ht="13.5" thickBot="1" x14ac:dyDescent="0.25">
      <c r="A66" s="506" t="s">
        <v>663</v>
      </c>
      <c r="B66" s="635">
        <v>2.5833333333333335</v>
      </c>
      <c r="C66" s="72"/>
      <c r="D66" s="72">
        <v>4.25</v>
      </c>
      <c r="E66" s="568">
        <v>4.72</v>
      </c>
      <c r="F66" s="72"/>
      <c r="G66" s="134">
        <f t="shared" si="6"/>
        <v>3.8511111111111114</v>
      </c>
      <c r="H66" s="499">
        <f t="shared" si="1"/>
        <v>1.1227957830212756</v>
      </c>
      <c r="I66" s="499">
        <f>H66/SQRT(3)</f>
        <v>0.64824644757231009</v>
      </c>
      <c r="J66">
        <v>2015.6</v>
      </c>
      <c r="N66" s="9">
        <f t="shared" si="4"/>
        <v>3.416666666666667</v>
      </c>
    </row>
    <row r="67" spans="1:14" x14ac:dyDescent="0.2">
      <c r="A67" s="505" t="s">
        <v>685</v>
      </c>
      <c r="B67" s="634">
        <v>2.25</v>
      </c>
      <c r="C67" s="53"/>
      <c r="D67" s="53">
        <v>3.3333333333333335</v>
      </c>
      <c r="E67" s="511">
        <v>6.36</v>
      </c>
      <c r="F67" s="584">
        <v>3.16</v>
      </c>
      <c r="G67" s="134">
        <f t="shared" si="6"/>
        <v>3.7758333333333338</v>
      </c>
      <c r="H67" s="499">
        <f t="shared" si="1"/>
        <v>1.7870964968039329</v>
      </c>
      <c r="I67" s="499">
        <f>H67/SQRT(4)</f>
        <v>0.89354824840196645</v>
      </c>
      <c r="J67">
        <v>2016.4</v>
      </c>
      <c r="N67" s="9">
        <f t="shared" si="4"/>
        <v>2.791666666666667</v>
      </c>
    </row>
    <row r="68" spans="1:14" ht="13.5" thickBot="1" x14ac:dyDescent="0.25">
      <c r="A68" s="506" t="s">
        <v>686</v>
      </c>
      <c r="B68" s="635">
        <v>2.4166666666666665</v>
      </c>
      <c r="C68" s="72"/>
      <c r="D68" s="72">
        <v>3.3333333333333335</v>
      </c>
      <c r="E68" s="568"/>
      <c r="F68" s="72"/>
      <c r="G68" s="134">
        <f t="shared" si="6"/>
        <v>2.875</v>
      </c>
      <c r="H68" s="499">
        <f t="shared" si="1"/>
        <v>0.64818121608766888</v>
      </c>
      <c r="I68" s="499">
        <f>H68/SQRT(2)</f>
        <v>0.45833333333333354</v>
      </c>
      <c r="J68">
        <v>2016.6</v>
      </c>
      <c r="N68" s="9">
        <f t="shared" si="4"/>
        <v>2.875</v>
      </c>
    </row>
    <row r="69" spans="1:14" x14ac:dyDescent="0.2">
      <c r="A69" s="629" t="s">
        <v>715</v>
      </c>
      <c r="B69" s="634">
        <v>1.9166666666666667</v>
      </c>
      <c r="D69" s="53">
        <v>2.5833333333333335</v>
      </c>
      <c r="E69" s="511">
        <v>3.85</v>
      </c>
      <c r="F69" s="584">
        <v>3.49</v>
      </c>
      <c r="G69" s="134">
        <f t="shared" ref="G69:G72" si="8">AVERAGE(B69:F69)</f>
        <v>2.96</v>
      </c>
      <c r="H69" s="499">
        <f t="shared" ref="H69:H72" si="9">STDEV(B69:F69)</f>
        <v>0.87624620250669871</v>
      </c>
      <c r="I69" s="499">
        <f>H69/SQRT(4)</f>
        <v>0.43812310125334936</v>
      </c>
      <c r="J69">
        <v>2017.4</v>
      </c>
      <c r="N69" s="9">
        <f t="shared" si="4"/>
        <v>2.25</v>
      </c>
    </row>
    <row r="70" spans="1:14" ht="13.5" thickBot="1" x14ac:dyDescent="0.25">
      <c r="A70" s="506" t="s">
        <v>716</v>
      </c>
      <c r="B70" s="635">
        <v>1.8333333333333333</v>
      </c>
      <c r="C70" s="72"/>
      <c r="D70" s="72">
        <v>3.0833333333333335</v>
      </c>
      <c r="E70" s="568">
        <v>5.9</v>
      </c>
      <c r="F70" s="631">
        <v>3.79</v>
      </c>
      <c r="G70" s="134">
        <f t="shared" si="8"/>
        <v>3.6516666666666664</v>
      </c>
      <c r="H70" s="499">
        <f t="shared" si="9"/>
        <v>1.703278972822498</v>
      </c>
      <c r="I70" s="499">
        <f>H70/SQRT(4)</f>
        <v>0.85163948641124898</v>
      </c>
      <c r="J70">
        <v>2017.6</v>
      </c>
      <c r="N70" s="9">
        <f t="shared" si="4"/>
        <v>2.4583333333333335</v>
      </c>
    </row>
    <row r="71" spans="1:14" x14ac:dyDescent="0.2">
      <c r="A71" s="638" t="s">
        <v>722</v>
      </c>
      <c r="B71" s="634"/>
      <c r="C71" s="53"/>
      <c r="D71" s="53"/>
      <c r="E71" s="511">
        <v>3.96</v>
      </c>
      <c r="F71" s="584">
        <v>2.67</v>
      </c>
      <c r="G71" s="134">
        <f t="shared" si="8"/>
        <v>3.3149999999999999</v>
      </c>
      <c r="H71" s="499">
        <f t="shared" si="9"/>
        <v>0.91216774773064568</v>
      </c>
      <c r="I71" s="499">
        <f>H71/SQRT(2)</f>
        <v>0.64499999999999946</v>
      </c>
      <c r="J71">
        <v>2018.4</v>
      </c>
    </row>
    <row r="72" spans="1:14" ht="13.5" thickBot="1" x14ac:dyDescent="0.25">
      <c r="A72" s="506" t="s">
        <v>723</v>
      </c>
      <c r="B72" s="635"/>
      <c r="C72" s="72"/>
      <c r="D72" s="72"/>
      <c r="E72" s="568">
        <v>5.62</v>
      </c>
      <c r="F72" s="639">
        <v>2.13</v>
      </c>
      <c r="G72" s="134">
        <f t="shared" si="8"/>
        <v>3.875</v>
      </c>
      <c r="H72" s="499">
        <f t="shared" si="9"/>
        <v>2.4678026663410519</v>
      </c>
      <c r="I72" s="499">
        <f>H72/SQRT(2)</f>
        <v>1.7450000000000006</v>
      </c>
      <c r="J72">
        <v>2018.6</v>
      </c>
    </row>
    <row r="73" spans="1:14" x14ac:dyDescent="0.2">
      <c r="A73" s="505"/>
      <c r="B73" s="634"/>
      <c r="C73" s="53"/>
      <c r="D73" s="53"/>
      <c r="E73" s="511"/>
      <c r="F73" s="584"/>
      <c r="G73" s="134"/>
      <c r="H73" s="499"/>
      <c r="I73" s="499"/>
    </row>
    <row r="74" spans="1:14" ht="13.5" thickBot="1" x14ac:dyDescent="0.25"/>
    <row r="75" spans="1:14" ht="13.5" thickBot="1" x14ac:dyDescent="0.25">
      <c r="A75" s="186" t="s">
        <v>304</v>
      </c>
      <c r="B75" s="501">
        <f t="shared" ref="B75:I75" si="10">AVERAGE(B9:B70)</f>
        <v>2.2217204301075273</v>
      </c>
      <c r="C75" s="501">
        <f t="shared" si="10"/>
        <v>1.5724444444444445</v>
      </c>
      <c r="D75" s="501">
        <f t="shared" si="10"/>
        <v>2.4987634408602153</v>
      </c>
      <c r="E75" s="501">
        <f>AVERAGE(E9:E72)</f>
        <v>3.4207135772357722</v>
      </c>
      <c r="F75" s="501">
        <f>AVERAGE(F9:F72)</f>
        <v>2.6404356666666673</v>
      </c>
      <c r="G75" s="501">
        <f t="shared" si="10"/>
        <v>2.3504235215053764</v>
      </c>
      <c r="H75" s="501">
        <f t="shared" si="10"/>
        <v>0.71108608767610693</v>
      </c>
      <c r="I75" s="501">
        <f t="shared" si="10"/>
        <v>0.36041385466870035</v>
      </c>
    </row>
    <row r="76" spans="1:14" x14ac:dyDescent="0.2">
      <c r="A76" s="360"/>
    </row>
  </sheetData>
  <phoneticPr fontId="0" type="noConversion"/>
  <printOptions horizontalCentered="1" gridLines="1"/>
  <pageMargins left="0.59055118110236227" right="0.27559055118110237" top="0.82677165354330717" bottom="0.74803149606299213" header="0.51181102362204722" footer="0.39370078740157483"/>
  <pageSetup orientation="landscape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72"/>
  <sheetViews>
    <sheetView zoomScaleNormal="100" workbookViewId="0">
      <pane ySplit="5" topLeftCell="A40" activePane="bottomLeft" state="frozenSplit"/>
      <selection pane="bottomLeft" activeCell="M66" sqref="M66"/>
    </sheetView>
  </sheetViews>
  <sheetFormatPr defaultRowHeight="12.75" x14ac:dyDescent="0.2"/>
  <cols>
    <col min="5" max="5" width="17.140625" style="7" customWidth="1"/>
    <col min="12" max="13" width="9.140625" style="7"/>
  </cols>
  <sheetData>
    <row r="1" spans="1:21" ht="16.5" thickBot="1" x14ac:dyDescent="0.3">
      <c r="A1" s="338" t="s">
        <v>78</v>
      </c>
      <c r="B1" s="101"/>
      <c r="C1" s="101"/>
      <c r="D1" s="102"/>
      <c r="E1" s="177"/>
      <c r="G1" s="188" t="s">
        <v>305</v>
      </c>
    </row>
    <row r="2" spans="1:21" x14ac:dyDescent="0.2">
      <c r="A2" s="37" t="s">
        <v>210</v>
      </c>
    </row>
    <row r="3" spans="1:21" x14ac:dyDescent="0.2">
      <c r="A3" s="37" t="s">
        <v>298</v>
      </c>
      <c r="H3" s="37" t="s">
        <v>655</v>
      </c>
      <c r="I3" s="37"/>
      <c r="J3" s="37" t="s">
        <v>656</v>
      </c>
      <c r="K3" s="37"/>
      <c r="L3" s="422" t="s">
        <v>657</v>
      </c>
    </row>
    <row r="4" spans="1:21" ht="4.1500000000000004" customHeight="1" x14ac:dyDescent="0.2">
      <c r="H4" s="37"/>
      <c r="I4" s="37"/>
      <c r="J4" s="37"/>
      <c r="K4" s="37"/>
    </row>
    <row r="5" spans="1:21" ht="13.5" thickBot="1" x14ac:dyDescent="0.25">
      <c r="A5" s="4" t="s">
        <v>16</v>
      </c>
      <c r="B5" s="4" t="s">
        <v>75</v>
      </c>
      <c r="C5" s="4" t="s">
        <v>76</v>
      </c>
      <c r="D5" s="4" t="s">
        <v>77</v>
      </c>
      <c r="E5" s="26" t="s">
        <v>112</v>
      </c>
      <c r="H5" s="37" t="s">
        <v>203</v>
      </c>
      <c r="I5" s="574" t="s">
        <v>204</v>
      </c>
      <c r="J5" s="37" t="s">
        <v>203</v>
      </c>
      <c r="K5" s="574" t="s">
        <v>204</v>
      </c>
      <c r="L5" s="374" t="s">
        <v>579</v>
      </c>
      <c r="M5" s="374" t="s">
        <v>580</v>
      </c>
    </row>
    <row r="6" spans="1:21" x14ac:dyDescent="0.2">
      <c r="E6" s="27"/>
      <c r="T6">
        <v>1990</v>
      </c>
      <c r="U6" s="11">
        <f>E7</f>
        <v>1.75</v>
      </c>
    </row>
    <row r="7" spans="1:21" x14ac:dyDescent="0.2">
      <c r="A7" s="7">
        <v>1990</v>
      </c>
      <c r="B7" s="7" t="s">
        <v>247</v>
      </c>
      <c r="C7" s="9">
        <v>1.75</v>
      </c>
      <c r="D7" s="9"/>
      <c r="E7" s="28">
        <f t="shared" ref="E7:E12" si="0">AVERAGE(C7:D7)</f>
        <v>1.75</v>
      </c>
      <c r="F7" s="40" t="s">
        <v>646</v>
      </c>
      <c r="G7">
        <v>1990.4</v>
      </c>
      <c r="H7" s="11">
        <v>1.21</v>
      </c>
      <c r="I7" s="11">
        <v>2.29</v>
      </c>
      <c r="J7" s="53"/>
      <c r="T7">
        <f>T6+1</f>
        <v>1991</v>
      </c>
      <c r="U7" s="11">
        <f>E9</f>
        <v>1.5</v>
      </c>
    </row>
    <row r="8" spans="1:21" x14ac:dyDescent="0.2">
      <c r="A8" s="7"/>
      <c r="B8" s="7" t="s">
        <v>248</v>
      </c>
      <c r="C8" s="9">
        <v>1.2350000000000001</v>
      </c>
      <c r="D8" s="9"/>
      <c r="E8" s="28">
        <f t="shared" si="0"/>
        <v>1.2350000000000001</v>
      </c>
      <c r="F8" s="40" t="s">
        <v>647</v>
      </c>
      <c r="G8">
        <v>1990.6</v>
      </c>
      <c r="H8" s="11">
        <v>0.97500000000000009</v>
      </c>
      <c r="I8" s="11">
        <v>1.4950000000000001</v>
      </c>
      <c r="J8" s="573"/>
      <c r="T8">
        <f t="shared" ref="T8:T29" si="1">T7+1</f>
        <v>1992</v>
      </c>
      <c r="U8" s="11">
        <f>E11</f>
        <v>0.55000000000000004</v>
      </c>
    </row>
    <row r="9" spans="1:21" x14ac:dyDescent="0.2">
      <c r="A9" s="7">
        <v>1991</v>
      </c>
      <c r="B9" s="7" t="s">
        <v>247</v>
      </c>
      <c r="C9" s="9">
        <v>1.5</v>
      </c>
      <c r="D9" s="9"/>
      <c r="E9" s="28">
        <f t="shared" si="0"/>
        <v>1.5</v>
      </c>
      <c r="F9" s="40" t="s">
        <v>648</v>
      </c>
      <c r="G9">
        <v>1991.4</v>
      </c>
      <c r="H9" s="11">
        <v>1.17</v>
      </c>
      <c r="I9" s="11">
        <v>2.25</v>
      </c>
      <c r="J9" s="53"/>
      <c r="T9">
        <f t="shared" si="1"/>
        <v>1993</v>
      </c>
      <c r="U9" s="11">
        <f>E13</f>
        <v>0.44000000000000006</v>
      </c>
    </row>
    <row r="10" spans="1:21" x14ac:dyDescent="0.2">
      <c r="A10" s="7"/>
      <c r="B10" s="7" t="s">
        <v>248</v>
      </c>
      <c r="C10" s="9">
        <v>0.81</v>
      </c>
      <c r="D10" s="9"/>
      <c r="E10" s="28">
        <f t="shared" si="0"/>
        <v>0.81</v>
      </c>
      <c r="F10" s="40" t="s">
        <v>649</v>
      </c>
      <c r="G10">
        <v>1991.6</v>
      </c>
      <c r="H10" s="11">
        <v>0.54</v>
      </c>
      <c r="I10" s="11">
        <v>1.3</v>
      </c>
      <c r="J10" s="573"/>
      <c r="T10">
        <f t="shared" si="1"/>
        <v>1994</v>
      </c>
      <c r="U10" s="11">
        <f>E15</f>
        <v>0.44999999999999996</v>
      </c>
    </row>
    <row r="11" spans="1:21" x14ac:dyDescent="0.2">
      <c r="A11" s="7">
        <v>1992</v>
      </c>
      <c r="B11" s="7" t="s">
        <v>247</v>
      </c>
      <c r="C11" s="9">
        <v>0.55000000000000004</v>
      </c>
      <c r="D11" s="9"/>
      <c r="E11" s="28">
        <f t="shared" si="0"/>
        <v>0.55000000000000004</v>
      </c>
      <c r="F11" s="40" t="s">
        <v>650</v>
      </c>
      <c r="G11">
        <v>1992.4</v>
      </c>
      <c r="H11" s="11">
        <v>0.32</v>
      </c>
      <c r="I11" s="11">
        <v>1.1200000000000001</v>
      </c>
      <c r="J11" s="53"/>
      <c r="T11">
        <f t="shared" si="1"/>
        <v>1995</v>
      </c>
      <c r="U11" s="11">
        <f>E17</f>
        <v>1.1300000000000001</v>
      </c>
    </row>
    <row r="12" spans="1:21" x14ac:dyDescent="0.2">
      <c r="A12" s="7"/>
      <c r="B12" s="7" t="s">
        <v>248</v>
      </c>
      <c r="C12" s="9">
        <v>0.54</v>
      </c>
      <c r="D12" s="9"/>
      <c r="E12" s="28">
        <f t="shared" si="0"/>
        <v>0.54</v>
      </c>
      <c r="F12" s="40" t="s">
        <v>651</v>
      </c>
      <c r="G12">
        <v>1992.6</v>
      </c>
      <c r="H12" s="11">
        <v>0.37</v>
      </c>
      <c r="I12" s="11">
        <v>1.7</v>
      </c>
      <c r="J12" s="573"/>
      <c r="T12">
        <f t="shared" si="1"/>
        <v>1996</v>
      </c>
      <c r="U12" s="11">
        <f>E19</f>
        <v>1.0750000000000002</v>
      </c>
    </row>
    <row r="13" spans="1:21" x14ac:dyDescent="0.2">
      <c r="A13" s="7">
        <v>1993</v>
      </c>
      <c r="B13" s="7" t="s">
        <v>247</v>
      </c>
      <c r="C13" s="9">
        <v>0.55000000000000004</v>
      </c>
      <c r="D13" s="9">
        <v>0.33</v>
      </c>
      <c r="E13" s="28">
        <f t="shared" ref="E13:E18" si="2">AVERAGE(C13:D13)</f>
        <v>0.44000000000000006</v>
      </c>
      <c r="F13" s="40" t="s">
        <v>652</v>
      </c>
      <c r="G13">
        <v>1993.4</v>
      </c>
      <c r="H13" s="11">
        <v>0.36</v>
      </c>
      <c r="I13" s="11">
        <v>0.99</v>
      </c>
      <c r="J13" s="53">
        <v>0.33</v>
      </c>
      <c r="K13" s="7">
        <v>0.5</v>
      </c>
      <c r="L13" s="9">
        <f t="shared" ref="L13" si="3">AVERAGE(H13,J13)</f>
        <v>0.34499999999999997</v>
      </c>
      <c r="M13" s="9">
        <f t="shared" ref="M13" si="4">AVERAGE(I13,K13)</f>
        <v>0.745</v>
      </c>
      <c r="T13">
        <f t="shared" si="1"/>
        <v>1997</v>
      </c>
      <c r="U13" s="11">
        <f>E21</f>
        <v>1.03</v>
      </c>
    </row>
    <row r="14" spans="1:21" x14ac:dyDescent="0.2">
      <c r="A14" s="7"/>
      <c r="B14" s="7" t="s">
        <v>248</v>
      </c>
      <c r="C14" s="9">
        <v>1.1000000000000001</v>
      </c>
      <c r="D14" s="9">
        <v>0.76</v>
      </c>
      <c r="E14" s="28">
        <f t="shared" si="2"/>
        <v>0.93</v>
      </c>
      <c r="G14">
        <v>1993.6</v>
      </c>
      <c r="H14" s="11">
        <v>0.72</v>
      </c>
      <c r="I14" s="11">
        <v>1.79</v>
      </c>
      <c r="J14" s="573">
        <v>0.6</v>
      </c>
      <c r="K14" s="7">
        <v>1.17</v>
      </c>
      <c r="L14" s="9">
        <f t="shared" ref="L14" si="5">AVERAGE(H14,J14)</f>
        <v>0.65999999999999992</v>
      </c>
      <c r="M14" s="9">
        <f t="shared" ref="M14" si="6">AVERAGE(I14,K14)</f>
        <v>1.48</v>
      </c>
      <c r="T14">
        <f t="shared" si="1"/>
        <v>1998</v>
      </c>
      <c r="U14" s="11">
        <f>E23</f>
        <v>1.5499999999999998</v>
      </c>
    </row>
    <row r="15" spans="1:21" x14ac:dyDescent="0.2">
      <c r="A15" s="7">
        <v>1994</v>
      </c>
      <c r="B15" s="7" t="s">
        <v>247</v>
      </c>
      <c r="C15" s="9">
        <v>0.56999999999999995</v>
      </c>
      <c r="D15" s="9">
        <v>0.33</v>
      </c>
      <c r="E15" s="28">
        <f t="shared" si="2"/>
        <v>0.44999999999999996</v>
      </c>
      <c r="G15">
        <v>1994.4</v>
      </c>
      <c r="H15" s="11">
        <v>0.35</v>
      </c>
      <c r="I15" s="11">
        <v>1.08</v>
      </c>
      <c r="J15" s="53">
        <v>0.33</v>
      </c>
      <c r="K15" s="7">
        <v>0.6</v>
      </c>
      <c r="L15" s="9">
        <f t="shared" ref="L15" si="7">AVERAGE(H15,J15)</f>
        <v>0.33999999999999997</v>
      </c>
      <c r="M15" s="9">
        <f t="shared" ref="M15" si="8">AVERAGE(I15,K15)</f>
        <v>0.84000000000000008</v>
      </c>
      <c r="T15">
        <f t="shared" si="1"/>
        <v>1999</v>
      </c>
      <c r="U15" s="11">
        <f>E25</f>
        <v>1.1553374999999999</v>
      </c>
    </row>
    <row r="16" spans="1:21" x14ac:dyDescent="0.2">
      <c r="A16" s="7"/>
      <c r="B16" s="7" t="s">
        <v>248</v>
      </c>
      <c r="C16" s="9">
        <v>1.38</v>
      </c>
      <c r="D16" s="9">
        <v>1.51</v>
      </c>
      <c r="E16" s="28">
        <f t="shared" si="2"/>
        <v>1.4449999999999998</v>
      </c>
      <c r="G16">
        <v>1994.6</v>
      </c>
      <c r="H16" s="11">
        <v>1.05019964948209</v>
      </c>
      <c r="I16" s="11">
        <v>1.9</v>
      </c>
      <c r="J16" s="573">
        <v>1.01</v>
      </c>
      <c r="K16" s="7">
        <v>2.39</v>
      </c>
      <c r="L16" s="9">
        <f t="shared" ref="L16" si="9">AVERAGE(H16,J16)</f>
        <v>1.0300998247410451</v>
      </c>
      <c r="M16" s="9">
        <f t="shared" ref="M16" si="10">AVERAGE(I16,K16)</f>
        <v>2.145</v>
      </c>
      <c r="T16">
        <f t="shared" si="1"/>
        <v>2000</v>
      </c>
      <c r="U16" s="11">
        <f>E27</f>
        <v>0.20833333333333331</v>
      </c>
    </row>
    <row r="17" spans="1:21" x14ac:dyDescent="0.2">
      <c r="A17" s="7">
        <v>1995</v>
      </c>
      <c r="B17" s="7" t="s">
        <v>247</v>
      </c>
      <c r="C17" s="9">
        <v>1.6</v>
      </c>
      <c r="D17" s="9">
        <v>0.66</v>
      </c>
      <c r="E17" s="28">
        <f t="shared" si="2"/>
        <v>1.1300000000000001</v>
      </c>
      <c r="G17">
        <v>1995.4</v>
      </c>
      <c r="H17" s="11">
        <v>1.22</v>
      </c>
      <c r="I17" s="11">
        <v>2.2200000000000002</v>
      </c>
      <c r="J17" s="53">
        <v>0.36</v>
      </c>
      <c r="K17" s="7">
        <v>1.39</v>
      </c>
      <c r="L17" s="9">
        <f t="shared" ref="L17" si="11">AVERAGE(H17,J17)</f>
        <v>0.79</v>
      </c>
      <c r="M17" s="9">
        <f t="shared" ref="M17" si="12">AVERAGE(I17,K17)</f>
        <v>1.8050000000000002</v>
      </c>
      <c r="T17">
        <f t="shared" si="1"/>
        <v>2001</v>
      </c>
      <c r="U17" s="11">
        <f>E29</f>
        <v>8.3333333333333329E-2</v>
      </c>
    </row>
    <row r="18" spans="1:21" x14ac:dyDescent="0.2">
      <c r="A18" s="7"/>
      <c r="B18" s="7" t="s">
        <v>248</v>
      </c>
      <c r="C18" s="9">
        <v>2.0299999999999998</v>
      </c>
      <c r="D18" s="9">
        <v>2</v>
      </c>
      <c r="E18" s="28">
        <f t="shared" si="2"/>
        <v>2.0149999999999997</v>
      </c>
      <c r="G18">
        <v>1995.6</v>
      </c>
      <c r="H18" s="11">
        <v>1.62</v>
      </c>
      <c r="I18" s="11">
        <v>2.7</v>
      </c>
      <c r="J18" s="53">
        <v>1.1299999999999999</v>
      </c>
      <c r="K18" s="7">
        <v>2.84</v>
      </c>
      <c r="L18" s="9">
        <f t="shared" ref="L18:M20" si="13">AVERAGE(H18,J18)</f>
        <v>1.375</v>
      </c>
      <c r="M18" s="9">
        <f t="shared" si="13"/>
        <v>2.77</v>
      </c>
      <c r="T18">
        <f t="shared" si="1"/>
        <v>2002</v>
      </c>
      <c r="U18" s="11">
        <f>E31</f>
        <v>8.3333333333333329E-2</v>
      </c>
    </row>
    <row r="19" spans="1:21" x14ac:dyDescent="0.2">
      <c r="A19" s="7">
        <v>1996</v>
      </c>
      <c r="B19" s="7" t="s">
        <v>247</v>
      </c>
      <c r="C19" s="9">
        <v>1.06</v>
      </c>
      <c r="D19" s="9">
        <v>1.0900000000000001</v>
      </c>
      <c r="E19" s="28">
        <f t="shared" ref="E19:E57" si="14">AVERAGE(C19:D19)</f>
        <v>1.0750000000000002</v>
      </c>
      <c r="G19">
        <f>G17+1</f>
        <v>1996.4</v>
      </c>
      <c r="H19" s="11">
        <v>0.76</v>
      </c>
      <c r="I19" s="11">
        <v>1.63</v>
      </c>
      <c r="J19" s="53">
        <v>0.77</v>
      </c>
      <c r="K19" s="7">
        <v>1.62</v>
      </c>
      <c r="L19" s="9">
        <f t="shared" si="13"/>
        <v>0.76500000000000001</v>
      </c>
      <c r="M19" s="9">
        <f t="shared" si="13"/>
        <v>1.625</v>
      </c>
      <c r="O19" s="11">
        <f t="shared" ref="O19:O22" si="15">E19-M19</f>
        <v>-0.54999999999999982</v>
      </c>
      <c r="T19">
        <f t="shared" si="1"/>
        <v>2003</v>
      </c>
      <c r="U19" s="11">
        <f>E33</f>
        <v>0.16666666666666666</v>
      </c>
    </row>
    <row r="20" spans="1:21" x14ac:dyDescent="0.2">
      <c r="A20" s="22"/>
      <c r="B20" s="7" t="s">
        <v>248</v>
      </c>
      <c r="C20" s="53">
        <v>1.7456750000000001</v>
      </c>
      <c r="D20" s="53">
        <v>0.99</v>
      </c>
      <c r="E20" s="28">
        <f t="shared" si="14"/>
        <v>1.3678375</v>
      </c>
      <c r="F20" s="37" t="s">
        <v>653</v>
      </c>
      <c r="G20">
        <f t="shared" ref="G20:G34" si="16">G18+1</f>
        <v>1996.6</v>
      </c>
      <c r="H20" s="11">
        <v>1.18</v>
      </c>
      <c r="I20" s="11">
        <v>2.63</v>
      </c>
      <c r="J20" s="7">
        <v>0.63</v>
      </c>
      <c r="K20" s="7">
        <v>1.59</v>
      </c>
      <c r="L20" s="9">
        <f t="shared" si="13"/>
        <v>0.90500000000000003</v>
      </c>
      <c r="M20" s="9">
        <f t="shared" si="13"/>
        <v>2.11</v>
      </c>
      <c r="O20" s="11">
        <f t="shared" si="15"/>
        <v>-0.74216249999999984</v>
      </c>
      <c r="T20">
        <f t="shared" si="1"/>
        <v>2004</v>
      </c>
      <c r="U20">
        <v>0.25</v>
      </c>
    </row>
    <row r="21" spans="1:21" x14ac:dyDescent="0.2">
      <c r="A21" s="7">
        <v>1997</v>
      </c>
      <c r="B21" s="7" t="s">
        <v>247</v>
      </c>
      <c r="C21" s="9">
        <v>1.1399999999999999</v>
      </c>
      <c r="D21" s="9">
        <v>0.92</v>
      </c>
      <c r="E21" s="28">
        <f t="shared" si="14"/>
        <v>1.03</v>
      </c>
      <c r="F21" s="37" t="s">
        <v>653</v>
      </c>
      <c r="G21">
        <f t="shared" si="16"/>
        <v>1997.4</v>
      </c>
      <c r="H21" s="11">
        <v>0.79</v>
      </c>
      <c r="I21" s="11">
        <v>1.58</v>
      </c>
      <c r="J21" s="127">
        <v>0.7</v>
      </c>
      <c r="K21" s="7">
        <v>1.33</v>
      </c>
      <c r="L21" s="9">
        <f t="shared" ref="L21:L26" si="17">AVERAGE(H21,J21)</f>
        <v>0.745</v>
      </c>
      <c r="M21" s="9">
        <f t="shared" ref="M21:M26" si="18">AVERAGE(I21,K21)</f>
        <v>1.4550000000000001</v>
      </c>
      <c r="O21" s="11">
        <f t="shared" si="15"/>
        <v>-0.42500000000000004</v>
      </c>
      <c r="T21">
        <f t="shared" si="1"/>
        <v>2005</v>
      </c>
      <c r="U21">
        <v>0.44</v>
      </c>
    </row>
    <row r="22" spans="1:21" x14ac:dyDescent="0.2">
      <c r="A22" s="7"/>
      <c r="B22" s="7" t="s">
        <v>248</v>
      </c>
      <c r="C22" s="9">
        <v>1.9305750000000002</v>
      </c>
      <c r="D22" s="9">
        <v>0.7</v>
      </c>
      <c r="E22" s="28">
        <f t="shared" si="14"/>
        <v>1.3152875000000002</v>
      </c>
      <c r="F22" s="37" t="s">
        <v>653</v>
      </c>
      <c r="G22">
        <f t="shared" si="16"/>
        <v>1997.6</v>
      </c>
      <c r="H22" s="11">
        <v>1.34</v>
      </c>
      <c r="I22" s="11">
        <v>3.06</v>
      </c>
      <c r="J22" s="127">
        <v>0.47</v>
      </c>
      <c r="K22" s="7">
        <v>1.0900000000000001</v>
      </c>
      <c r="L22" s="9">
        <f t="shared" si="17"/>
        <v>0.90500000000000003</v>
      </c>
      <c r="M22" s="9">
        <f t="shared" si="18"/>
        <v>2.0750000000000002</v>
      </c>
      <c r="O22" s="11">
        <f t="shared" si="15"/>
        <v>-0.75971250000000001</v>
      </c>
      <c r="T22">
        <f t="shared" si="1"/>
        <v>2006</v>
      </c>
      <c r="U22" s="11">
        <f>E39</f>
        <v>0.16666666666666666</v>
      </c>
    </row>
    <row r="23" spans="1:21" x14ac:dyDescent="0.2">
      <c r="A23" s="7">
        <v>1998</v>
      </c>
      <c r="B23" s="7" t="s">
        <v>247</v>
      </c>
      <c r="C23" s="9">
        <v>2.36</v>
      </c>
      <c r="D23" s="9">
        <v>0.74</v>
      </c>
      <c r="E23" s="28">
        <f t="shared" si="14"/>
        <v>1.5499999999999998</v>
      </c>
      <c r="F23" s="99"/>
      <c r="G23">
        <f t="shared" si="16"/>
        <v>1998.4</v>
      </c>
      <c r="H23" s="11">
        <v>1.6</v>
      </c>
      <c r="I23" s="11">
        <v>3.53</v>
      </c>
      <c r="J23" s="127">
        <v>0.46</v>
      </c>
      <c r="K23" s="7">
        <v>1.28</v>
      </c>
      <c r="L23" s="9">
        <f t="shared" si="17"/>
        <v>1.03</v>
      </c>
      <c r="M23" s="9">
        <f t="shared" si="18"/>
        <v>2.4049999999999998</v>
      </c>
      <c r="O23" s="11">
        <f>E23-M23</f>
        <v>-0.85499999999999998</v>
      </c>
      <c r="T23">
        <f t="shared" si="1"/>
        <v>2007</v>
      </c>
      <c r="U23" s="11">
        <f>E41</f>
        <v>0.125</v>
      </c>
    </row>
    <row r="24" spans="1:21" x14ac:dyDescent="0.2">
      <c r="A24" s="7"/>
      <c r="B24" s="7" t="s">
        <v>248</v>
      </c>
      <c r="C24" s="9">
        <v>1.6040999999999999</v>
      </c>
      <c r="D24" s="9">
        <v>1.08</v>
      </c>
      <c r="E24" s="28">
        <f t="shared" si="14"/>
        <v>1.34205</v>
      </c>
      <c r="F24" s="37" t="s">
        <v>653</v>
      </c>
      <c r="G24">
        <f t="shared" si="16"/>
        <v>1998.6</v>
      </c>
      <c r="H24" s="11">
        <v>1.06</v>
      </c>
      <c r="I24" s="11">
        <v>2.5</v>
      </c>
      <c r="J24" s="127">
        <v>0.82</v>
      </c>
      <c r="K24" s="7">
        <v>1.53</v>
      </c>
      <c r="L24" s="9">
        <f t="shared" si="17"/>
        <v>0.94</v>
      </c>
      <c r="M24" s="9">
        <f t="shared" si="18"/>
        <v>2.0150000000000001</v>
      </c>
      <c r="T24">
        <f t="shared" si="1"/>
        <v>2008</v>
      </c>
      <c r="U24" s="11">
        <f>E43</f>
        <v>0.17028333333333334</v>
      </c>
    </row>
    <row r="25" spans="1:21" x14ac:dyDescent="0.2">
      <c r="A25" s="7">
        <v>1999</v>
      </c>
      <c r="B25" s="7" t="s">
        <v>247</v>
      </c>
      <c r="C25" s="9">
        <v>1.730675</v>
      </c>
      <c r="D25" s="9">
        <v>0.57999999999999996</v>
      </c>
      <c r="E25" s="28">
        <f t="shared" si="14"/>
        <v>1.1553374999999999</v>
      </c>
      <c r="F25" s="37" t="s">
        <v>653</v>
      </c>
      <c r="G25">
        <f t="shared" si="16"/>
        <v>1999.4</v>
      </c>
      <c r="H25" s="11">
        <v>1.22</v>
      </c>
      <c r="I25" s="11">
        <v>2.63</v>
      </c>
      <c r="J25" s="127">
        <v>0.32</v>
      </c>
      <c r="K25" s="7">
        <v>1.22</v>
      </c>
      <c r="L25" s="9">
        <f t="shared" si="17"/>
        <v>0.77</v>
      </c>
      <c r="M25" s="9">
        <f t="shared" si="18"/>
        <v>1.9249999999999998</v>
      </c>
      <c r="T25">
        <f t="shared" si="1"/>
        <v>2009</v>
      </c>
      <c r="U25" s="11">
        <f>E45</f>
        <v>0</v>
      </c>
    </row>
    <row r="26" spans="1:21" x14ac:dyDescent="0.2">
      <c r="A26" s="7"/>
      <c r="B26" s="7" t="s">
        <v>248</v>
      </c>
      <c r="C26" s="9">
        <v>1.3173749999999997</v>
      </c>
      <c r="D26" s="9">
        <v>0.48</v>
      </c>
      <c r="E26" s="28">
        <f t="shared" si="14"/>
        <v>0.89868749999999986</v>
      </c>
      <c r="F26" s="37" t="s">
        <v>653</v>
      </c>
      <c r="G26">
        <f t="shared" si="16"/>
        <v>1999.6</v>
      </c>
      <c r="H26" s="11">
        <v>0.88</v>
      </c>
      <c r="I26" s="11">
        <v>2.21</v>
      </c>
      <c r="J26" s="127">
        <v>0.2</v>
      </c>
      <c r="K26" s="7">
        <v>1.47</v>
      </c>
      <c r="L26" s="9">
        <f t="shared" si="17"/>
        <v>0.54</v>
      </c>
      <c r="M26" s="9">
        <f t="shared" si="18"/>
        <v>1.8399999999999999</v>
      </c>
      <c r="T26">
        <f t="shared" si="1"/>
        <v>2010</v>
      </c>
      <c r="U26" s="11">
        <f>E47</f>
        <v>0.16666666666666666</v>
      </c>
    </row>
    <row r="27" spans="1:21" x14ac:dyDescent="0.2">
      <c r="A27" s="7">
        <v>2000</v>
      </c>
      <c r="B27" s="7" t="s">
        <v>247</v>
      </c>
      <c r="C27" s="9">
        <v>0.33333333333333331</v>
      </c>
      <c r="D27" s="9">
        <v>8.3333333333333329E-2</v>
      </c>
      <c r="E27" s="28">
        <f t="shared" si="14"/>
        <v>0.20833333333333331</v>
      </c>
      <c r="F27" s="40" t="s">
        <v>654</v>
      </c>
      <c r="G27">
        <f t="shared" si="16"/>
        <v>2000.4</v>
      </c>
      <c r="H27" s="11">
        <v>0.3</v>
      </c>
      <c r="I27" s="11">
        <v>0.4</v>
      </c>
      <c r="J27" s="9">
        <v>8.3333333333333329E-2</v>
      </c>
      <c r="K27" s="9">
        <v>0.16666666666666666</v>
      </c>
      <c r="L27" s="9">
        <f>AVERAGE(H27,J27)</f>
        <v>0.19166666666666665</v>
      </c>
      <c r="M27" s="9">
        <f>AVERAGE(I27,K27)</f>
        <v>0.28333333333333333</v>
      </c>
      <c r="T27">
        <f t="shared" si="1"/>
        <v>2011</v>
      </c>
      <c r="U27" s="11">
        <f>E49</f>
        <v>4.1666666666666664E-2</v>
      </c>
    </row>
    <row r="28" spans="1:21" x14ac:dyDescent="0.2">
      <c r="A28" s="7"/>
      <c r="B28" s="7" t="s">
        <v>248</v>
      </c>
      <c r="C28" s="9">
        <v>0.16666666666666666</v>
      </c>
      <c r="D28" s="9">
        <v>0</v>
      </c>
      <c r="E28" s="28">
        <f t="shared" si="14"/>
        <v>8.3333333333333329E-2</v>
      </c>
      <c r="F28" s="7"/>
      <c r="G28">
        <f t="shared" si="16"/>
        <v>2000.6</v>
      </c>
      <c r="H28" s="11">
        <v>0.17</v>
      </c>
      <c r="I28" s="11">
        <v>0.25</v>
      </c>
      <c r="J28" s="9">
        <v>0</v>
      </c>
      <c r="K28" s="9">
        <v>0.08</v>
      </c>
      <c r="L28" s="9">
        <f t="shared" ref="L28:L55" si="19">AVERAGE(H28,J28)</f>
        <v>8.5000000000000006E-2</v>
      </c>
      <c r="M28" s="9">
        <f t="shared" ref="M28:M55" si="20">AVERAGE(I28,K28)</f>
        <v>0.16500000000000001</v>
      </c>
      <c r="T28">
        <f t="shared" si="1"/>
        <v>2012</v>
      </c>
      <c r="U28" s="11">
        <f>E51</f>
        <v>4.1666666666666664E-2</v>
      </c>
    </row>
    <row r="29" spans="1:21" x14ac:dyDescent="0.2">
      <c r="A29" s="7">
        <v>2001</v>
      </c>
      <c r="B29" s="7" t="s">
        <v>247</v>
      </c>
      <c r="C29" s="9">
        <v>0.16666666666666666</v>
      </c>
      <c r="D29" s="9">
        <v>0</v>
      </c>
      <c r="E29" s="28">
        <f t="shared" si="14"/>
        <v>8.3333333333333329E-2</v>
      </c>
      <c r="F29" s="7"/>
      <c r="G29">
        <f t="shared" si="16"/>
        <v>2001.4</v>
      </c>
      <c r="H29" s="11">
        <v>0.17</v>
      </c>
      <c r="I29" s="11">
        <v>0.25</v>
      </c>
      <c r="J29" s="9">
        <v>0</v>
      </c>
      <c r="K29" s="9">
        <v>8.3333333333333329E-2</v>
      </c>
      <c r="L29" s="9">
        <f t="shared" si="19"/>
        <v>8.5000000000000006E-2</v>
      </c>
      <c r="M29" s="9">
        <f t="shared" si="20"/>
        <v>0.16666666666666666</v>
      </c>
      <c r="T29">
        <f t="shared" si="1"/>
        <v>2013</v>
      </c>
      <c r="U29">
        <v>0.01</v>
      </c>
    </row>
    <row r="30" spans="1:21" x14ac:dyDescent="0.2">
      <c r="A30" s="7"/>
      <c r="B30" s="7" t="s">
        <v>248</v>
      </c>
      <c r="C30" s="9">
        <v>0.16666666666666666</v>
      </c>
      <c r="D30" s="9">
        <v>0</v>
      </c>
      <c r="E30" s="28">
        <f t="shared" si="14"/>
        <v>8.3333333333333329E-2</v>
      </c>
      <c r="F30" s="7"/>
      <c r="G30">
        <f t="shared" si="16"/>
        <v>2001.6</v>
      </c>
      <c r="H30" s="11">
        <v>0.17</v>
      </c>
      <c r="I30" s="11">
        <v>0.25</v>
      </c>
      <c r="J30" s="9">
        <v>0</v>
      </c>
      <c r="K30" s="9">
        <v>0.08</v>
      </c>
      <c r="L30" s="9">
        <f t="shared" si="19"/>
        <v>8.5000000000000006E-2</v>
      </c>
      <c r="M30" s="9">
        <f t="shared" si="20"/>
        <v>0.16500000000000001</v>
      </c>
      <c r="T30">
        <v>2014</v>
      </c>
      <c r="U30" s="11">
        <v>0</v>
      </c>
    </row>
    <row r="31" spans="1:21" x14ac:dyDescent="0.2">
      <c r="A31" s="7">
        <v>2002</v>
      </c>
      <c r="B31" s="7" t="s">
        <v>247</v>
      </c>
      <c r="C31" s="9">
        <v>0.16666666666666666</v>
      </c>
      <c r="D31" s="9">
        <v>0</v>
      </c>
      <c r="E31" s="28">
        <f t="shared" si="14"/>
        <v>8.3333333333333329E-2</v>
      </c>
      <c r="F31" s="178" t="s">
        <v>297</v>
      </c>
      <c r="G31">
        <f t="shared" si="16"/>
        <v>2002.4</v>
      </c>
      <c r="H31" s="11">
        <v>0.17</v>
      </c>
      <c r="I31" s="11">
        <v>0.25</v>
      </c>
      <c r="J31" s="9">
        <v>0</v>
      </c>
      <c r="K31" s="9">
        <v>8.3333333333333329E-2</v>
      </c>
      <c r="L31" s="9">
        <f t="shared" si="19"/>
        <v>8.5000000000000006E-2</v>
      </c>
      <c r="M31" s="9">
        <f t="shared" si="20"/>
        <v>0.16666666666666666</v>
      </c>
    </row>
    <row r="32" spans="1:21" x14ac:dyDescent="0.2">
      <c r="A32" s="7"/>
      <c r="B32" s="7" t="s">
        <v>248</v>
      </c>
      <c r="C32" s="9">
        <v>0.69877499999999992</v>
      </c>
      <c r="D32" s="9">
        <v>0</v>
      </c>
      <c r="E32" s="28">
        <f t="shared" si="14"/>
        <v>0.34938749999999996</v>
      </c>
      <c r="G32">
        <f t="shared" si="16"/>
        <v>2002.6</v>
      </c>
      <c r="H32" s="11">
        <v>0.27</v>
      </c>
      <c r="I32" s="11">
        <v>0.53</v>
      </c>
      <c r="J32" s="9">
        <v>0</v>
      </c>
      <c r="K32" s="9">
        <v>0.08</v>
      </c>
      <c r="L32" s="9">
        <f t="shared" si="19"/>
        <v>0.13500000000000001</v>
      </c>
      <c r="M32" s="9">
        <f t="shared" si="20"/>
        <v>0.30499999999999999</v>
      </c>
    </row>
    <row r="33" spans="1:13" x14ac:dyDescent="0.2">
      <c r="A33" s="7">
        <v>2003</v>
      </c>
      <c r="B33" s="7" t="s">
        <v>247</v>
      </c>
      <c r="C33" s="9">
        <v>0.33333333333333331</v>
      </c>
      <c r="D33" s="9">
        <v>0</v>
      </c>
      <c r="E33" s="28">
        <f t="shared" si="14"/>
        <v>0.16666666666666666</v>
      </c>
      <c r="G33">
        <f t="shared" si="16"/>
        <v>2003.4</v>
      </c>
      <c r="H33" s="11">
        <v>0.33</v>
      </c>
      <c r="I33" s="11">
        <v>0.42</v>
      </c>
      <c r="J33" s="9">
        <v>0</v>
      </c>
      <c r="K33" s="9">
        <v>0.08</v>
      </c>
      <c r="L33" s="9">
        <f t="shared" si="19"/>
        <v>0.16500000000000001</v>
      </c>
      <c r="M33" s="9">
        <f t="shared" si="20"/>
        <v>0.25</v>
      </c>
    </row>
    <row r="34" spans="1:13" x14ac:dyDescent="0.2">
      <c r="A34" s="7"/>
      <c r="B34" s="7" t="s">
        <v>248</v>
      </c>
      <c r="C34" s="9">
        <v>0.25</v>
      </c>
      <c r="D34" s="9">
        <v>0.08</v>
      </c>
      <c r="E34" s="28">
        <f t="shared" si="14"/>
        <v>0.16500000000000001</v>
      </c>
      <c r="G34">
        <f t="shared" si="16"/>
        <v>2003.6</v>
      </c>
      <c r="H34" s="11">
        <v>0.25</v>
      </c>
      <c r="I34" s="11">
        <v>0.33</v>
      </c>
      <c r="J34" s="9">
        <v>0.08</v>
      </c>
      <c r="K34" s="9">
        <v>0.17</v>
      </c>
      <c r="L34" s="9">
        <f t="shared" si="19"/>
        <v>0.16500000000000001</v>
      </c>
      <c r="M34" s="9">
        <f t="shared" si="20"/>
        <v>0.25</v>
      </c>
    </row>
    <row r="35" spans="1:13" x14ac:dyDescent="0.2">
      <c r="A35" s="7">
        <v>2004</v>
      </c>
      <c r="B35" s="7" t="s">
        <v>247</v>
      </c>
      <c r="C35" s="9">
        <v>0.25</v>
      </c>
      <c r="D35" s="9">
        <v>8.3333333333333329E-2</v>
      </c>
      <c r="E35" s="28">
        <f t="shared" si="14"/>
        <v>0.16666666666666666</v>
      </c>
      <c r="G35">
        <v>2004.4</v>
      </c>
      <c r="H35" s="11">
        <v>0.17</v>
      </c>
      <c r="I35" s="11">
        <v>0.25</v>
      </c>
      <c r="J35" s="9">
        <v>0.08</v>
      </c>
      <c r="K35" s="9">
        <v>0.17</v>
      </c>
      <c r="L35" s="9">
        <f t="shared" si="19"/>
        <v>0.125</v>
      </c>
      <c r="M35" s="9">
        <f t="shared" si="20"/>
        <v>0.21000000000000002</v>
      </c>
    </row>
    <row r="36" spans="1:13" x14ac:dyDescent="0.2">
      <c r="A36" s="7"/>
      <c r="B36" s="7" t="s">
        <v>248</v>
      </c>
      <c r="C36" s="9">
        <v>0.25</v>
      </c>
      <c r="D36" s="9">
        <v>0.25</v>
      </c>
      <c r="E36" s="28">
        <f t="shared" si="14"/>
        <v>0.25</v>
      </c>
      <c r="G36">
        <v>2004.6</v>
      </c>
      <c r="H36">
        <v>0.25</v>
      </c>
      <c r="I36" s="11">
        <v>0.33333333333333331</v>
      </c>
      <c r="J36" s="9">
        <v>0.25</v>
      </c>
      <c r="K36" s="9">
        <v>0.33333333333333331</v>
      </c>
      <c r="L36" s="9">
        <f t="shared" si="19"/>
        <v>0.25</v>
      </c>
      <c r="M36" s="9">
        <f t="shared" si="20"/>
        <v>0.33333333333333331</v>
      </c>
    </row>
    <row r="37" spans="1:13" x14ac:dyDescent="0.2">
      <c r="A37" s="7">
        <v>2005</v>
      </c>
      <c r="B37" s="7" t="s">
        <v>247</v>
      </c>
      <c r="C37" s="9">
        <v>8.3333333333333329E-2</v>
      </c>
      <c r="D37" s="9">
        <v>0.33333333333333331</v>
      </c>
      <c r="E37" s="28">
        <f t="shared" si="14"/>
        <v>0.20833333333333331</v>
      </c>
      <c r="G37">
        <v>2005.4</v>
      </c>
      <c r="H37" s="11">
        <v>8.3333333333333329E-2</v>
      </c>
      <c r="I37" s="11">
        <v>0.16666666666666666</v>
      </c>
      <c r="J37" s="9">
        <v>0.33333333333333331</v>
      </c>
      <c r="K37" s="9">
        <v>0.5</v>
      </c>
      <c r="L37" s="9">
        <f t="shared" si="19"/>
        <v>0.20833333333333331</v>
      </c>
      <c r="M37" s="9">
        <f t="shared" si="20"/>
        <v>0.33333333333333331</v>
      </c>
    </row>
    <row r="38" spans="1:13" x14ac:dyDescent="0.2">
      <c r="A38" s="7"/>
      <c r="B38" s="7" t="s">
        <v>248</v>
      </c>
      <c r="C38" s="9">
        <v>8.3333333333333329E-2</v>
      </c>
      <c r="D38" s="9">
        <v>0.41666666666666669</v>
      </c>
      <c r="E38" s="28">
        <f t="shared" si="14"/>
        <v>0.25</v>
      </c>
      <c r="G38">
        <v>2005.6</v>
      </c>
      <c r="H38" s="11">
        <v>8.3333333333333329E-2</v>
      </c>
      <c r="I38" s="11">
        <v>0.16666666666666666</v>
      </c>
      <c r="J38" s="9">
        <v>0.41666666666666669</v>
      </c>
      <c r="K38" s="9">
        <v>0.58333333333333337</v>
      </c>
      <c r="L38" s="9">
        <f t="shared" si="19"/>
        <v>0.25</v>
      </c>
      <c r="M38" s="9">
        <f t="shared" si="20"/>
        <v>0.375</v>
      </c>
    </row>
    <row r="39" spans="1:13" x14ac:dyDescent="0.2">
      <c r="A39" s="7">
        <v>2006</v>
      </c>
      <c r="B39" s="7" t="s">
        <v>247</v>
      </c>
      <c r="C39" s="9">
        <v>8.3333333333333329E-2</v>
      </c>
      <c r="D39" s="9">
        <v>0.25</v>
      </c>
      <c r="E39" s="28">
        <f t="shared" si="14"/>
        <v>0.16666666666666666</v>
      </c>
      <c r="G39">
        <v>2006.4</v>
      </c>
      <c r="H39" s="11">
        <v>8.3333333333333329E-2</v>
      </c>
      <c r="I39" s="11">
        <v>0.16666666666666666</v>
      </c>
      <c r="J39" s="9">
        <v>0.25</v>
      </c>
      <c r="K39" s="9">
        <v>0.41666666666666669</v>
      </c>
      <c r="L39" s="9">
        <f t="shared" si="19"/>
        <v>0.16666666666666666</v>
      </c>
      <c r="M39" s="9">
        <f t="shared" si="20"/>
        <v>0.29166666666666669</v>
      </c>
    </row>
    <row r="40" spans="1:13" x14ac:dyDescent="0.2">
      <c r="A40" s="7"/>
      <c r="B40" s="7" t="s">
        <v>248</v>
      </c>
      <c r="C40" s="9">
        <v>0</v>
      </c>
      <c r="D40" s="9">
        <v>0</v>
      </c>
      <c r="E40" s="28">
        <f t="shared" si="14"/>
        <v>0</v>
      </c>
      <c r="G40">
        <v>2006.6</v>
      </c>
      <c r="H40" s="11">
        <v>0</v>
      </c>
      <c r="I40" s="11">
        <v>8.3333333333333329E-2</v>
      </c>
      <c r="J40" s="9">
        <v>0</v>
      </c>
      <c r="K40" s="9">
        <v>8.3333333333333329E-2</v>
      </c>
      <c r="L40" s="9">
        <f t="shared" si="19"/>
        <v>0</v>
      </c>
      <c r="M40" s="9">
        <f t="shared" si="20"/>
        <v>8.3333333333333329E-2</v>
      </c>
    </row>
    <row r="41" spans="1:13" x14ac:dyDescent="0.2">
      <c r="A41" s="7">
        <v>2007</v>
      </c>
      <c r="B41" s="7" t="s">
        <v>247</v>
      </c>
      <c r="C41" s="9">
        <v>0</v>
      </c>
      <c r="D41" s="9">
        <v>0.25</v>
      </c>
      <c r="E41" s="28">
        <f t="shared" si="14"/>
        <v>0.125</v>
      </c>
      <c r="G41">
        <v>2007.4</v>
      </c>
      <c r="H41" s="11">
        <v>0</v>
      </c>
      <c r="I41" s="11">
        <v>8.3333333333333329E-2</v>
      </c>
      <c r="J41" s="9">
        <v>0.25</v>
      </c>
      <c r="K41" s="9">
        <v>0.41666666666666669</v>
      </c>
      <c r="L41" s="9">
        <f t="shared" si="19"/>
        <v>0.125</v>
      </c>
      <c r="M41" s="9">
        <f t="shared" si="20"/>
        <v>0.25</v>
      </c>
    </row>
    <row r="42" spans="1:13" x14ac:dyDescent="0.2">
      <c r="A42" s="7"/>
      <c r="B42" s="7" t="s">
        <v>248</v>
      </c>
      <c r="C42" s="9">
        <v>0</v>
      </c>
      <c r="D42" s="9">
        <v>8.3333333333333329E-2</v>
      </c>
      <c r="E42" s="28">
        <f t="shared" si="14"/>
        <v>4.1666666666666664E-2</v>
      </c>
      <c r="G42">
        <v>2007.6</v>
      </c>
      <c r="H42" s="11">
        <v>0</v>
      </c>
      <c r="I42" s="11">
        <v>8.3333333333333329E-2</v>
      </c>
      <c r="J42" s="9">
        <v>8.3333333333333329E-2</v>
      </c>
      <c r="K42" s="9">
        <v>0.16666666666666666</v>
      </c>
      <c r="L42" s="9">
        <f t="shared" si="19"/>
        <v>4.1666666666666664E-2</v>
      </c>
      <c r="M42" s="9">
        <f t="shared" si="20"/>
        <v>0.125</v>
      </c>
    </row>
    <row r="43" spans="1:13" x14ac:dyDescent="0.2">
      <c r="A43" s="7">
        <v>2008</v>
      </c>
      <c r="B43" s="7" t="s">
        <v>247</v>
      </c>
      <c r="C43" s="9">
        <v>0</v>
      </c>
      <c r="D43" s="9">
        <v>0.34056666666666668</v>
      </c>
      <c r="E43" s="28">
        <f t="shared" si="14"/>
        <v>0.17028333333333334</v>
      </c>
      <c r="G43">
        <v>2008.4</v>
      </c>
      <c r="H43" s="11">
        <v>0</v>
      </c>
      <c r="I43" s="11">
        <v>8.3333333333333329E-2</v>
      </c>
      <c r="J43" s="7">
        <v>0.23</v>
      </c>
      <c r="K43" s="7">
        <v>0.62</v>
      </c>
      <c r="L43" s="9">
        <f t="shared" si="19"/>
        <v>0.115</v>
      </c>
      <c r="M43" s="9">
        <f t="shared" si="20"/>
        <v>0.35166666666666668</v>
      </c>
    </row>
    <row r="44" spans="1:13" x14ac:dyDescent="0.2">
      <c r="A44" s="7"/>
      <c r="B44" s="7" t="s">
        <v>248</v>
      </c>
      <c r="C44" s="9">
        <v>0</v>
      </c>
      <c r="D44" s="9">
        <v>0.25</v>
      </c>
      <c r="E44" s="28">
        <f t="shared" si="14"/>
        <v>0.125</v>
      </c>
      <c r="G44">
        <v>2008.6</v>
      </c>
      <c r="H44" s="11">
        <v>0</v>
      </c>
      <c r="I44" s="11">
        <v>8.3333333333333329E-2</v>
      </c>
      <c r="J44" s="9">
        <v>0.25</v>
      </c>
      <c r="K44" s="9">
        <v>0.41666666666666669</v>
      </c>
      <c r="L44" s="9">
        <f t="shared" si="19"/>
        <v>0.125</v>
      </c>
      <c r="M44" s="9">
        <f t="shared" si="20"/>
        <v>0.25</v>
      </c>
    </row>
    <row r="45" spans="1:13" x14ac:dyDescent="0.2">
      <c r="A45" s="7">
        <v>2009</v>
      </c>
      <c r="B45" s="7" t="s">
        <v>247</v>
      </c>
      <c r="C45" s="9">
        <v>0</v>
      </c>
      <c r="D45" s="9">
        <v>0</v>
      </c>
      <c r="E45" s="28">
        <f t="shared" si="14"/>
        <v>0</v>
      </c>
      <c r="G45">
        <v>2009.4</v>
      </c>
      <c r="H45" s="11">
        <v>0</v>
      </c>
      <c r="I45" s="11">
        <v>8.3333333333333329E-2</v>
      </c>
      <c r="J45" s="9">
        <v>0</v>
      </c>
      <c r="K45" s="9">
        <v>8.3333333333333329E-2</v>
      </c>
      <c r="L45" s="9">
        <f t="shared" si="19"/>
        <v>0</v>
      </c>
      <c r="M45" s="9">
        <f t="shared" si="20"/>
        <v>8.3333333333333329E-2</v>
      </c>
    </row>
    <row r="46" spans="1:13" x14ac:dyDescent="0.2">
      <c r="A46" s="7"/>
      <c r="B46" s="7" t="s">
        <v>248</v>
      </c>
      <c r="C46" s="9">
        <v>0</v>
      </c>
      <c r="D46" s="9"/>
      <c r="E46" s="28">
        <f t="shared" si="14"/>
        <v>0</v>
      </c>
      <c r="G46">
        <v>2009.6</v>
      </c>
      <c r="H46" s="11"/>
      <c r="I46" s="11"/>
      <c r="J46" s="9"/>
      <c r="K46" s="9"/>
      <c r="L46" s="9"/>
      <c r="M46" s="9"/>
    </row>
    <row r="47" spans="1:13" x14ac:dyDescent="0.2">
      <c r="A47" s="7">
        <v>2010</v>
      </c>
      <c r="B47" s="7" t="s">
        <v>247</v>
      </c>
      <c r="C47" s="9">
        <v>0</v>
      </c>
      <c r="D47" s="9">
        <v>0.33333333333333331</v>
      </c>
      <c r="E47" s="28">
        <f t="shared" si="14"/>
        <v>0.16666666666666666</v>
      </c>
      <c r="G47">
        <v>2010.4</v>
      </c>
      <c r="H47" s="11">
        <v>0</v>
      </c>
      <c r="I47" s="11">
        <v>8.3333333333333329E-2</v>
      </c>
      <c r="J47" s="9">
        <v>0.25</v>
      </c>
      <c r="K47" s="9">
        <v>0.41666666666666669</v>
      </c>
      <c r="L47" s="9">
        <f t="shared" si="19"/>
        <v>0.125</v>
      </c>
      <c r="M47" s="9">
        <f t="shared" si="20"/>
        <v>0.25</v>
      </c>
    </row>
    <row r="48" spans="1:13" x14ac:dyDescent="0.2">
      <c r="A48" s="7"/>
      <c r="B48" s="7" t="s">
        <v>248</v>
      </c>
      <c r="C48" s="9">
        <v>0</v>
      </c>
      <c r="D48" s="9"/>
      <c r="E48" s="28">
        <f t="shared" si="14"/>
        <v>0</v>
      </c>
      <c r="G48">
        <v>2010.6</v>
      </c>
      <c r="H48" s="11"/>
      <c r="I48" s="11"/>
      <c r="J48" s="9"/>
      <c r="K48" s="9"/>
      <c r="L48" s="9"/>
      <c r="M48" s="9"/>
    </row>
    <row r="49" spans="1:13" x14ac:dyDescent="0.2">
      <c r="A49" s="7">
        <v>2011</v>
      </c>
      <c r="B49" s="7" t="s">
        <v>247</v>
      </c>
      <c r="C49" s="9">
        <v>0</v>
      </c>
      <c r="D49" s="9">
        <v>8.3333333333333329E-2</v>
      </c>
      <c r="E49" s="28">
        <f t="shared" si="14"/>
        <v>4.1666666666666664E-2</v>
      </c>
      <c r="G49">
        <v>2011.4</v>
      </c>
      <c r="H49" s="11">
        <v>0</v>
      </c>
      <c r="I49" s="11">
        <v>8.3333333333333329E-2</v>
      </c>
      <c r="J49" s="9">
        <v>8.3333333333333329E-2</v>
      </c>
      <c r="K49" s="9">
        <v>0.16666666666666666</v>
      </c>
      <c r="L49" s="9">
        <f t="shared" si="19"/>
        <v>4.1666666666666664E-2</v>
      </c>
      <c r="M49" s="9">
        <f t="shared" si="20"/>
        <v>0.125</v>
      </c>
    </row>
    <row r="50" spans="1:13" x14ac:dyDescent="0.2">
      <c r="A50" s="7"/>
      <c r="B50" s="7" t="s">
        <v>248</v>
      </c>
      <c r="C50" s="9">
        <v>0</v>
      </c>
      <c r="D50" s="9"/>
      <c r="E50" s="28">
        <f t="shared" si="14"/>
        <v>0</v>
      </c>
      <c r="G50">
        <v>2011.6</v>
      </c>
      <c r="H50" s="11"/>
      <c r="I50" s="11"/>
      <c r="J50" s="9"/>
      <c r="K50" s="9"/>
      <c r="L50" s="9"/>
      <c r="M50" s="9"/>
    </row>
    <row r="51" spans="1:13" x14ac:dyDescent="0.2">
      <c r="A51" s="7">
        <v>2012</v>
      </c>
      <c r="B51" s="7" t="s">
        <v>247</v>
      </c>
      <c r="C51" s="9">
        <v>0</v>
      </c>
      <c r="D51" s="9">
        <v>8.3333333333333329E-2</v>
      </c>
      <c r="E51" s="28">
        <f t="shared" si="14"/>
        <v>4.1666666666666664E-2</v>
      </c>
      <c r="G51">
        <v>2012.4</v>
      </c>
      <c r="H51" s="11">
        <v>0</v>
      </c>
      <c r="I51" s="11">
        <v>8.3333333333333329E-2</v>
      </c>
      <c r="J51" s="9">
        <v>8.3333333333333329E-2</v>
      </c>
      <c r="K51" s="9">
        <v>0.16666666666666666</v>
      </c>
      <c r="L51" s="9">
        <f t="shared" si="19"/>
        <v>4.1666666666666664E-2</v>
      </c>
      <c r="M51" s="9">
        <f t="shared" si="20"/>
        <v>0.125</v>
      </c>
    </row>
    <row r="52" spans="1:13" x14ac:dyDescent="0.2">
      <c r="A52" s="7"/>
      <c r="B52" s="7" t="s">
        <v>248</v>
      </c>
      <c r="C52" s="9">
        <v>0</v>
      </c>
      <c r="D52" s="9"/>
      <c r="E52" s="28">
        <f t="shared" si="14"/>
        <v>0</v>
      </c>
      <c r="G52">
        <v>2012.6</v>
      </c>
      <c r="H52" s="11"/>
      <c r="I52" s="11"/>
      <c r="J52" s="9"/>
      <c r="K52" s="9"/>
      <c r="L52" s="9"/>
      <c r="M52" s="9"/>
    </row>
    <row r="53" spans="1:13" x14ac:dyDescent="0.2">
      <c r="A53" s="7">
        <v>2013</v>
      </c>
      <c r="B53" s="7" t="s">
        <v>247</v>
      </c>
      <c r="C53" s="9">
        <v>0</v>
      </c>
      <c r="D53" s="9">
        <v>0</v>
      </c>
      <c r="E53" s="28">
        <f t="shared" si="14"/>
        <v>0</v>
      </c>
      <c r="G53">
        <v>2013.4</v>
      </c>
      <c r="H53" s="11">
        <v>0</v>
      </c>
      <c r="I53" s="11">
        <v>8.3333333333333329E-2</v>
      </c>
      <c r="J53" s="9">
        <v>0</v>
      </c>
      <c r="K53" s="9">
        <v>8.3333333333333329E-2</v>
      </c>
      <c r="L53" s="9">
        <f t="shared" si="19"/>
        <v>0</v>
      </c>
      <c r="M53" s="9">
        <f t="shared" si="20"/>
        <v>8.3333333333333329E-2</v>
      </c>
    </row>
    <row r="54" spans="1:13" x14ac:dyDescent="0.2">
      <c r="A54" s="7"/>
      <c r="B54" s="7" t="s">
        <v>248</v>
      </c>
      <c r="C54" s="9">
        <v>0</v>
      </c>
      <c r="D54" s="9"/>
      <c r="E54" s="28">
        <f t="shared" si="14"/>
        <v>0</v>
      </c>
      <c r="G54">
        <v>2013.6</v>
      </c>
      <c r="H54" s="11"/>
      <c r="I54" s="11"/>
      <c r="J54" s="9"/>
      <c r="K54" s="9"/>
      <c r="L54" s="9"/>
      <c r="M54" s="9"/>
    </row>
    <row r="55" spans="1:13" x14ac:dyDescent="0.2">
      <c r="A55" s="7">
        <v>2014</v>
      </c>
      <c r="B55" s="7" t="s">
        <v>247</v>
      </c>
      <c r="C55" s="9">
        <v>0</v>
      </c>
      <c r="D55" s="9">
        <v>0</v>
      </c>
      <c r="E55" s="28">
        <f t="shared" si="14"/>
        <v>0</v>
      </c>
      <c r="G55">
        <v>2014.4</v>
      </c>
      <c r="H55" s="11">
        <v>0</v>
      </c>
      <c r="I55" s="11">
        <v>8.3333333333333329E-2</v>
      </c>
      <c r="J55" s="9">
        <v>0</v>
      </c>
      <c r="K55" s="9">
        <v>8.3333333333333329E-2</v>
      </c>
      <c r="L55" s="9">
        <f t="shared" si="19"/>
        <v>0</v>
      </c>
      <c r="M55" s="9">
        <f t="shared" si="20"/>
        <v>8.3333333333333329E-2</v>
      </c>
    </row>
    <row r="56" spans="1:13" x14ac:dyDescent="0.2">
      <c r="A56" s="7"/>
      <c r="B56" s="7" t="s">
        <v>248</v>
      </c>
      <c r="C56" s="9">
        <v>0</v>
      </c>
      <c r="D56" s="9">
        <v>0</v>
      </c>
      <c r="E56" s="28">
        <f t="shared" si="14"/>
        <v>0</v>
      </c>
      <c r="G56">
        <v>2014.6</v>
      </c>
      <c r="H56" s="11">
        <v>0</v>
      </c>
      <c r="I56" s="11">
        <v>0.04</v>
      </c>
      <c r="L56" s="9">
        <f t="shared" ref="L56:L59" si="21">AVERAGE(H56,J56)</f>
        <v>0</v>
      </c>
      <c r="M56" s="9">
        <f t="shared" ref="M56:M59" si="22">AVERAGE(I56,K56)</f>
        <v>0.04</v>
      </c>
    </row>
    <row r="57" spans="1:13" x14ac:dyDescent="0.2">
      <c r="A57" s="7">
        <v>2015</v>
      </c>
      <c r="B57" s="7" t="s">
        <v>247</v>
      </c>
      <c r="C57" s="9">
        <v>0</v>
      </c>
      <c r="D57" s="9">
        <v>0</v>
      </c>
      <c r="E57" s="28">
        <f t="shared" si="14"/>
        <v>0</v>
      </c>
      <c r="G57">
        <v>2015.4</v>
      </c>
      <c r="H57" s="11">
        <v>0</v>
      </c>
      <c r="I57" s="11">
        <v>0.04</v>
      </c>
      <c r="L57" s="9">
        <f t="shared" si="21"/>
        <v>0</v>
      </c>
      <c r="M57" s="9">
        <f t="shared" si="22"/>
        <v>0.04</v>
      </c>
    </row>
    <row r="58" spans="1:13" x14ac:dyDescent="0.2">
      <c r="A58" s="7"/>
      <c r="B58" s="7" t="s">
        <v>248</v>
      </c>
      <c r="C58" s="9">
        <v>0</v>
      </c>
      <c r="D58" s="9">
        <v>0</v>
      </c>
      <c r="E58" s="28">
        <v>0</v>
      </c>
      <c r="G58">
        <v>2015.6</v>
      </c>
      <c r="H58" s="11">
        <v>0</v>
      </c>
      <c r="I58" s="11">
        <v>0.04</v>
      </c>
      <c r="L58" s="9">
        <f t="shared" si="21"/>
        <v>0</v>
      </c>
      <c r="M58" s="7">
        <f t="shared" si="22"/>
        <v>0.04</v>
      </c>
    </row>
    <row r="59" spans="1:13" x14ac:dyDescent="0.2">
      <c r="A59" s="7">
        <v>2016</v>
      </c>
      <c r="B59" s="7" t="s">
        <v>247</v>
      </c>
      <c r="C59" s="9">
        <v>0</v>
      </c>
      <c r="D59" s="9">
        <v>0</v>
      </c>
      <c r="E59" s="28">
        <v>0</v>
      </c>
      <c r="G59">
        <v>2016.4</v>
      </c>
      <c r="H59" s="11">
        <v>0</v>
      </c>
      <c r="I59" s="11">
        <v>0.04</v>
      </c>
      <c r="L59" s="9">
        <f t="shared" si="21"/>
        <v>0</v>
      </c>
      <c r="M59" s="7">
        <f t="shared" si="22"/>
        <v>0.04</v>
      </c>
    </row>
    <row r="60" spans="1:13" x14ac:dyDescent="0.2">
      <c r="A60" s="7"/>
      <c r="B60" s="7" t="s">
        <v>248</v>
      </c>
      <c r="C60" s="9">
        <v>0</v>
      </c>
      <c r="D60" s="9">
        <v>0</v>
      </c>
      <c r="E60" s="28">
        <v>0</v>
      </c>
      <c r="G60">
        <v>2016.6</v>
      </c>
      <c r="H60" s="11">
        <v>0</v>
      </c>
      <c r="I60" s="11">
        <v>0.04</v>
      </c>
      <c r="L60" s="9">
        <f t="shared" ref="L60:L61" si="23">AVERAGE(H60,J60)</f>
        <v>0</v>
      </c>
      <c r="M60" s="7">
        <f t="shared" ref="M60:M62" si="24">AVERAGE(I60,K60)</f>
        <v>0.04</v>
      </c>
    </row>
    <row r="61" spans="1:13" x14ac:dyDescent="0.2">
      <c r="A61" s="7">
        <v>2017</v>
      </c>
      <c r="B61" s="7" t="s">
        <v>247</v>
      </c>
      <c r="C61" s="9">
        <v>0</v>
      </c>
      <c r="D61" s="9">
        <v>0</v>
      </c>
      <c r="E61" s="28">
        <v>0</v>
      </c>
      <c r="G61">
        <v>2017.4</v>
      </c>
      <c r="H61" s="11">
        <v>0</v>
      </c>
      <c r="I61" s="11">
        <v>0.04</v>
      </c>
      <c r="J61" s="9">
        <v>0</v>
      </c>
      <c r="L61" s="9">
        <f t="shared" si="23"/>
        <v>0</v>
      </c>
      <c r="M61" s="7">
        <f t="shared" si="24"/>
        <v>0.04</v>
      </c>
    </row>
    <row r="62" spans="1:13" x14ac:dyDescent="0.2">
      <c r="A62" s="7"/>
      <c r="B62" s="7" t="s">
        <v>248</v>
      </c>
      <c r="C62" s="9">
        <v>0</v>
      </c>
      <c r="D62" s="9">
        <v>0</v>
      </c>
      <c r="E62" s="28">
        <v>0</v>
      </c>
      <c r="G62">
        <v>2017.6</v>
      </c>
      <c r="H62" s="11">
        <v>0</v>
      </c>
      <c r="I62" s="11">
        <v>0.04</v>
      </c>
      <c r="L62" s="9">
        <v>0</v>
      </c>
      <c r="M62" s="7">
        <f t="shared" si="24"/>
        <v>0.04</v>
      </c>
    </row>
    <row r="63" spans="1:13" x14ac:dyDescent="0.2">
      <c r="A63" s="7">
        <v>2018</v>
      </c>
      <c r="B63" s="7" t="s">
        <v>247</v>
      </c>
      <c r="C63" s="9"/>
      <c r="D63" s="9"/>
      <c r="E63" s="28">
        <v>0</v>
      </c>
      <c r="G63">
        <v>2018.4</v>
      </c>
      <c r="H63" s="11">
        <v>0</v>
      </c>
      <c r="I63" s="11">
        <v>0.04</v>
      </c>
      <c r="L63" s="9"/>
    </row>
    <row r="64" spans="1:13" x14ac:dyDescent="0.2">
      <c r="A64" s="7"/>
      <c r="B64" s="7" t="s">
        <v>248</v>
      </c>
      <c r="C64" s="9"/>
      <c r="D64" s="9"/>
      <c r="E64" s="28">
        <v>0</v>
      </c>
      <c r="G64">
        <v>2018.6</v>
      </c>
      <c r="H64" s="11">
        <v>0</v>
      </c>
      <c r="I64" s="11">
        <v>0.04</v>
      </c>
      <c r="J64" s="9">
        <v>0</v>
      </c>
      <c r="K64" s="9">
        <v>0</v>
      </c>
      <c r="L64" s="9"/>
    </row>
    <row r="65" spans="1:9" x14ac:dyDescent="0.2">
      <c r="A65" s="7"/>
      <c r="C65" s="9"/>
      <c r="D65" s="9"/>
      <c r="H65" s="11"/>
      <c r="I65" s="11"/>
    </row>
    <row r="66" spans="1:9" x14ac:dyDescent="0.2">
      <c r="A66" s="185" t="s">
        <v>683</v>
      </c>
      <c r="C66" s="184">
        <f>AVERAGE(C6:C64)</f>
        <v>0.52741979166666664</v>
      </c>
      <c r="D66" s="184">
        <f>AVERAGE(D6:D64)</f>
        <v>0.33534592592592599</v>
      </c>
      <c r="E66" s="184">
        <f>AVERAGE(E6:E64)</f>
        <v>0.43975064655172419</v>
      </c>
    </row>
    <row r="67" spans="1:9" x14ac:dyDescent="0.2">
      <c r="A67" s="185" t="s">
        <v>390</v>
      </c>
      <c r="C67" s="258">
        <f>STDEV(C6:C65)</f>
        <v>0.68800260580711481</v>
      </c>
      <c r="D67" s="258">
        <f>STDEV(D6:D65)</f>
        <v>0.45324288989107425</v>
      </c>
      <c r="E67" s="258">
        <f>STDEV(E6:E65)</f>
        <v>0.56641333875777944</v>
      </c>
    </row>
    <row r="68" spans="1:9" x14ac:dyDescent="0.2">
      <c r="A68" s="185" t="s">
        <v>391</v>
      </c>
      <c r="C68" s="259">
        <f>C67/C66</f>
        <v>1.3044686920697466</v>
      </c>
      <c r="D68" s="259">
        <f>D67/D66</f>
        <v>1.3515682012227288</v>
      </c>
      <c r="E68" s="259">
        <f>E67/E66</f>
        <v>1.2880329868739759</v>
      </c>
    </row>
    <row r="69" spans="1:9" ht="13.5" thickBot="1" x14ac:dyDescent="0.25"/>
    <row r="70" spans="1:9" x14ac:dyDescent="0.2">
      <c r="A70" s="588" t="s">
        <v>683</v>
      </c>
      <c r="B70" s="120"/>
      <c r="C70" s="120"/>
      <c r="D70" s="120"/>
      <c r="E70" s="142"/>
    </row>
    <row r="71" spans="1:9" x14ac:dyDescent="0.2">
      <c r="A71" s="589" t="s">
        <v>681</v>
      </c>
      <c r="B71" s="22"/>
      <c r="C71" s="376">
        <f>AVERAGE(C7:C28)</f>
        <v>1.2274272727272726</v>
      </c>
      <c r="D71" s="376">
        <f>AVERAGE(D7:D28)</f>
        <v>0.76583333333333337</v>
      </c>
      <c r="E71" s="590">
        <f>AVERAGE(E7:E28)</f>
        <v>1.0373121212121212</v>
      </c>
    </row>
    <row r="72" spans="1:9" ht="13.5" thickBot="1" x14ac:dyDescent="0.25">
      <c r="A72" s="591" t="s">
        <v>682</v>
      </c>
      <c r="B72" s="3"/>
      <c r="C72" s="592">
        <f>AVERAGE(C29:C64)</f>
        <v>7.4473774509803942E-2</v>
      </c>
      <c r="D72" s="592">
        <f>AVERAGE(D29:D64)</f>
        <v>9.7835632183908061E-2</v>
      </c>
      <c r="E72" s="593">
        <f>AVERAGE(E29:E64)</f>
        <v>7.4574189814814798E-2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horizontalDpi="4294967292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10"/>
  <sheetViews>
    <sheetView tabSelected="1" workbookViewId="0">
      <pane ySplit="6" topLeftCell="A62" activePane="bottomLeft" state="frozenSplit"/>
      <selection activeCell="G3" sqref="G3"/>
      <selection pane="bottomLeft" activeCell="P52" sqref="P52"/>
    </sheetView>
  </sheetViews>
  <sheetFormatPr defaultRowHeight="12.75" x14ac:dyDescent="0.2"/>
  <cols>
    <col min="3" max="3" width="17.5703125" customWidth="1"/>
    <col min="4" max="5" width="16.140625" customWidth="1"/>
    <col min="6" max="6" width="11.42578125" customWidth="1"/>
    <col min="7" max="7" width="11.140625" customWidth="1"/>
    <col min="12" max="13" width="9.140625" style="40"/>
    <col min="17" max="17" width="12.140625" style="40" customWidth="1"/>
    <col min="18" max="18" width="11.7109375" style="40" customWidth="1"/>
    <col min="19" max="19" width="10.5703125" style="40" customWidth="1"/>
    <col min="20" max="20" width="10" style="40" customWidth="1"/>
  </cols>
  <sheetData>
    <row r="1" spans="1:24" ht="16.5" thickBot="1" x14ac:dyDescent="0.3">
      <c r="A1" s="388" t="s">
        <v>521</v>
      </c>
      <c r="B1" s="104"/>
      <c r="C1" s="104"/>
      <c r="D1" s="105"/>
      <c r="E1" s="105"/>
    </row>
    <row r="2" spans="1:24" x14ac:dyDescent="0.2">
      <c r="A2" s="37" t="s">
        <v>517</v>
      </c>
      <c r="G2" s="188" t="s">
        <v>408</v>
      </c>
    </row>
    <row r="3" spans="1:24" x14ac:dyDescent="0.2">
      <c r="A3" s="37" t="s">
        <v>518</v>
      </c>
    </row>
    <row r="4" spans="1:24" x14ac:dyDescent="0.2">
      <c r="A4" s="313" t="s">
        <v>522</v>
      </c>
      <c r="F4" s="99" t="s">
        <v>249</v>
      </c>
    </row>
    <row r="5" spans="1:24" ht="13.5" thickBot="1" x14ac:dyDescent="0.25">
      <c r="N5" s="474" t="s">
        <v>577</v>
      </c>
      <c r="O5" s="473" t="s">
        <v>573</v>
      </c>
      <c r="P5" s="473" t="s">
        <v>735</v>
      </c>
    </row>
    <row r="6" spans="1:24" ht="27" customHeight="1" thickBot="1" x14ac:dyDescent="0.25">
      <c r="A6" s="382" t="s">
        <v>16</v>
      </c>
      <c r="B6" s="383" t="s">
        <v>75</v>
      </c>
      <c r="C6" s="386" t="s">
        <v>519</v>
      </c>
      <c r="D6" s="200" t="s">
        <v>19</v>
      </c>
      <c r="E6" s="384" t="s">
        <v>20</v>
      </c>
      <c r="F6" s="374" t="s">
        <v>515</v>
      </c>
      <c r="G6" s="374" t="s">
        <v>516</v>
      </c>
      <c r="H6" s="387" t="s">
        <v>520</v>
      </c>
      <c r="I6" s="22"/>
      <c r="J6" s="22"/>
      <c r="K6" s="475" t="s">
        <v>16</v>
      </c>
      <c r="L6" s="390" t="s">
        <v>566</v>
      </c>
      <c r="M6" s="390" t="s">
        <v>567</v>
      </c>
      <c r="N6" s="470" t="s">
        <v>575</v>
      </c>
      <c r="O6" s="471" t="s">
        <v>739</v>
      </c>
      <c r="P6" s="471" t="s">
        <v>576</v>
      </c>
      <c r="Q6" s="557" t="s">
        <v>608</v>
      </c>
      <c r="R6" s="557" t="s">
        <v>609</v>
      </c>
      <c r="S6" s="557" t="s">
        <v>610</v>
      </c>
      <c r="T6" s="557" t="s">
        <v>610</v>
      </c>
      <c r="U6" s="22"/>
      <c r="V6" s="22"/>
      <c r="W6" s="22"/>
      <c r="X6" s="22"/>
    </row>
    <row r="7" spans="1:24" ht="14.1" customHeight="1" x14ac:dyDescent="0.2">
      <c r="A7" s="594">
        <v>1973</v>
      </c>
      <c r="B7" s="7" t="s">
        <v>247</v>
      </c>
      <c r="C7" s="595"/>
      <c r="D7" s="594"/>
      <c r="E7" s="594"/>
      <c r="F7" s="597"/>
      <c r="G7" s="374"/>
      <c r="H7" s="387"/>
      <c r="I7" s="22"/>
      <c r="J7" s="22"/>
      <c r="K7" s="475"/>
      <c r="L7" s="390"/>
      <c r="M7" s="390"/>
      <c r="N7" s="470"/>
      <c r="O7" s="471"/>
      <c r="P7" s="471"/>
      <c r="Q7" s="557"/>
      <c r="R7" s="557"/>
      <c r="S7" s="557"/>
      <c r="T7" s="557"/>
      <c r="U7" s="22"/>
      <c r="V7" s="22"/>
      <c r="W7" s="22"/>
      <c r="X7" s="22"/>
    </row>
    <row r="8" spans="1:24" ht="14.1" customHeight="1" x14ac:dyDescent="0.2">
      <c r="A8" s="594"/>
      <c r="B8" s="7" t="s">
        <v>248</v>
      </c>
      <c r="C8" s="596">
        <v>6.6740000000000004</v>
      </c>
      <c r="D8" s="598">
        <v>3.8029999999999999</v>
      </c>
      <c r="E8" s="598">
        <v>11.71</v>
      </c>
      <c r="F8" s="381">
        <f t="shared" ref="F8:F44" si="0">C8-D8</f>
        <v>2.8710000000000004</v>
      </c>
      <c r="G8" s="380">
        <f t="shared" ref="G8:G44" si="1">E8-C8</f>
        <v>5.0360000000000005</v>
      </c>
      <c r="H8" s="599">
        <v>1973.6</v>
      </c>
      <c r="I8" s="22"/>
      <c r="J8" s="22"/>
      <c r="K8" s="475"/>
      <c r="L8" s="390"/>
      <c r="M8" s="390"/>
      <c r="N8" s="470"/>
      <c r="O8" s="471"/>
      <c r="P8" s="471"/>
      <c r="Q8" s="557"/>
      <c r="R8" s="557"/>
      <c r="S8" s="557"/>
      <c r="T8" s="557"/>
      <c r="U8" s="22"/>
      <c r="V8" s="22"/>
      <c r="W8" s="22"/>
      <c r="X8" s="22"/>
    </row>
    <row r="9" spans="1:24" ht="14.1" customHeight="1" x14ac:dyDescent="0.2">
      <c r="A9" s="594">
        <v>1974</v>
      </c>
      <c r="B9" s="7" t="s">
        <v>247</v>
      </c>
      <c r="C9" s="596">
        <v>1.2455516014234875</v>
      </c>
      <c r="D9" s="598">
        <v>1.0676156583629892</v>
      </c>
      <c r="E9" s="598">
        <v>1.7793594306049823</v>
      </c>
      <c r="F9" s="381">
        <f t="shared" si="0"/>
        <v>0.17793594306049831</v>
      </c>
      <c r="G9" s="380">
        <f t="shared" si="1"/>
        <v>0.53380782918149472</v>
      </c>
      <c r="H9" s="599">
        <v>1974.4</v>
      </c>
      <c r="I9" s="22"/>
      <c r="J9" s="22"/>
      <c r="K9" s="475"/>
      <c r="L9" s="390"/>
      <c r="M9" s="390"/>
      <c r="N9" s="470"/>
      <c r="O9" s="471"/>
      <c r="P9" s="471"/>
      <c r="Q9" s="557"/>
      <c r="R9" s="557"/>
      <c r="S9" s="557"/>
      <c r="T9" s="557"/>
      <c r="U9" s="22"/>
      <c r="V9" s="22"/>
      <c r="W9" s="22"/>
      <c r="X9" s="22"/>
    </row>
    <row r="10" spans="1:24" ht="14.1" customHeight="1" x14ac:dyDescent="0.2">
      <c r="A10" s="594"/>
      <c r="B10" s="7" t="s">
        <v>248</v>
      </c>
      <c r="C10" s="596">
        <v>4.7080000000000002</v>
      </c>
      <c r="D10" s="598">
        <v>2.68</v>
      </c>
      <c r="E10" s="598">
        <v>8.27</v>
      </c>
      <c r="F10" s="381">
        <f t="shared" si="0"/>
        <v>2.028</v>
      </c>
      <c r="G10" s="380">
        <f t="shared" si="1"/>
        <v>3.5619999999999994</v>
      </c>
      <c r="H10" s="599">
        <v>1974.6</v>
      </c>
      <c r="I10" s="22"/>
      <c r="J10" s="22"/>
      <c r="K10" s="475"/>
      <c r="L10" s="390"/>
      <c r="M10" s="390"/>
      <c r="N10" s="470"/>
      <c r="O10" s="471"/>
      <c r="P10" s="471"/>
      <c r="Q10" s="557"/>
      <c r="R10" s="557"/>
      <c r="S10" s="557"/>
      <c r="T10" s="557"/>
      <c r="U10" s="22"/>
      <c r="V10" s="22"/>
      <c r="W10" s="22"/>
      <c r="X10" s="22"/>
    </row>
    <row r="11" spans="1:24" ht="14.1" customHeight="1" x14ac:dyDescent="0.2">
      <c r="A11" s="594">
        <v>1975</v>
      </c>
      <c r="B11" s="7" t="s">
        <v>247</v>
      </c>
      <c r="C11" s="596">
        <v>0.88967971530249113</v>
      </c>
      <c r="D11" s="598">
        <v>0.71174377224199292</v>
      </c>
      <c r="E11" s="598">
        <v>1.4234875444839858</v>
      </c>
      <c r="F11" s="381">
        <f t="shared" si="0"/>
        <v>0.1779359430604982</v>
      </c>
      <c r="G11" s="380">
        <f t="shared" si="1"/>
        <v>0.53380782918149472</v>
      </c>
      <c r="H11" s="599">
        <v>1975.4</v>
      </c>
      <c r="I11" s="22"/>
      <c r="J11" s="22"/>
      <c r="K11" s="475"/>
      <c r="L11" s="390"/>
      <c r="M11" s="390"/>
      <c r="N11" s="470"/>
      <c r="O11" s="471"/>
      <c r="P11" s="471"/>
      <c r="Q11" s="557"/>
      <c r="R11" s="557"/>
      <c r="S11" s="557"/>
      <c r="T11" s="557"/>
      <c r="U11" s="22"/>
      <c r="V11" s="22"/>
      <c r="W11" s="22"/>
      <c r="X11" s="22"/>
    </row>
    <row r="12" spans="1:24" ht="14.1" customHeight="1" x14ac:dyDescent="0.2">
      <c r="A12" s="594"/>
      <c r="B12" s="7" t="s">
        <v>248</v>
      </c>
      <c r="C12" s="596">
        <v>11.36</v>
      </c>
      <c r="D12" s="598">
        <v>8.1259999999999994</v>
      </c>
      <c r="E12" s="598">
        <v>15.88</v>
      </c>
      <c r="F12" s="381">
        <f t="shared" si="0"/>
        <v>3.234</v>
      </c>
      <c r="G12" s="380">
        <f t="shared" si="1"/>
        <v>4.5200000000000014</v>
      </c>
      <c r="H12" s="599">
        <v>1975.6</v>
      </c>
      <c r="I12" s="22"/>
      <c r="J12" s="22"/>
      <c r="K12" s="475"/>
      <c r="L12" s="390"/>
      <c r="M12" s="390"/>
      <c r="N12" s="470"/>
      <c r="O12" s="471"/>
      <c r="P12" s="471"/>
      <c r="Q12" s="557"/>
      <c r="R12" s="557"/>
      <c r="S12" s="557"/>
      <c r="T12" s="557"/>
      <c r="U12" s="22"/>
      <c r="V12" s="22"/>
      <c r="W12" s="22"/>
      <c r="X12" s="22"/>
    </row>
    <row r="13" spans="1:24" ht="14.1" customHeight="1" x14ac:dyDescent="0.2">
      <c r="A13" s="594">
        <v>1976</v>
      </c>
      <c r="B13" s="7" t="s">
        <v>247</v>
      </c>
      <c r="C13" s="596">
        <v>1.6014234875444839</v>
      </c>
      <c r="D13" s="598">
        <v>1.4234875444839858</v>
      </c>
      <c r="E13" s="598">
        <v>2.1352313167259784</v>
      </c>
      <c r="F13" s="381">
        <f t="shared" si="0"/>
        <v>0.17793594306049809</v>
      </c>
      <c r="G13" s="380">
        <f t="shared" si="1"/>
        <v>0.5338078291814945</v>
      </c>
      <c r="H13" s="599">
        <v>1976.4</v>
      </c>
      <c r="I13" s="22"/>
      <c r="J13" s="22"/>
      <c r="K13" s="475"/>
      <c r="L13" s="390"/>
      <c r="M13" s="390"/>
      <c r="N13" s="470"/>
      <c r="O13" s="471"/>
      <c r="P13" s="471"/>
      <c r="Q13" s="557"/>
      <c r="R13" s="557"/>
      <c r="S13" s="557"/>
      <c r="T13" s="557"/>
      <c r="U13" s="22"/>
      <c r="V13" s="22"/>
      <c r="W13" s="22"/>
      <c r="X13" s="22"/>
    </row>
    <row r="14" spans="1:24" ht="14.1" customHeight="1" x14ac:dyDescent="0.2">
      <c r="A14" s="594"/>
      <c r="B14" s="7" t="s">
        <v>248</v>
      </c>
      <c r="C14" s="596">
        <v>3.73</v>
      </c>
      <c r="D14" s="598">
        <v>2.0699999999999998</v>
      </c>
      <c r="E14" s="598">
        <v>6.72</v>
      </c>
      <c r="F14" s="381">
        <f t="shared" si="0"/>
        <v>1.6600000000000001</v>
      </c>
      <c r="G14" s="380">
        <f t="shared" si="1"/>
        <v>2.9899999999999998</v>
      </c>
      <c r="H14" s="599">
        <v>1976.6</v>
      </c>
      <c r="I14" s="22"/>
      <c r="J14" s="22"/>
      <c r="K14" s="475"/>
      <c r="L14" s="390"/>
      <c r="M14" s="390"/>
      <c r="N14" s="470"/>
      <c r="O14" s="471"/>
      <c r="P14" s="471"/>
      <c r="Q14" s="557"/>
      <c r="R14" s="557"/>
      <c r="S14" s="557"/>
      <c r="T14" s="557"/>
      <c r="U14" s="22"/>
      <c r="V14" s="22"/>
      <c r="W14" s="22"/>
      <c r="X14" s="22"/>
    </row>
    <row r="15" spans="1:24" ht="14.1" customHeight="1" x14ac:dyDescent="0.2">
      <c r="A15" s="594">
        <v>1977</v>
      </c>
      <c r="B15" s="7" t="s">
        <v>247</v>
      </c>
      <c r="C15" s="596">
        <v>0.61699999999999999</v>
      </c>
      <c r="D15" s="598">
        <v>0.5228666666666667</v>
      </c>
      <c r="E15" s="598">
        <v>1.1486000000000001</v>
      </c>
      <c r="F15" s="381">
        <f t="shared" si="0"/>
        <v>9.4133333333333291E-2</v>
      </c>
      <c r="G15" s="380">
        <f t="shared" si="1"/>
        <v>0.53160000000000007</v>
      </c>
      <c r="H15" s="599">
        <v>1977.4</v>
      </c>
      <c r="I15" s="22"/>
      <c r="J15" s="22"/>
      <c r="K15" s="475"/>
      <c r="L15" s="390"/>
      <c r="M15" s="390"/>
      <c r="N15" s="470"/>
      <c r="O15" s="471"/>
      <c r="P15" s="471"/>
      <c r="Q15" s="557"/>
      <c r="R15" s="557"/>
      <c r="S15" s="557"/>
      <c r="T15" s="557"/>
      <c r="U15" s="22"/>
      <c r="V15" s="22"/>
      <c r="W15" s="22"/>
      <c r="X15" s="22"/>
    </row>
    <row r="16" spans="1:24" ht="14.1" customHeight="1" x14ac:dyDescent="0.2">
      <c r="A16" s="594"/>
      <c r="B16" s="7" t="s">
        <v>248</v>
      </c>
      <c r="C16" s="596">
        <v>3.0646666666666662</v>
      </c>
      <c r="D16" s="598">
        <v>1.716</v>
      </c>
      <c r="E16" s="598">
        <v>5.7570000000000006</v>
      </c>
      <c r="F16" s="381">
        <f t="shared" si="0"/>
        <v>1.3486666666666662</v>
      </c>
      <c r="G16" s="380">
        <f t="shared" si="1"/>
        <v>2.6923333333333344</v>
      </c>
      <c r="H16" s="599">
        <v>1977.6</v>
      </c>
      <c r="I16" s="22"/>
      <c r="J16" s="22"/>
      <c r="K16" s="475"/>
      <c r="L16" s="390"/>
      <c r="M16" s="390"/>
      <c r="N16" s="470"/>
      <c r="O16" s="471"/>
      <c r="P16" s="471"/>
      <c r="Q16" s="557"/>
      <c r="R16" s="557"/>
      <c r="S16" s="557"/>
      <c r="T16" s="557"/>
      <c r="U16" s="22"/>
      <c r="V16" s="22"/>
      <c r="W16" s="22"/>
      <c r="X16" s="22"/>
    </row>
    <row r="17" spans="1:24" ht="14.1" customHeight="1" x14ac:dyDescent="0.2">
      <c r="A17" s="594">
        <v>1978</v>
      </c>
      <c r="B17" s="7" t="s">
        <v>247</v>
      </c>
      <c r="C17" s="596">
        <v>0.97299999999999998</v>
      </c>
      <c r="D17" s="598">
        <v>0.33100000000000002</v>
      </c>
      <c r="E17" s="598">
        <v>2.85</v>
      </c>
      <c r="F17" s="381">
        <f t="shared" si="0"/>
        <v>0.6419999999999999</v>
      </c>
      <c r="G17" s="380">
        <f t="shared" si="1"/>
        <v>1.8770000000000002</v>
      </c>
      <c r="H17" s="599">
        <v>1978.4</v>
      </c>
      <c r="I17" s="22"/>
      <c r="J17" s="22"/>
      <c r="K17" s="475"/>
      <c r="L17" s="390"/>
      <c r="M17" s="390"/>
      <c r="N17" s="470"/>
      <c r="O17" s="471"/>
      <c r="P17" s="471"/>
      <c r="Q17" s="557"/>
      <c r="R17" s="557"/>
      <c r="S17" s="557"/>
      <c r="T17" s="557">
        <f>AVERAGE(B8:C34)</f>
        <v>3.8238821288249234</v>
      </c>
      <c r="U17" s="22"/>
      <c r="V17" s="22"/>
      <c r="W17" s="22"/>
      <c r="X17" s="22"/>
    </row>
    <row r="18" spans="1:24" ht="14.1" customHeight="1" x14ac:dyDescent="0.2">
      <c r="A18" s="594"/>
      <c r="B18" s="7" t="s">
        <v>248</v>
      </c>
      <c r="C18" s="596">
        <v>4.4930000000000003</v>
      </c>
      <c r="D18" s="598">
        <v>2.5539999999999998</v>
      </c>
      <c r="E18" s="598">
        <v>7.9050000000000002</v>
      </c>
      <c r="F18" s="381">
        <f t="shared" si="0"/>
        <v>1.9390000000000005</v>
      </c>
      <c r="G18" s="380">
        <f t="shared" si="1"/>
        <v>3.4119999999999999</v>
      </c>
      <c r="H18" s="599">
        <v>1978.6</v>
      </c>
      <c r="I18" s="22"/>
      <c r="J18" s="22"/>
      <c r="K18" s="475"/>
      <c r="L18" s="390"/>
      <c r="M18" s="390"/>
      <c r="N18" s="470"/>
      <c r="O18" s="471"/>
      <c r="P18" s="471"/>
      <c r="Q18" s="557"/>
      <c r="R18" s="557"/>
      <c r="S18" s="557"/>
      <c r="T18" s="557"/>
      <c r="U18" s="22"/>
      <c r="V18" s="22"/>
      <c r="W18" s="22"/>
      <c r="X18" s="22"/>
    </row>
    <row r="19" spans="1:24" ht="14.1" customHeight="1" x14ac:dyDescent="0.2">
      <c r="A19" s="594">
        <v>1979</v>
      </c>
      <c r="B19" s="7" t="s">
        <v>247</v>
      </c>
      <c r="C19" s="596">
        <v>0.97299999999999998</v>
      </c>
      <c r="D19" s="598">
        <v>0.33100000000000002</v>
      </c>
      <c r="E19" s="598">
        <v>2.85</v>
      </c>
      <c r="F19" s="381">
        <f t="shared" si="0"/>
        <v>0.6419999999999999</v>
      </c>
      <c r="G19" s="380">
        <f t="shared" si="1"/>
        <v>1.8770000000000002</v>
      </c>
      <c r="H19" s="599">
        <v>1979.4</v>
      </c>
      <c r="I19" s="22"/>
      <c r="J19" s="22"/>
      <c r="K19" s="475"/>
      <c r="L19" s="390"/>
      <c r="M19" s="390"/>
      <c r="N19" s="470"/>
      <c r="O19" s="471"/>
      <c r="P19" s="471"/>
      <c r="Q19" s="557"/>
      <c r="R19" s="557"/>
      <c r="S19" s="557"/>
      <c r="T19" s="557"/>
      <c r="U19" s="22"/>
      <c r="V19" s="22"/>
      <c r="W19" s="22"/>
      <c r="X19" s="22"/>
    </row>
    <row r="20" spans="1:24" ht="14.1" customHeight="1" x14ac:dyDescent="0.2">
      <c r="A20" s="594"/>
      <c r="B20" s="7" t="s">
        <v>248</v>
      </c>
      <c r="C20" s="596">
        <v>5.89</v>
      </c>
      <c r="D20" s="598">
        <v>4.8099999999999996</v>
      </c>
      <c r="E20" s="598">
        <v>7.58</v>
      </c>
      <c r="F20" s="381">
        <f t="shared" si="0"/>
        <v>1.08</v>
      </c>
      <c r="G20" s="380">
        <f t="shared" si="1"/>
        <v>1.6900000000000004</v>
      </c>
      <c r="H20" s="599">
        <v>1979.6</v>
      </c>
      <c r="I20" s="22"/>
      <c r="J20" s="22"/>
      <c r="K20" s="475"/>
      <c r="L20" s="390"/>
      <c r="M20" s="390"/>
      <c r="N20" s="470"/>
      <c r="O20" s="471"/>
      <c r="P20" s="471"/>
      <c r="Q20" s="557"/>
      <c r="R20" s="557"/>
      <c r="S20" s="557"/>
      <c r="T20" s="557"/>
      <c r="U20" s="22"/>
      <c r="V20" s="22"/>
      <c r="W20" s="22"/>
      <c r="X20" s="22"/>
    </row>
    <row r="21" spans="1:24" ht="14.1" customHeight="1" x14ac:dyDescent="0.2">
      <c r="A21" s="594">
        <v>1980</v>
      </c>
      <c r="B21" s="7" t="s">
        <v>247</v>
      </c>
      <c r="C21" s="596">
        <v>1.5831134564643798</v>
      </c>
      <c r="D21" s="598">
        <v>1.3192612137203166</v>
      </c>
      <c r="E21" s="598">
        <v>1.8469656992084433</v>
      </c>
      <c r="F21" s="381">
        <f t="shared" si="0"/>
        <v>0.26385224274406327</v>
      </c>
      <c r="G21" s="380">
        <f t="shared" si="1"/>
        <v>0.26385224274406349</v>
      </c>
      <c r="H21" s="599">
        <v>1980.4</v>
      </c>
      <c r="I21" s="22"/>
      <c r="J21" s="22"/>
      <c r="K21" s="40">
        <v>1973</v>
      </c>
      <c r="L21" s="390"/>
      <c r="M21" s="600">
        <f>C8</f>
        <v>6.6740000000000004</v>
      </c>
      <c r="N21" s="469"/>
      <c r="O21" s="472">
        <f t="shared" ref="O21:O34" si="2">L22/M21</f>
        <v>0.18662745001850276</v>
      </c>
      <c r="P21" s="472">
        <f>LN(O21)</f>
        <v>-1.6786408951794687</v>
      </c>
      <c r="Q21" s="557"/>
      <c r="R21" s="557"/>
      <c r="S21" s="557"/>
      <c r="T21" s="557"/>
      <c r="U21" s="22"/>
      <c r="V21" s="22"/>
      <c r="W21" s="22"/>
      <c r="X21" s="22"/>
    </row>
    <row r="22" spans="1:24" ht="14.1" customHeight="1" x14ac:dyDescent="0.2">
      <c r="A22" s="594"/>
      <c r="B22" s="7" t="s">
        <v>248</v>
      </c>
      <c r="C22" s="596">
        <v>4.8696250000000001</v>
      </c>
      <c r="D22" s="598">
        <v>3.6655590287874382</v>
      </c>
      <c r="E22" s="598">
        <v>7.0804098575167203</v>
      </c>
      <c r="F22" s="381">
        <f t="shared" si="0"/>
        <v>1.2040659712125619</v>
      </c>
      <c r="G22" s="380">
        <f t="shared" si="1"/>
        <v>2.2107848575167202</v>
      </c>
      <c r="H22" s="599">
        <v>1980.6</v>
      </c>
      <c r="I22" s="22"/>
      <c r="J22" s="22"/>
      <c r="K22" s="40">
        <v>1974</v>
      </c>
      <c r="L22" s="600">
        <f>C9</f>
        <v>1.2455516014234875</v>
      </c>
      <c r="M22" s="600">
        <f>C10</f>
        <v>4.7080000000000002</v>
      </c>
      <c r="N22" s="469">
        <f t="shared" ref="N22:N34" si="3">M22/L22</f>
        <v>3.7798514285714289</v>
      </c>
      <c r="O22" s="472">
        <f t="shared" si="2"/>
        <v>0.18897190214581375</v>
      </c>
      <c r="P22" s="472">
        <f t="shared" ref="P22:P65" si="4">LN(O22)</f>
        <v>-1.6661569408695296</v>
      </c>
      <c r="Q22" s="557"/>
      <c r="R22" s="557"/>
      <c r="S22" s="557"/>
      <c r="T22" s="557"/>
      <c r="U22" s="22"/>
      <c r="V22" s="22"/>
      <c r="W22" s="22"/>
      <c r="X22" s="22"/>
    </row>
    <row r="23" spans="1:24" ht="14.1" customHeight="1" x14ac:dyDescent="0.2">
      <c r="A23" s="594">
        <v>1981</v>
      </c>
      <c r="B23" s="7" t="s">
        <v>247</v>
      </c>
      <c r="C23" s="596">
        <v>0.84150013687380232</v>
      </c>
      <c r="D23" s="598">
        <v>0.84150013687380232</v>
      </c>
      <c r="E23" s="598">
        <v>1.1732822337804545</v>
      </c>
      <c r="F23" s="381">
        <f t="shared" si="0"/>
        <v>0</v>
      </c>
      <c r="G23" s="380">
        <f t="shared" si="1"/>
        <v>0.33178209690665217</v>
      </c>
      <c r="H23" s="599">
        <v>1981.4</v>
      </c>
      <c r="I23" s="22"/>
      <c r="J23" s="22"/>
      <c r="K23" s="40">
        <v>1975</v>
      </c>
      <c r="L23" s="600">
        <f>C11</f>
        <v>0.88967971530249113</v>
      </c>
      <c r="M23" s="600">
        <f>C12</f>
        <v>11.36</v>
      </c>
      <c r="N23" s="469">
        <f t="shared" si="3"/>
        <v>12.76864</v>
      </c>
      <c r="O23" s="472">
        <f t="shared" si="2"/>
        <v>0.14097037742469049</v>
      </c>
      <c r="P23" s="472">
        <f t="shared" si="4"/>
        <v>-1.9592054998623856</v>
      </c>
      <c r="Q23" s="557"/>
      <c r="R23" s="557"/>
      <c r="S23" s="557"/>
      <c r="T23" s="557"/>
      <c r="U23" s="22"/>
      <c r="V23" s="22"/>
      <c r="W23" s="22"/>
      <c r="X23" s="22"/>
    </row>
    <row r="24" spans="1:24" ht="14.1" customHeight="1" x14ac:dyDescent="0.2">
      <c r="A24" s="594"/>
      <c r="B24" s="7" t="s">
        <v>248</v>
      </c>
      <c r="C24" s="596">
        <v>1.0676156583629892</v>
      </c>
      <c r="D24" s="598">
        <v>1.0676156583629892</v>
      </c>
      <c r="E24" s="598">
        <v>1.4234875444839858</v>
      </c>
      <c r="F24" s="381">
        <f t="shared" si="0"/>
        <v>0</v>
      </c>
      <c r="G24" s="380">
        <f t="shared" si="1"/>
        <v>0.35587188612099663</v>
      </c>
      <c r="H24" s="599">
        <v>1981.6</v>
      </c>
      <c r="I24" s="22"/>
      <c r="J24" s="22"/>
      <c r="K24" s="40">
        <v>1976</v>
      </c>
      <c r="L24" s="600">
        <f>C13</f>
        <v>1.6014234875444839</v>
      </c>
      <c r="M24" s="600">
        <f>C14</f>
        <v>3.73</v>
      </c>
      <c r="N24" s="469">
        <f t="shared" si="3"/>
        <v>2.3291777777777778</v>
      </c>
      <c r="O24" s="472">
        <f t="shared" si="2"/>
        <v>0.16541554959785523</v>
      </c>
      <c r="P24" s="472">
        <f t="shared" si="4"/>
        <v>-1.7992944887324733</v>
      </c>
      <c r="Q24" s="557"/>
      <c r="R24" s="557"/>
      <c r="S24" s="557"/>
      <c r="T24" s="557"/>
      <c r="U24" s="22"/>
      <c r="V24" s="22"/>
      <c r="W24" s="22"/>
      <c r="X24" s="22"/>
    </row>
    <row r="25" spans="1:24" ht="14.1" customHeight="1" x14ac:dyDescent="0.2">
      <c r="A25" s="594">
        <v>1982</v>
      </c>
      <c r="B25" s="7" t="s">
        <v>247</v>
      </c>
      <c r="C25" s="596">
        <v>0.35587188612099646</v>
      </c>
      <c r="D25" s="598">
        <v>0.35587188612099646</v>
      </c>
      <c r="E25" s="598">
        <v>0.71174377224199292</v>
      </c>
      <c r="F25" s="381">
        <f t="shared" si="0"/>
        <v>0</v>
      </c>
      <c r="G25" s="380">
        <f t="shared" si="1"/>
        <v>0.35587188612099646</v>
      </c>
      <c r="H25" s="599">
        <v>1982.4</v>
      </c>
      <c r="I25" s="22"/>
      <c r="J25" s="22"/>
      <c r="K25" s="40">
        <v>1977</v>
      </c>
      <c r="L25" s="600">
        <f>C15</f>
        <v>0.61699999999999999</v>
      </c>
      <c r="M25" s="600">
        <f>C16</f>
        <v>3.0646666666666662</v>
      </c>
      <c r="N25" s="469">
        <f t="shared" si="3"/>
        <v>4.9670448406266878</v>
      </c>
      <c r="O25" s="472">
        <f t="shared" si="2"/>
        <v>0.31748966717424409</v>
      </c>
      <c r="P25" s="472">
        <f t="shared" si="4"/>
        <v>-1.1473100055120584</v>
      </c>
      <c r="Q25" s="557"/>
      <c r="R25" s="557"/>
      <c r="S25" s="557"/>
      <c r="T25" s="557"/>
      <c r="U25" s="22"/>
      <c r="V25" s="22"/>
      <c r="W25" s="22"/>
      <c r="X25" s="22"/>
    </row>
    <row r="26" spans="1:24" ht="14.1" customHeight="1" x14ac:dyDescent="0.2">
      <c r="A26" s="594"/>
      <c r="B26" s="7" t="s">
        <v>248</v>
      </c>
      <c r="C26" s="596">
        <v>0.17793594306049823</v>
      </c>
      <c r="D26" s="598">
        <v>0</v>
      </c>
      <c r="E26" s="598">
        <v>0.35587188612099646</v>
      </c>
      <c r="F26" s="381">
        <f t="shared" si="0"/>
        <v>0.17793594306049823</v>
      </c>
      <c r="G26" s="380">
        <f t="shared" si="1"/>
        <v>0.17793594306049823</v>
      </c>
      <c r="H26" s="599">
        <v>1982.6</v>
      </c>
      <c r="I26" s="22"/>
      <c r="J26" s="22"/>
      <c r="K26" s="40">
        <v>1978</v>
      </c>
      <c r="L26" s="600">
        <f>C17</f>
        <v>0.97299999999999998</v>
      </c>
      <c r="M26" s="600">
        <f>C18</f>
        <v>4.4930000000000003</v>
      </c>
      <c r="N26" s="469">
        <f t="shared" si="3"/>
        <v>4.617677286742035</v>
      </c>
      <c r="O26" s="472">
        <f t="shared" si="2"/>
        <v>0.21655909192076561</v>
      </c>
      <c r="P26" s="472">
        <f t="shared" si="4"/>
        <v>-1.529891826884155</v>
      </c>
      <c r="Q26" s="557"/>
      <c r="R26" s="557"/>
      <c r="S26" s="557"/>
      <c r="T26" s="557"/>
      <c r="U26" s="22"/>
      <c r="V26" s="22"/>
      <c r="W26" s="22"/>
      <c r="X26" s="22"/>
    </row>
    <row r="27" spans="1:24" ht="14.1" customHeight="1" x14ac:dyDescent="0.2">
      <c r="A27" s="594">
        <v>1983</v>
      </c>
      <c r="B27" s="7" t="s">
        <v>247</v>
      </c>
      <c r="C27" s="596">
        <v>0.84460260972716483</v>
      </c>
      <c r="D27" s="598">
        <v>0.84460260972716483</v>
      </c>
      <c r="E27" s="598">
        <v>1.367141162514828</v>
      </c>
      <c r="F27" s="381">
        <f t="shared" si="0"/>
        <v>0</v>
      </c>
      <c r="G27" s="380">
        <f t="shared" si="1"/>
        <v>0.52253855278766315</v>
      </c>
      <c r="H27" s="599">
        <v>1983.4</v>
      </c>
      <c r="I27" s="22"/>
      <c r="J27" s="22"/>
      <c r="K27" s="40">
        <v>1979</v>
      </c>
      <c r="L27" s="600">
        <f>C19</f>
        <v>0.97299999999999998</v>
      </c>
      <c r="M27" s="600">
        <f>C20</f>
        <v>5.89</v>
      </c>
      <c r="N27" s="469">
        <f t="shared" si="3"/>
        <v>6.0534429599177795</v>
      </c>
      <c r="O27" s="472">
        <f t="shared" si="2"/>
        <v>0.26877987376305262</v>
      </c>
      <c r="P27" s="472">
        <f t="shared" si="4"/>
        <v>-1.3138625475297754</v>
      </c>
      <c r="Q27" s="557"/>
      <c r="R27" s="557"/>
      <c r="S27" s="557"/>
      <c r="T27" s="557"/>
      <c r="U27" s="22"/>
      <c r="V27" s="22"/>
      <c r="W27" s="22"/>
      <c r="X27" s="22"/>
    </row>
    <row r="28" spans="1:24" ht="14.1" customHeight="1" x14ac:dyDescent="0.2">
      <c r="A28" s="594"/>
      <c r="B28" s="7" t="s">
        <v>248</v>
      </c>
      <c r="C28" s="596">
        <v>11.523000000000001</v>
      </c>
      <c r="D28" s="598">
        <v>7.5210000000000008</v>
      </c>
      <c r="E28" s="598">
        <v>18.111666666666668</v>
      </c>
      <c r="F28" s="381">
        <f t="shared" si="0"/>
        <v>4.0020000000000007</v>
      </c>
      <c r="G28" s="380">
        <f t="shared" si="1"/>
        <v>6.5886666666666667</v>
      </c>
      <c r="H28" s="599">
        <v>1983.6</v>
      </c>
      <c r="I28" s="22"/>
      <c r="J28" s="22"/>
      <c r="K28" s="40">
        <v>1980</v>
      </c>
      <c r="L28" s="600">
        <f>C21</f>
        <v>1.5831134564643798</v>
      </c>
      <c r="M28" s="600">
        <f>C22</f>
        <v>4.8696250000000001</v>
      </c>
      <c r="N28" s="469">
        <f t="shared" si="3"/>
        <v>3.0759797916666671</v>
      </c>
      <c r="O28" s="472">
        <f t="shared" si="2"/>
        <v>0.17280594232077465</v>
      </c>
      <c r="P28" s="472">
        <f t="shared" si="4"/>
        <v>-1.7555860347730414</v>
      </c>
      <c r="Q28" s="557"/>
      <c r="R28" s="557"/>
      <c r="S28" s="557"/>
      <c r="T28" s="557"/>
      <c r="U28" s="22"/>
      <c r="V28" s="22"/>
      <c r="W28" s="22"/>
      <c r="X28" s="22"/>
    </row>
    <row r="29" spans="1:24" ht="14.1" customHeight="1" x14ac:dyDescent="0.2">
      <c r="A29" s="594">
        <v>1984</v>
      </c>
      <c r="B29" s="7" t="s">
        <v>247</v>
      </c>
      <c r="C29" s="596">
        <v>9.77</v>
      </c>
      <c r="D29" s="598">
        <v>6.9414999999999996</v>
      </c>
      <c r="E29" s="598">
        <v>13.762</v>
      </c>
      <c r="F29" s="381">
        <f t="shared" si="0"/>
        <v>2.8285</v>
      </c>
      <c r="G29" s="380">
        <f t="shared" si="1"/>
        <v>3.9920000000000009</v>
      </c>
      <c r="H29" s="599">
        <v>1984.4</v>
      </c>
      <c r="I29" s="22"/>
      <c r="J29" s="22"/>
      <c r="K29" s="40">
        <v>1981</v>
      </c>
      <c r="L29" s="600">
        <f>C23</f>
        <v>0.84150013687380232</v>
      </c>
      <c r="M29" s="600">
        <f>C24</f>
        <v>1.0676156583629892</v>
      </c>
      <c r="N29" s="469">
        <f t="shared" si="3"/>
        <v>1.268705270006506</v>
      </c>
      <c r="O29" s="472">
        <f t="shared" si="2"/>
        <v>0.33333333333333337</v>
      </c>
      <c r="P29" s="472">
        <f t="shared" si="4"/>
        <v>-1.0986122886681096</v>
      </c>
      <c r="Q29" s="557"/>
      <c r="R29" s="557"/>
      <c r="S29" s="557"/>
      <c r="T29" s="557"/>
      <c r="U29" s="22"/>
      <c r="V29" s="22"/>
      <c r="W29" s="22"/>
      <c r="X29" s="22"/>
    </row>
    <row r="30" spans="1:24" ht="14.1" customHeight="1" x14ac:dyDescent="0.2">
      <c r="A30" s="594"/>
      <c r="B30" s="7" t="s">
        <v>248</v>
      </c>
      <c r="C30" s="596">
        <v>19.187000000000001</v>
      </c>
      <c r="D30" s="598">
        <v>14.748000000000001</v>
      </c>
      <c r="E30" s="598">
        <v>24.9635</v>
      </c>
      <c r="F30" s="381">
        <f t="shared" si="0"/>
        <v>4.4390000000000001</v>
      </c>
      <c r="G30" s="380">
        <f t="shared" si="1"/>
        <v>5.7764999999999986</v>
      </c>
      <c r="H30" s="599">
        <v>1984.6</v>
      </c>
      <c r="I30" s="22"/>
      <c r="J30" s="22"/>
      <c r="K30" s="40">
        <v>1982</v>
      </c>
      <c r="L30" s="600">
        <f>C25</f>
        <v>0.35587188612099646</v>
      </c>
      <c r="M30" s="600">
        <f>C26</f>
        <v>0.17793594306049823</v>
      </c>
      <c r="N30" s="469">
        <f t="shared" si="3"/>
        <v>0.5</v>
      </c>
      <c r="O30" s="472">
        <f t="shared" si="2"/>
        <v>4.7466666666666661</v>
      </c>
      <c r="P30" s="472">
        <f t="shared" si="4"/>
        <v>1.5574426173157199</v>
      </c>
      <c r="Q30" s="557"/>
      <c r="R30" s="557"/>
      <c r="S30" s="557"/>
      <c r="T30" s="557"/>
      <c r="U30" s="22"/>
      <c r="V30" s="22"/>
      <c r="W30" s="22"/>
      <c r="X30" s="22"/>
    </row>
    <row r="31" spans="1:24" ht="14.1" customHeight="1" x14ac:dyDescent="0.2">
      <c r="A31" s="594">
        <v>1985</v>
      </c>
      <c r="B31" s="7" t="s">
        <v>247</v>
      </c>
      <c r="C31" s="596">
        <v>0.71174377224199292</v>
      </c>
      <c r="D31" s="598">
        <v>0.71174377224199292</v>
      </c>
      <c r="E31" s="598">
        <v>1.4234875444839858</v>
      </c>
      <c r="F31" s="381">
        <f t="shared" si="0"/>
        <v>0</v>
      </c>
      <c r="G31" s="380">
        <f t="shared" si="1"/>
        <v>0.71174377224199292</v>
      </c>
      <c r="H31" s="599">
        <v>1985.4</v>
      </c>
      <c r="I31" s="22"/>
      <c r="J31" s="22"/>
      <c r="K31" s="40">
        <v>1983</v>
      </c>
      <c r="L31" s="600">
        <f>C27</f>
        <v>0.84460260972716483</v>
      </c>
      <c r="M31" s="600">
        <f>C28</f>
        <v>11.523000000000001</v>
      </c>
      <c r="N31" s="469">
        <f t="shared" si="3"/>
        <v>13.643102528089891</v>
      </c>
      <c r="O31" s="472">
        <f t="shared" si="2"/>
        <v>0.84786947843443539</v>
      </c>
      <c r="P31" s="472">
        <f t="shared" si="4"/>
        <v>-0.16502857197718618</v>
      </c>
      <c r="Q31" s="557"/>
      <c r="R31" s="557"/>
      <c r="S31" s="557"/>
      <c r="T31" s="557"/>
      <c r="U31" s="22"/>
      <c r="V31" s="22"/>
      <c r="W31" s="22"/>
      <c r="X31" s="22"/>
    </row>
    <row r="32" spans="1:24" ht="14.1" customHeight="1" x14ac:dyDescent="0.2">
      <c r="A32" s="594"/>
      <c r="B32" s="7" t="s">
        <v>248</v>
      </c>
      <c r="C32" s="596">
        <v>1.4234875444839858</v>
      </c>
      <c r="D32" s="598">
        <v>1.4234875444839858</v>
      </c>
      <c r="E32" s="598">
        <v>1.7793594306049823</v>
      </c>
      <c r="F32" s="381">
        <f t="shared" si="0"/>
        <v>0</v>
      </c>
      <c r="G32" s="380">
        <f t="shared" si="1"/>
        <v>0.35587188612099641</v>
      </c>
      <c r="H32" s="599">
        <v>1985.6</v>
      </c>
      <c r="I32" s="22"/>
      <c r="J32" s="22"/>
      <c r="K32" s="40">
        <v>1984</v>
      </c>
      <c r="L32" s="600">
        <f>C29</f>
        <v>9.77</v>
      </c>
      <c r="M32" s="600">
        <f>C30</f>
        <v>19.187000000000001</v>
      </c>
      <c r="N32" s="469">
        <f t="shared" si="3"/>
        <v>1.9638689866939614</v>
      </c>
      <c r="O32" s="472">
        <f t="shared" si="2"/>
        <v>3.7095104614686659E-2</v>
      </c>
      <c r="P32" s="472">
        <f t="shared" si="4"/>
        <v>-3.2942702691616712</v>
      </c>
      <c r="Q32" s="557"/>
      <c r="R32" s="557"/>
      <c r="S32" s="557"/>
      <c r="T32" s="557"/>
      <c r="U32" s="22"/>
      <c r="V32" s="22"/>
      <c r="W32" s="22"/>
      <c r="X32" s="22"/>
    </row>
    <row r="33" spans="1:24" ht="14.1" customHeight="1" x14ac:dyDescent="0.2">
      <c r="A33" s="594">
        <v>1986</v>
      </c>
      <c r="B33" s="7" t="s">
        <v>247</v>
      </c>
      <c r="C33" s="596">
        <v>0.98599999999999999</v>
      </c>
      <c r="D33" s="598">
        <v>0.315</v>
      </c>
      <c r="E33" s="598">
        <v>3.0870000000000002</v>
      </c>
      <c r="F33" s="381">
        <f t="shared" si="0"/>
        <v>0.67100000000000004</v>
      </c>
      <c r="G33" s="380">
        <f t="shared" si="1"/>
        <v>2.101</v>
      </c>
      <c r="H33" s="599">
        <v>1986.4</v>
      </c>
      <c r="I33" s="22"/>
      <c r="J33" s="22"/>
      <c r="K33" s="40">
        <v>1985</v>
      </c>
      <c r="L33" s="600">
        <f>C31</f>
        <v>0.71174377224199292</v>
      </c>
      <c r="M33" s="600">
        <f>C32</f>
        <v>1.4234875444839858</v>
      </c>
      <c r="N33" s="469">
        <f t="shared" si="3"/>
        <v>2</v>
      </c>
      <c r="O33" s="472">
        <f t="shared" si="2"/>
        <v>0.69266499999999998</v>
      </c>
      <c r="P33" s="472">
        <f t="shared" si="4"/>
        <v>-0.36720880215373791</v>
      </c>
      <c r="Q33" s="557"/>
      <c r="R33" s="557"/>
      <c r="S33" s="557"/>
      <c r="T33" s="557"/>
      <c r="U33" s="22"/>
      <c r="V33" s="22"/>
      <c r="W33" s="22"/>
      <c r="X33" s="22"/>
    </row>
    <row r="34" spans="1:24" ht="14.1" customHeight="1" x14ac:dyDescent="0.2">
      <c r="A34" s="594"/>
      <c r="B34" s="7" t="s">
        <v>248</v>
      </c>
      <c r="C34" s="596">
        <v>3.6840000000000002</v>
      </c>
      <c r="D34" s="598">
        <v>2.0619999999999998</v>
      </c>
      <c r="E34" s="598">
        <v>6.5839999999999996</v>
      </c>
      <c r="F34" s="381">
        <f t="shared" si="0"/>
        <v>1.6220000000000003</v>
      </c>
      <c r="G34" s="380">
        <f t="shared" si="1"/>
        <v>2.8999999999999995</v>
      </c>
      <c r="H34" s="599">
        <v>1986.6</v>
      </c>
      <c r="I34" s="22"/>
      <c r="J34" s="22"/>
      <c r="K34" s="40">
        <v>1986</v>
      </c>
      <c r="L34" s="600">
        <f>C33</f>
        <v>0.98599999999999999</v>
      </c>
      <c r="M34" s="600">
        <f>C34</f>
        <v>3.6840000000000002</v>
      </c>
      <c r="N34" s="469">
        <f t="shared" si="3"/>
        <v>3.7363083164300206</v>
      </c>
      <c r="O34" s="472">
        <f t="shared" si="2"/>
        <v>0.61689741023669409</v>
      </c>
      <c r="P34" s="472">
        <f t="shared" si="4"/>
        <v>-0.48305254080308468</v>
      </c>
      <c r="Q34" s="557"/>
      <c r="R34" s="557"/>
      <c r="S34" s="557"/>
      <c r="T34" s="557"/>
      <c r="U34" s="22"/>
      <c r="V34" s="22"/>
      <c r="W34" s="22"/>
      <c r="X34" s="22"/>
    </row>
    <row r="35" spans="1:24" ht="12.75" customHeight="1" x14ac:dyDescent="0.2">
      <c r="A35" s="7">
        <v>1987</v>
      </c>
      <c r="B35" s="7" t="s">
        <v>247</v>
      </c>
      <c r="C35" s="375">
        <v>2.2726500593119812</v>
      </c>
      <c r="D35" s="53">
        <v>0.78416666666666668</v>
      </c>
      <c r="E35" s="132">
        <v>3.1576333333333331</v>
      </c>
      <c r="F35" s="381">
        <f t="shared" si="0"/>
        <v>1.4884833926453145</v>
      </c>
      <c r="G35" s="380">
        <f t="shared" si="1"/>
        <v>0.88498327402135191</v>
      </c>
      <c r="H35" s="264">
        <v>1987.4</v>
      </c>
      <c r="I35" s="11"/>
      <c r="J35" s="11"/>
      <c r="K35" s="40">
        <v>1987</v>
      </c>
      <c r="L35" s="452">
        <f>C35</f>
        <v>2.2726500593119812</v>
      </c>
      <c r="M35" s="452">
        <f>C36</f>
        <v>9.0930355871886128</v>
      </c>
      <c r="N35" s="469">
        <f>M35/L35</f>
        <v>4.0010715903800103</v>
      </c>
      <c r="O35" s="472">
        <f>L36/M35</f>
        <v>0.18836388674397742</v>
      </c>
      <c r="P35" s="472">
        <f t="shared" si="4"/>
        <v>-1.669379619162755</v>
      </c>
    </row>
    <row r="36" spans="1:24" x14ac:dyDescent="0.2">
      <c r="A36" s="7"/>
      <c r="B36" s="7" t="s">
        <v>248</v>
      </c>
      <c r="C36" s="375">
        <v>9.0930355871886128</v>
      </c>
      <c r="D36" s="53">
        <v>5.9705000000000004</v>
      </c>
      <c r="E36" s="132">
        <v>13.022599999999999</v>
      </c>
      <c r="F36" s="381">
        <f t="shared" si="0"/>
        <v>3.1225355871886125</v>
      </c>
      <c r="G36" s="380">
        <f t="shared" si="1"/>
        <v>3.929564412811386</v>
      </c>
      <c r="H36" s="264">
        <v>1987.6</v>
      </c>
      <c r="I36" s="11"/>
      <c r="J36" s="11"/>
      <c r="K36" s="40">
        <v>1988</v>
      </c>
      <c r="L36" s="452">
        <f>C37</f>
        <v>1.7127995255041519</v>
      </c>
      <c r="M36" s="452">
        <f>C38</f>
        <v>4.6125094899169641</v>
      </c>
      <c r="N36" s="469">
        <f t="shared" ref="N36:N66" si="5">M36/L36</f>
        <v>2.6929651843284463</v>
      </c>
      <c r="O36" s="472">
        <f t="shared" ref="O36:O65" si="6">L37/M36</f>
        <v>0.63240612234689531</v>
      </c>
      <c r="P36" s="472">
        <f t="shared" si="4"/>
        <v>-0.45822349256323397</v>
      </c>
    </row>
    <row r="37" spans="1:24" x14ac:dyDescent="0.2">
      <c r="A37" s="7">
        <v>1988</v>
      </c>
      <c r="B37" s="7" t="s">
        <v>247</v>
      </c>
      <c r="C37" s="375">
        <v>1.7127995255041519</v>
      </c>
      <c r="D37" s="53">
        <v>0.51458125741399752</v>
      </c>
      <c r="E37" s="132">
        <v>1.8501625148279952</v>
      </c>
      <c r="F37" s="381">
        <f t="shared" si="0"/>
        <v>1.1982182680901543</v>
      </c>
      <c r="G37" s="380">
        <f t="shared" si="1"/>
        <v>0.13736298932384328</v>
      </c>
      <c r="H37" s="264">
        <v>1988.4</v>
      </c>
      <c r="I37" s="11"/>
      <c r="J37" s="11"/>
      <c r="K37" s="40">
        <v>1989</v>
      </c>
      <c r="L37" s="452">
        <f>C39</f>
        <v>2.9169792408066431</v>
      </c>
      <c r="M37" s="452">
        <f>C40</f>
        <v>3.3157729537366549</v>
      </c>
      <c r="N37" s="469">
        <f t="shared" si="5"/>
        <v>1.1367146215342048</v>
      </c>
      <c r="O37" s="472">
        <f t="shared" si="6"/>
        <v>0.35518632213562362</v>
      </c>
      <c r="P37" s="472">
        <f t="shared" si="4"/>
        <v>-1.0351127761066146</v>
      </c>
    </row>
    <row r="38" spans="1:24" x14ac:dyDescent="0.2">
      <c r="A38" s="7"/>
      <c r="B38" s="7" t="s">
        <v>248</v>
      </c>
      <c r="C38" s="182">
        <v>4.6125094899169641</v>
      </c>
      <c r="D38" s="53">
        <v>2.7553333333333332</v>
      </c>
      <c r="E38" s="132">
        <v>9.3442000000000007</v>
      </c>
      <c r="F38" s="381">
        <f t="shared" si="0"/>
        <v>1.8571761565836309</v>
      </c>
      <c r="G38" s="380">
        <f t="shared" si="1"/>
        <v>4.7316905100830366</v>
      </c>
      <c r="H38" s="264">
        <v>1988.6</v>
      </c>
      <c r="I38" s="11"/>
      <c r="J38" s="11"/>
      <c r="K38" s="40">
        <v>1990</v>
      </c>
      <c r="L38" s="452">
        <f>C41</f>
        <v>1.1777172004744958</v>
      </c>
      <c r="M38" s="452">
        <f>C42</f>
        <v>1.488474495848161</v>
      </c>
      <c r="N38" s="469">
        <f t="shared" si="5"/>
        <v>1.2638641052779589</v>
      </c>
      <c r="O38" s="472">
        <f t="shared" si="6"/>
        <v>1.3225771925686016</v>
      </c>
      <c r="P38" s="472">
        <f t="shared" si="4"/>
        <v>0.27958225171884321</v>
      </c>
    </row>
    <row r="39" spans="1:24" x14ac:dyDescent="0.2">
      <c r="A39" s="7">
        <v>1989</v>
      </c>
      <c r="B39" s="7" t="s">
        <v>247</v>
      </c>
      <c r="C39" s="182">
        <v>2.9169792408066431</v>
      </c>
      <c r="D39" s="53">
        <v>1.5203173354449033</v>
      </c>
      <c r="E39" s="132">
        <v>3.5140866868193599</v>
      </c>
      <c r="F39" s="381">
        <f t="shared" si="0"/>
        <v>1.3966619053617397</v>
      </c>
      <c r="G39" s="380">
        <f t="shared" si="1"/>
        <v>0.59710744601271681</v>
      </c>
      <c r="H39" s="264">
        <v>1989.4</v>
      </c>
      <c r="I39" s="11"/>
      <c r="J39" s="11"/>
      <c r="K39" s="40">
        <v>1991</v>
      </c>
      <c r="L39" s="452">
        <f>C43</f>
        <v>1.9686224199288256</v>
      </c>
      <c r="M39" s="452">
        <f>C44</f>
        <v>5.4394912218268088</v>
      </c>
      <c r="N39" s="469">
        <f t="shared" si="5"/>
        <v>2.7630952318542987</v>
      </c>
      <c r="O39" s="472">
        <f t="shared" si="6"/>
        <v>0.69582527376402492</v>
      </c>
      <c r="P39" s="472">
        <f t="shared" si="4"/>
        <v>-0.36265669360689018</v>
      </c>
    </row>
    <row r="40" spans="1:24" x14ac:dyDescent="0.2">
      <c r="A40" s="7"/>
      <c r="B40" s="7" t="s">
        <v>248</v>
      </c>
      <c r="C40" s="182">
        <v>3.3157729537366549</v>
      </c>
      <c r="D40" s="9">
        <v>2.9566666666666666</v>
      </c>
      <c r="E40" s="132">
        <v>8.1856333333333335</v>
      </c>
      <c r="F40" s="381">
        <f t="shared" si="0"/>
        <v>0.35910628706998837</v>
      </c>
      <c r="G40" s="380">
        <f t="shared" si="1"/>
        <v>4.8698603795966786</v>
      </c>
      <c r="H40" s="264">
        <v>1989.6</v>
      </c>
      <c r="I40" s="11"/>
      <c r="J40" s="11"/>
      <c r="K40" s="40">
        <v>1992</v>
      </c>
      <c r="L40" s="452">
        <f>C45</f>
        <v>3.7849354685646497</v>
      </c>
      <c r="M40" s="452">
        <f>C46</f>
        <v>10.236985527876632</v>
      </c>
      <c r="N40" s="469">
        <f t="shared" si="5"/>
        <v>2.7046658028647381</v>
      </c>
      <c r="O40" s="472">
        <f t="shared" si="6"/>
        <v>0.22420939688512062</v>
      </c>
      <c r="P40" s="472">
        <f t="shared" si="4"/>
        <v>-1.4951748562646818</v>
      </c>
      <c r="Q40" s="453">
        <f>F45</f>
        <v>1.8295854685646498</v>
      </c>
      <c r="R40" s="453">
        <f>G45</f>
        <v>1.4448645314353503</v>
      </c>
      <c r="S40" s="453">
        <f>F46</f>
        <v>3.4151855278766323</v>
      </c>
      <c r="T40" s="453">
        <f>G46</f>
        <v>4.6651144721233688</v>
      </c>
    </row>
    <row r="41" spans="1:24" x14ac:dyDescent="0.2">
      <c r="A41" s="7">
        <v>1990</v>
      </c>
      <c r="B41" s="7" t="s">
        <v>247</v>
      </c>
      <c r="C41" s="182">
        <v>1.1777172004744958</v>
      </c>
      <c r="D41" s="9">
        <v>0.59556789118283737</v>
      </c>
      <c r="E41" s="132">
        <v>2.7129901844276643</v>
      </c>
      <c r="F41" s="381">
        <f t="shared" si="0"/>
        <v>0.58214930929165842</v>
      </c>
      <c r="G41" s="380">
        <f t="shared" si="1"/>
        <v>1.5352729839531685</v>
      </c>
      <c r="H41" s="264">
        <v>1990.4</v>
      </c>
      <c r="I41" s="11"/>
      <c r="J41" s="11"/>
      <c r="K41" s="40">
        <v>1993</v>
      </c>
      <c r="L41" s="452">
        <f>C47</f>
        <v>2.2952283511269278</v>
      </c>
      <c r="M41" s="453">
        <f>C48</f>
        <v>7.4138714116251485</v>
      </c>
      <c r="N41" s="469">
        <f t="shared" si="5"/>
        <v>3.2301236641596174</v>
      </c>
      <c r="O41" s="472">
        <f t="shared" si="6"/>
        <v>0.30487242214811466</v>
      </c>
      <c r="P41" s="472">
        <f t="shared" si="4"/>
        <v>-1.1878618779205383</v>
      </c>
      <c r="Q41" s="453">
        <f>F47</f>
        <v>0.84123250296559915</v>
      </c>
      <c r="R41" s="453">
        <f>G47</f>
        <v>1.6383060498220638</v>
      </c>
      <c r="S41" s="453">
        <f>F48</f>
        <v>2.123321411625148</v>
      </c>
      <c r="T41" s="453">
        <f>G48</f>
        <v>5.9928285883748522</v>
      </c>
    </row>
    <row r="42" spans="1:24" x14ac:dyDescent="0.2">
      <c r="A42" s="7"/>
      <c r="B42" s="7" t="s">
        <v>248</v>
      </c>
      <c r="C42" s="182">
        <v>1.488474495848161</v>
      </c>
      <c r="D42" s="9">
        <v>0.64100000000000001</v>
      </c>
      <c r="E42" s="132">
        <v>3.3890000000000002</v>
      </c>
      <c r="F42" s="381">
        <f t="shared" si="0"/>
        <v>0.84747449584816104</v>
      </c>
      <c r="G42" s="380">
        <f t="shared" si="1"/>
        <v>1.9005255041518392</v>
      </c>
      <c r="H42" s="264">
        <v>1990.6</v>
      </c>
      <c r="I42" s="11"/>
      <c r="J42" s="11"/>
      <c r="K42" s="40">
        <v>1994</v>
      </c>
      <c r="L42" s="453">
        <f>C49</f>
        <v>2.2602849347568212</v>
      </c>
      <c r="M42" s="453">
        <f>C50</f>
        <v>3.3594599051008309</v>
      </c>
      <c r="N42" s="469">
        <f t="shared" si="5"/>
        <v>1.4862992950321405</v>
      </c>
      <c r="O42" s="472">
        <f t="shared" si="6"/>
        <v>1.7655213247257339E-2</v>
      </c>
      <c r="P42" s="472">
        <f t="shared" si="4"/>
        <v>-4.0367241710988431</v>
      </c>
      <c r="Q42" s="453">
        <f>F49</f>
        <v>0.88682710557532651</v>
      </c>
      <c r="R42" s="453">
        <f>G49</f>
        <v>1.3886447805456701</v>
      </c>
      <c r="S42" s="453">
        <f>F50</f>
        <v>1.3057453143535001</v>
      </c>
      <c r="T42" s="453">
        <f>G50</f>
        <v>2.2923692763938313</v>
      </c>
    </row>
    <row r="43" spans="1:24" x14ac:dyDescent="0.2">
      <c r="A43" s="7">
        <v>1991</v>
      </c>
      <c r="B43" s="7" t="s">
        <v>247</v>
      </c>
      <c r="C43" s="182">
        <v>1.9686224199288256</v>
      </c>
      <c r="D43" s="9">
        <v>1.0389999999999999</v>
      </c>
      <c r="E43" s="132">
        <v>3.2835859430604981</v>
      </c>
      <c r="F43" s="381">
        <f t="shared" si="0"/>
        <v>0.92962241992882566</v>
      </c>
      <c r="G43" s="380">
        <f t="shared" si="1"/>
        <v>1.3149635231316725</v>
      </c>
      <c r="H43" s="264">
        <v>1991.4</v>
      </c>
      <c r="I43" s="11"/>
      <c r="J43" s="11"/>
      <c r="K43" s="40">
        <v>1995</v>
      </c>
      <c r="L43" s="453">
        <f>C51</f>
        <v>5.9311981020166077E-2</v>
      </c>
      <c r="M43" s="453">
        <f>C52</f>
        <v>3.4852000000000003</v>
      </c>
      <c r="N43" s="469">
        <v>10</v>
      </c>
      <c r="O43" s="472">
        <f t="shared" si="6"/>
        <v>0.15316418833395345</v>
      </c>
      <c r="P43" s="472">
        <f t="shared" si="4"/>
        <v>-1.8762448066124848</v>
      </c>
      <c r="Q43" s="453">
        <f>F51</f>
        <v>5.9311981020166077E-2</v>
      </c>
      <c r="R43" s="453">
        <f>G51</f>
        <v>0.74068801897983405</v>
      </c>
      <c r="S43" s="453">
        <f>F52</f>
        <v>1.6729000000000003</v>
      </c>
      <c r="T43" s="453">
        <f>G52</f>
        <v>3.3233999999999999</v>
      </c>
    </row>
    <row r="44" spans="1:24" x14ac:dyDescent="0.2">
      <c r="A44" s="7"/>
      <c r="B44" s="7" t="s">
        <v>248</v>
      </c>
      <c r="C44" s="182">
        <v>5.4394912218268088</v>
      </c>
      <c r="D44" s="9">
        <v>3.4412864768683273</v>
      </c>
      <c r="E44" s="132">
        <v>8.4877010676156583</v>
      </c>
      <c r="F44" s="381">
        <f t="shared" si="0"/>
        <v>1.9982047449584814</v>
      </c>
      <c r="G44" s="380">
        <f t="shared" si="1"/>
        <v>3.0482098457888496</v>
      </c>
      <c r="H44" s="264">
        <v>1991.6</v>
      </c>
      <c r="I44" s="11"/>
      <c r="J44" s="11"/>
      <c r="K44" s="40">
        <v>1996</v>
      </c>
      <c r="L44" s="453">
        <f>C53</f>
        <v>0.53380782918149461</v>
      </c>
      <c r="M44" s="453">
        <f>C54</f>
        <v>1.9886599051008302</v>
      </c>
      <c r="N44" s="469">
        <f t="shared" si="5"/>
        <v>3.7254228888888892</v>
      </c>
      <c r="O44" s="472">
        <f t="shared" si="6"/>
        <v>0.89921054749161089</v>
      </c>
      <c r="P44" s="472">
        <f t="shared" si="4"/>
        <v>-0.1062380700498378</v>
      </c>
      <c r="Q44" s="453">
        <f>F53</f>
        <v>0.12989323843416367</v>
      </c>
      <c r="R44" s="453">
        <f>G53</f>
        <v>0.6740213523131674</v>
      </c>
      <c r="S44" s="453">
        <f>F54</f>
        <v>0.88434531435349939</v>
      </c>
      <c r="T44" s="453">
        <f>G54</f>
        <v>1.7809359430604987</v>
      </c>
    </row>
    <row r="45" spans="1:24" x14ac:dyDescent="0.2">
      <c r="A45" s="7">
        <v>1992</v>
      </c>
      <c r="B45" s="7" t="s">
        <v>247</v>
      </c>
      <c r="C45" s="182">
        <v>3.7849354685646497</v>
      </c>
      <c r="D45" s="9">
        <v>1.9553499999999999</v>
      </c>
      <c r="E45" s="132">
        <v>5.2298</v>
      </c>
      <c r="F45" s="381">
        <f>C45-D45</f>
        <v>1.8295854685646498</v>
      </c>
      <c r="G45" s="380">
        <f>E45-C45</f>
        <v>1.4448645314353503</v>
      </c>
      <c r="H45" s="264">
        <v>1992.4</v>
      </c>
      <c r="I45" s="11"/>
      <c r="J45" s="11"/>
      <c r="K45" s="40">
        <v>1997</v>
      </c>
      <c r="L45" s="453">
        <f>C55</f>
        <v>1.7882239620403324</v>
      </c>
      <c r="M45" s="453">
        <f>C56</f>
        <v>4.942566666666667</v>
      </c>
      <c r="N45" s="469">
        <f t="shared" si="5"/>
        <v>2.7639528222333429</v>
      </c>
      <c r="O45" s="472">
        <f t="shared" si="6"/>
        <v>0.54723775259812968</v>
      </c>
      <c r="P45" s="472">
        <f t="shared" si="4"/>
        <v>-0.60287192273251367</v>
      </c>
      <c r="Q45" s="453">
        <f>F55</f>
        <v>0.81693333333333362</v>
      </c>
      <c r="R45" s="453">
        <f>G55</f>
        <v>1.7184906287069983</v>
      </c>
      <c r="S45" s="453">
        <f>F56</f>
        <v>2.2037000000000004</v>
      </c>
      <c r="T45" s="453">
        <f>G56</f>
        <v>4.2164333333333337</v>
      </c>
    </row>
    <row r="46" spans="1:24" x14ac:dyDescent="0.2">
      <c r="A46" s="7"/>
      <c r="B46" s="7" t="s">
        <v>248</v>
      </c>
      <c r="C46" s="182">
        <v>10.236985527876632</v>
      </c>
      <c r="D46" s="373">
        <v>6.8217999999999996</v>
      </c>
      <c r="E46" s="373">
        <v>14.902100000000001</v>
      </c>
      <c r="F46" s="381">
        <f t="shared" ref="F46:F83" si="7">C46-D46</f>
        <v>3.4151855278766323</v>
      </c>
      <c r="G46" s="380">
        <f t="shared" ref="G46:G83" si="8">E46-C46</f>
        <v>4.6651144721233688</v>
      </c>
      <c r="H46" s="264">
        <v>1992.6</v>
      </c>
      <c r="I46" s="11"/>
      <c r="J46" s="11"/>
      <c r="K46" s="40">
        <v>1998</v>
      </c>
      <c r="L46" s="453">
        <f>C57</f>
        <v>2.7047590747330958</v>
      </c>
      <c r="M46" s="453">
        <f>C58</f>
        <v>9.6536666666666662</v>
      </c>
      <c r="N46" s="469">
        <f t="shared" si="5"/>
        <v>3.5691410583840208</v>
      </c>
      <c r="O46" s="472">
        <f t="shared" si="6"/>
        <v>0.18202064845827148</v>
      </c>
      <c r="P46" s="472">
        <f t="shared" si="4"/>
        <v>-1.7036351452732286</v>
      </c>
      <c r="Q46" s="453">
        <f>F57</f>
        <v>1.0089871886120994</v>
      </c>
      <c r="R46" s="453">
        <f>G57</f>
        <v>1.8857274021352315</v>
      </c>
      <c r="S46" s="453">
        <f>F58</f>
        <v>2.6472000000000007</v>
      </c>
      <c r="T46" s="453">
        <f>G58</f>
        <v>3.7373666666666683</v>
      </c>
    </row>
    <row r="47" spans="1:24" x14ac:dyDescent="0.2">
      <c r="A47" s="7">
        <v>1993</v>
      </c>
      <c r="B47" s="7" t="s">
        <v>247</v>
      </c>
      <c r="C47" s="184">
        <v>2.2952283511269278</v>
      </c>
      <c r="D47" s="373">
        <v>1.4539958481613287</v>
      </c>
      <c r="E47" s="373">
        <v>3.9335344009489916</v>
      </c>
      <c r="F47" s="381">
        <f t="shared" si="7"/>
        <v>0.84123250296559915</v>
      </c>
      <c r="G47" s="380">
        <f t="shared" si="8"/>
        <v>1.6383060498220638</v>
      </c>
      <c r="H47" s="264">
        <v>1993.4</v>
      </c>
      <c r="I47" s="11"/>
      <c r="J47" s="11"/>
      <c r="K47" s="40">
        <v>1999</v>
      </c>
      <c r="L47" s="453">
        <f>C59</f>
        <v>1.7571666666666668</v>
      </c>
      <c r="M47" s="453">
        <f>C60</f>
        <v>3.0489333333333328</v>
      </c>
      <c r="N47" s="469">
        <f t="shared" si="5"/>
        <v>1.7351418002466088</v>
      </c>
      <c r="O47" s="472">
        <f t="shared" si="6"/>
        <v>7.8873042272761873E-2</v>
      </c>
      <c r="P47" s="472">
        <f t="shared" si="4"/>
        <v>-2.5399157790593909</v>
      </c>
      <c r="Q47" s="453">
        <f>F59</f>
        <v>0.77710000000000012</v>
      </c>
      <c r="R47" s="453">
        <f>G59</f>
        <v>1.5693239620403323</v>
      </c>
      <c r="S47" s="453">
        <f>F60</f>
        <v>1.3954666666666662</v>
      </c>
      <c r="T47" s="453">
        <f>G60</f>
        <v>2.7684666666666673</v>
      </c>
    </row>
    <row r="48" spans="1:24" x14ac:dyDescent="0.2">
      <c r="A48" s="7"/>
      <c r="B48" s="7" t="s">
        <v>248</v>
      </c>
      <c r="C48" s="184">
        <v>7.4138714116251485</v>
      </c>
      <c r="D48" s="373">
        <v>5.2905500000000005</v>
      </c>
      <c r="E48" s="373">
        <v>13.406700000000001</v>
      </c>
      <c r="F48" s="381">
        <f t="shared" si="7"/>
        <v>2.123321411625148</v>
      </c>
      <c r="G48" s="380">
        <f t="shared" si="8"/>
        <v>5.9928285883748522</v>
      </c>
      <c r="H48" s="264">
        <v>1993.6</v>
      </c>
      <c r="I48" s="11"/>
      <c r="J48" s="11"/>
      <c r="K48" s="40">
        <v>2000</v>
      </c>
      <c r="L48" s="453">
        <f>C61</f>
        <v>0.24047864768683272</v>
      </c>
      <c r="M48" s="453">
        <f>C62</f>
        <v>1.9018182680901543</v>
      </c>
      <c r="N48" s="469">
        <f t="shared" si="5"/>
        <v>7.9084704042698561</v>
      </c>
      <c r="O48" s="472">
        <f t="shared" si="6"/>
        <v>0.8075254573134979</v>
      </c>
      <c r="P48" s="472">
        <f t="shared" si="4"/>
        <v>-0.2137806982974349</v>
      </c>
      <c r="Q48" s="453">
        <f>F61</f>
        <v>0.18204531435349938</v>
      </c>
      <c r="R48" s="453">
        <f>G61</f>
        <v>0.55830260972716506</v>
      </c>
      <c r="S48" s="453">
        <f>F62</f>
        <v>0.40544531435349951</v>
      </c>
      <c r="T48" s="453">
        <f>G62</f>
        <v>1.3848317912218266</v>
      </c>
    </row>
    <row r="49" spans="1:22" x14ac:dyDescent="0.2">
      <c r="A49" s="7">
        <v>1994</v>
      </c>
      <c r="B49" s="7" t="s">
        <v>247</v>
      </c>
      <c r="C49" s="184">
        <v>2.2602849347568212</v>
      </c>
      <c r="D49" s="373">
        <v>1.3734578291814947</v>
      </c>
      <c r="E49" s="373">
        <v>3.6489297153024913</v>
      </c>
      <c r="F49" s="381">
        <f t="shared" si="7"/>
        <v>0.88682710557532651</v>
      </c>
      <c r="G49" s="380">
        <f t="shared" si="8"/>
        <v>1.3886447805456701</v>
      </c>
      <c r="H49" s="264">
        <v>1994.4</v>
      </c>
      <c r="I49" s="11"/>
      <c r="J49" s="11"/>
      <c r="K49" s="40">
        <v>2001</v>
      </c>
      <c r="L49" s="454">
        <f>C63</f>
        <v>1.5357666666666665</v>
      </c>
      <c r="M49" s="454">
        <f>C64</f>
        <v>9.5966666666666658</v>
      </c>
      <c r="N49" s="469">
        <f t="shared" si="5"/>
        <v>6.2487791114101539</v>
      </c>
      <c r="O49" s="472">
        <f t="shared" si="6"/>
        <v>0.83438346648141737</v>
      </c>
      <c r="P49" s="472">
        <f t="shared" si="4"/>
        <v>-0.18106219035117055</v>
      </c>
      <c r="Q49" s="453">
        <f>F63</f>
        <v>0.79833333333333323</v>
      </c>
      <c r="R49" s="453">
        <f>G63</f>
        <v>1.4328333333333338</v>
      </c>
      <c r="S49" s="453">
        <f>F64</f>
        <v>2.7932333333333323</v>
      </c>
      <c r="T49" s="453">
        <f>G64</f>
        <v>3.9824333333333328</v>
      </c>
    </row>
    <row r="50" spans="1:22" x14ac:dyDescent="0.2">
      <c r="A50" s="7"/>
      <c r="B50" s="7" t="s">
        <v>248</v>
      </c>
      <c r="C50" s="184">
        <v>3.3594599051008309</v>
      </c>
      <c r="D50" s="373">
        <v>2.0537145907473309</v>
      </c>
      <c r="E50" s="373">
        <v>5.6518291814946622</v>
      </c>
      <c r="F50" s="381">
        <f t="shared" si="7"/>
        <v>1.3057453143535001</v>
      </c>
      <c r="G50" s="380">
        <f t="shared" si="8"/>
        <v>2.2923692763938313</v>
      </c>
      <c r="H50" s="264">
        <v>1994.6</v>
      </c>
      <c r="I50" s="11"/>
      <c r="J50" s="11"/>
      <c r="K50" s="40">
        <v>2002</v>
      </c>
      <c r="L50" s="454">
        <f>C65</f>
        <v>8.0073000000000008</v>
      </c>
      <c r="M50" s="454">
        <f>C66</f>
        <v>25.589333333333332</v>
      </c>
      <c r="N50" s="469">
        <f t="shared" si="5"/>
        <v>3.1957505442949969</v>
      </c>
      <c r="O50" s="472">
        <f t="shared" si="6"/>
        <v>6.026384065721333E-3</v>
      </c>
      <c r="P50" s="472">
        <f t="shared" si="4"/>
        <v>-5.1116081055354474</v>
      </c>
      <c r="Q50" s="453">
        <f>F65</f>
        <v>2.4419000000000004</v>
      </c>
      <c r="R50" s="453">
        <f>G65</f>
        <v>3.5307999999999993</v>
      </c>
      <c r="S50" s="453">
        <f>F66</f>
        <v>5.7380999999999993</v>
      </c>
      <c r="T50" s="453">
        <f>G66</f>
        <v>7.431786666666671</v>
      </c>
    </row>
    <row r="51" spans="1:22" x14ac:dyDescent="0.2">
      <c r="A51" s="7">
        <v>1995</v>
      </c>
      <c r="B51" s="7" t="s">
        <v>247</v>
      </c>
      <c r="C51" s="184">
        <v>5.9311981020166077E-2</v>
      </c>
      <c r="D51" s="373">
        <v>0</v>
      </c>
      <c r="E51" s="373">
        <v>0.80000000000000016</v>
      </c>
      <c r="F51" s="381">
        <f t="shared" si="7"/>
        <v>5.9311981020166077E-2</v>
      </c>
      <c r="G51" s="380">
        <f t="shared" si="8"/>
        <v>0.74068801897983405</v>
      </c>
      <c r="H51" s="264">
        <v>1995.4</v>
      </c>
      <c r="I51" s="11"/>
      <c r="J51" s="11"/>
      <c r="K51" s="40">
        <v>2003</v>
      </c>
      <c r="L51" s="454">
        <f>C67</f>
        <v>0.15421115065243177</v>
      </c>
      <c r="M51" s="453">
        <f>C68</f>
        <v>0.14234875444839856</v>
      </c>
      <c r="N51" s="469">
        <f t="shared" si="5"/>
        <v>0.92307692307692313</v>
      </c>
      <c r="O51" s="472">
        <v>3</v>
      </c>
      <c r="P51" s="472">
        <f t="shared" si="4"/>
        <v>1.0986122886681098</v>
      </c>
      <c r="Q51" s="453">
        <f>F67</f>
        <v>0.15421115065243177</v>
      </c>
      <c r="R51" s="453">
        <f>G67</f>
        <v>0.32028469750889688</v>
      </c>
      <c r="S51" s="453">
        <f>F68</f>
        <v>0.14234875444839856</v>
      </c>
      <c r="T51" s="453">
        <f>G68</f>
        <v>0.33214709371293005</v>
      </c>
    </row>
    <row r="52" spans="1:22" x14ac:dyDescent="0.2">
      <c r="A52" s="7"/>
      <c r="B52" s="7" t="s">
        <v>248</v>
      </c>
      <c r="C52" s="184">
        <v>3.4852000000000003</v>
      </c>
      <c r="D52" s="373">
        <v>1.8123</v>
      </c>
      <c r="E52" s="373">
        <v>6.8086000000000002</v>
      </c>
      <c r="F52" s="381">
        <f t="shared" si="7"/>
        <v>1.6729000000000003</v>
      </c>
      <c r="G52" s="380">
        <f t="shared" si="8"/>
        <v>3.3233999999999999</v>
      </c>
      <c r="H52" s="264">
        <v>1995.6</v>
      </c>
      <c r="I52" s="11"/>
      <c r="J52" s="11"/>
      <c r="K52" s="40">
        <v>2004</v>
      </c>
      <c r="L52" s="453">
        <f>C69</f>
        <v>0.76389916963226578</v>
      </c>
      <c r="M52" s="453">
        <f>C70</f>
        <v>0.74249062870699889</v>
      </c>
      <c r="N52" s="469">
        <f t="shared" si="5"/>
        <v>0.97197465087496726</v>
      </c>
      <c r="O52" s="472">
        <f t="shared" si="6"/>
        <v>3.0369855808956929</v>
      </c>
      <c r="P52" s="472">
        <f t="shared" si="4"/>
        <v>1.1108654382405834</v>
      </c>
      <c r="Q52" s="453">
        <f>F69</f>
        <v>0.43056583629893247</v>
      </c>
      <c r="R52" s="453">
        <f>G69</f>
        <v>0.92530604982206388</v>
      </c>
      <c r="S52" s="453">
        <f>F70</f>
        <v>0.46785729537366555</v>
      </c>
      <c r="T52" s="453">
        <f>G70</f>
        <v>1.738376037959668</v>
      </c>
    </row>
    <row r="53" spans="1:22" x14ac:dyDescent="0.2">
      <c r="A53" s="7">
        <v>1996</v>
      </c>
      <c r="B53" s="7" t="s">
        <v>247</v>
      </c>
      <c r="C53" s="184">
        <v>0.53380782918149461</v>
      </c>
      <c r="D53" s="373">
        <v>0.40391459074733094</v>
      </c>
      <c r="E53" s="373">
        <v>1.207829181494662</v>
      </c>
      <c r="F53" s="381">
        <f t="shared" si="7"/>
        <v>0.12989323843416367</v>
      </c>
      <c r="G53" s="380">
        <f t="shared" si="8"/>
        <v>0.6740213523131674</v>
      </c>
      <c r="H53" s="264">
        <f t="shared" ref="H53:H68" si="9">H51+1</f>
        <v>1996.4</v>
      </c>
      <c r="I53" s="11"/>
      <c r="J53" s="11"/>
      <c r="K53" s="40">
        <v>2005</v>
      </c>
      <c r="L53" s="453">
        <f>C71</f>
        <v>2.2549333333333332</v>
      </c>
      <c r="M53" s="453">
        <f>C72</f>
        <v>14.403633333333334</v>
      </c>
      <c r="N53" s="469">
        <f t="shared" si="5"/>
        <v>6.3876093897824031</v>
      </c>
      <c r="O53" s="472">
        <f t="shared" si="6"/>
        <v>6.7731427557873092E-2</v>
      </c>
      <c r="P53" s="472">
        <f t="shared" si="4"/>
        <v>-2.6922049887904813</v>
      </c>
      <c r="Q53" s="453">
        <f>F71</f>
        <v>1.0449666666666666</v>
      </c>
      <c r="R53" s="453">
        <f>G71</f>
        <v>1.9456000000000002</v>
      </c>
      <c r="S53" s="453">
        <f>F72</f>
        <v>3.7282999999999991</v>
      </c>
      <c r="T53" s="453">
        <f>G72</f>
        <v>5.0512666666666686</v>
      </c>
    </row>
    <row r="54" spans="1:22" x14ac:dyDescent="0.2">
      <c r="A54" s="22"/>
      <c r="B54" s="7" t="s">
        <v>248</v>
      </c>
      <c r="C54" s="376">
        <v>1.9886599051008302</v>
      </c>
      <c r="D54" s="378">
        <v>1.1043145907473308</v>
      </c>
      <c r="E54" s="378">
        <v>3.769595848161329</v>
      </c>
      <c r="F54" s="381">
        <f t="shared" si="7"/>
        <v>0.88434531435349939</v>
      </c>
      <c r="G54" s="380">
        <f t="shared" si="8"/>
        <v>1.7809359430604987</v>
      </c>
      <c r="H54" s="264">
        <f t="shared" si="9"/>
        <v>1996.6</v>
      </c>
      <c r="K54" s="40">
        <v>2006</v>
      </c>
      <c r="L54" s="453">
        <f>C73</f>
        <v>0.97557864768683278</v>
      </c>
      <c r="M54" s="453">
        <f>C74</f>
        <v>3.4710000000000001</v>
      </c>
      <c r="N54" s="469">
        <f t="shared" si="5"/>
        <v>3.5578884472615213</v>
      </c>
      <c r="O54" s="472">
        <f t="shared" si="6"/>
        <v>0.27165998018491122</v>
      </c>
      <c r="P54" s="472">
        <f t="shared" si="4"/>
        <v>-1.3032040675285621</v>
      </c>
      <c r="Q54" s="453">
        <f>F73</f>
        <v>0.54744531435349941</v>
      </c>
      <c r="R54" s="453">
        <f>G73</f>
        <v>1.0033213523131672</v>
      </c>
      <c r="S54" s="453">
        <f>F74</f>
        <v>1.6065000000000003</v>
      </c>
      <c r="T54" s="453">
        <f>G74</f>
        <v>3.0596333333333332</v>
      </c>
    </row>
    <row r="55" spans="1:22" x14ac:dyDescent="0.2">
      <c r="A55" s="7">
        <v>1997</v>
      </c>
      <c r="B55" s="7" t="s">
        <v>247</v>
      </c>
      <c r="C55" s="184">
        <v>1.7882239620403324</v>
      </c>
      <c r="D55" s="373">
        <v>0.97129062870699878</v>
      </c>
      <c r="E55" s="373">
        <v>3.5067145907473307</v>
      </c>
      <c r="F55" s="381">
        <f t="shared" si="7"/>
        <v>0.81693333333333362</v>
      </c>
      <c r="G55" s="380">
        <f t="shared" si="8"/>
        <v>1.7184906287069983</v>
      </c>
      <c r="H55" s="264">
        <f t="shared" si="9"/>
        <v>1997.4</v>
      </c>
      <c r="K55" s="40">
        <v>2007</v>
      </c>
      <c r="L55" s="453">
        <f>C75</f>
        <v>0.9429317912218268</v>
      </c>
      <c r="M55" s="453">
        <f>C76</f>
        <v>2.0941333333333332</v>
      </c>
      <c r="N55" s="469">
        <f t="shared" si="5"/>
        <v>2.2208746728327071</v>
      </c>
      <c r="O55" s="472">
        <f t="shared" si="6"/>
        <v>1.5540716923468738</v>
      </c>
      <c r="P55" s="472">
        <f t="shared" si="4"/>
        <v>0.44087838495265952</v>
      </c>
      <c r="Q55" s="453">
        <f>F75</f>
        <v>0.18705990510083037</v>
      </c>
      <c r="R55" s="453">
        <f>G75</f>
        <v>0.65018801897983403</v>
      </c>
      <c r="S55" s="453">
        <f>F76</f>
        <v>1.1250999999999998</v>
      </c>
      <c r="T55" s="453">
        <f>G76</f>
        <v>2.5362000000000005</v>
      </c>
    </row>
    <row r="56" spans="1:22" x14ac:dyDescent="0.2">
      <c r="A56" s="7"/>
      <c r="B56" s="7" t="s">
        <v>248</v>
      </c>
      <c r="C56" s="184">
        <v>4.942566666666667</v>
      </c>
      <c r="D56" s="373">
        <v>2.7388666666666666</v>
      </c>
      <c r="E56" s="373">
        <v>9.1590000000000007</v>
      </c>
      <c r="F56" s="381">
        <f t="shared" si="7"/>
        <v>2.2037000000000004</v>
      </c>
      <c r="G56" s="380">
        <f t="shared" si="8"/>
        <v>4.2164333333333337</v>
      </c>
      <c r="H56" s="264">
        <f t="shared" si="9"/>
        <v>1997.6</v>
      </c>
      <c r="K56" s="40">
        <v>2008</v>
      </c>
      <c r="L56" s="453">
        <f>C77</f>
        <v>3.2544333333333331</v>
      </c>
      <c r="M56" s="453">
        <f>C78</f>
        <v>13.247199999999999</v>
      </c>
      <c r="N56" s="469">
        <f t="shared" si="5"/>
        <v>4.0705089467700475</v>
      </c>
      <c r="O56" s="472">
        <f t="shared" si="6"/>
        <v>0.31376945065120682</v>
      </c>
      <c r="P56" s="472">
        <f t="shared" si="4"/>
        <v>-1.1590967963502665</v>
      </c>
      <c r="Q56" s="453">
        <f>F77</f>
        <v>1.3460666666666663</v>
      </c>
      <c r="R56" s="453">
        <f>G77</f>
        <v>2.3028666666666675</v>
      </c>
      <c r="S56" s="453">
        <f>F78</f>
        <v>3.490733333333333</v>
      </c>
      <c r="T56" s="453">
        <f>G78</f>
        <v>4.7882999999999996</v>
      </c>
    </row>
    <row r="57" spans="1:22" x14ac:dyDescent="0.2">
      <c r="A57" s="7">
        <v>1998</v>
      </c>
      <c r="B57" s="7" t="s">
        <v>247</v>
      </c>
      <c r="C57" s="184">
        <v>2.7047590747330958</v>
      </c>
      <c r="D57" s="373">
        <v>1.6957718861209965</v>
      </c>
      <c r="E57" s="373">
        <v>4.5904864768683273</v>
      </c>
      <c r="F57" s="381">
        <f t="shared" si="7"/>
        <v>1.0089871886120994</v>
      </c>
      <c r="G57" s="380">
        <f t="shared" si="8"/>
        <v>1.8857274021352315</v>
      </c>
      <c r="H57" s="264">
        <f t="shared" si="9"/>
        <v>1998.4</v>
      </c>
      <c r="K57" s="40">
        <v>2009</v>
      </c>
      <c r="L57" s="453">
        <f>C79</f>
        <v>4.1565666666666665</v>
      </c>
      <c r="M57" s="453">
        <f>C80</f>
        <v>22.461433333333332</v>
      </c>
      <c r="N57" s="469">
        <f t="shared" si="5"/>
        <v>5.4038429152265088</v>
      </c>
      <c r="O57" s="472">
        <f t="shared" si="6"/>
        <v>3.8158740240679209E-2</v>
      </c>
      <c r="P57" s="472">
        <f t="shared" si="4"/>
        <v>-3.2660004455077951</v>
      </c>
      <c r="Q57" s="453">
        <f>F79</f>
        <v>1.5883999999999996</v>
      </c>
      <c r="R57" s="453">
        <f>G79</f>
        <v>2.5815666666666663</v>
      </c>
      <c r="S57" s="453">
        <f>F80</f>
        <v>4.8630666666666649</v>
      </c>
      <c r="T57" s="453">
        <f>G80</f>
        <v>6.2079666666666675</v>
      </c>
    </row>
    <row r="58" spans="1:22" x14ac:dyDescent="0.2">
      <c r="A58" s="7"/>
      <c r="B58" s="7" t="s">
        <v>248</v>
      </c>
      <c r="C58" s="184">
        <v>9.6536666666666662</v>
      </c>
      <c r="D58" s="373">
        <v>7.0064666666666655</v>
      </c>
      <c r="E58" s="373">
        <v>13.391033333333334</v>
      </c>
      <c r="F58" s="381">
        <f t="shared" si="7"/>
        <v>2.6472000000000007</v>
      </c>
      <c r="G58" s="380">
        <f t="shared" si="8"/>
        <v>3.7373666666666683</v>
      </c>
      <c r="H58" s="264">
        <f t="shared" si="9"/>
        <v>1998.6</v>
      </c>
      <c r="K58" s="40">
        <v>2010</v>
      </c>
      <c r="L58" s="453">
        <f>C81</f>
        <v>0.85709999999999997</v>
      </c>
      <c r="M58" s="453">
        <f>C82</f>
        <v>1.9975046113306985</v>
      </c>
      <c r="N58" s="469">
        <f t="shared" si="5"/>
        <v>2.3305385734811557</v>
      </c>
      <c r="O58" s="472">
        <f t="shared" si="6"/>
        <v>0.4951558796020859</v>
      </c>
      <c r="P58" s="472">
        <f t="shared" si="4"/>
        <v>-0.70288265769961211</v>
      </c>
      <c r="Q58" s="453">
        <f>F81</f>
        <v>0.29589999999999994</v>
      </c>
      <c r="R58" s="453">
        <f>G81</f>
        <v>1.0329999999999997</v>
      </c>
      <c r="S58" s="453">
        <f>F82</f>
        <v>1.0016666666666669</v>
      </c>
      <c r="T58" s="453">
        <f>G82</f>
        <v>2.4090171277997374</v>
      </c>
    </row>
    <row r="59" spans="1:22" x14ac:dyDescent="0.2">
      <c r="A59" s="7">
        <v>1999</v>
      </c>
      <c r="B59" s="7" t="s">
        <v>247</v>
      </c>
      <c r="C59" s="184">
        <v>1.7571666666666668</v>
      </c>
      <c r="D59" s="373">
        <v>0.98006666666666664</v>
      </c>
      <c r="E59" s="373">
        <v>3.3264906287069991</v>
      </c>
      <c r="F59" s="381">
        <f t="shared" si="7"/>
        <v>0.77710000000000012</v>
      </c>
      <c r="G59" s="380">
        <f t="shared" si="8"/>
        <v>1.5693239620403323</v>
      </c>
      <c r="H59" s="264">
        <f t="shared" si="9"/>
        <v>1999.4</v>
      </c>
      <c r="K59" s="40">
        <v>2011</v>
      </c>
      <c r="L59" s="453">
        <f>C83</f>
        <v>0.98907615283267469</v>
      </c>
      <c r="M59" s="453">
        <f>C84</f>
        <v>4.5858333333333334</v>
      </c>
      <c r="N59" s="469">
        <f t="shared" si="5"/>
        <v>4.6364815491705968</v>
      </c>
      <c r="O59" s="472">
        <f t="shared" si="6"/>
        <v>0.27297110666908958</v>
      </c>
      <c r="P59" s="472">
        <f t="shared" si="4"/>
        <v>-1.2983893257752031</v>
      </c>
      <c r="Q59" s="453">
        <f>F83</f>
        <v>0.52717615283267472</v>
      </c>
      <c r="R59" s="453">
        <f>G83</f>
        <v>1.3604238471673256</v>
      </c>
      <c r="S59" s="453">
        <f>F84</f>
        <v>1.9845666666666664</v>
      </c>
      <c r="T59" s="453">
        <f>G84</f>
        <v>3.5596999999999994</v>
      </c>
    </row>
    <row r="60" spans="1:22" x14ac:dyDescent="0.2">
      <c r="A60" s="7"/>
      <c r="B60" s="7" t="s">
        <v>248</v>
      </c>
      <c r="C60" s="184">
        <v>3.0489333333333328</v>
      </c>
      <c r="D60" s="373">
        <v>1.6534666666666666</v>
      </c>
      <c r="E60" s="373">
        <v>5.8174000000000001</v>
      </c>
      <c r="F60" s="381">
        <f t="shared" si="7"/>
        <v>1.3954666666666662</v>
      </c>
      <c r="G60" s="380">
        <f t="shared" si="8"/>
        <v>2.7684666666666673</v>
      </c>
      <c r="H60" s="264">
        <f t="shared" si="9"/>
        <v>1999.6</v>
      </c>
      <c r="K60" s="40">
        <v>2012</v>
      </c>
      <c r="L60" s="453">
        <f>C85</f>
        <v>1.2518</v>
      </c>
      <c r="M60" s="453">
        <f>C86</f>
        <v>9.3481666666666658</v>
      </c>
      <c r="N60" s="469">
        <f t="shared" si="5"/>
        <v>7.4677797305213813</v>
      </c>
      <c r="O60" s="472">
        <f t="shared" si="6"/>
        <v>0.35800246037547467</v>
      </c>
      <c r="P60" s="472">
        <f t="shared" si="4"/>
        <v>-1.0272154200478609</v>
      </c>
      <c r="Q60" s="453">
        <f>F85</f>
        <v>0.40659999999999996</v>
      </c>
      <c r="R60" s="453">
        <f>G85</f>
        <v>0.74409999999999998</v>
      </c>
      <c r="S60" s="453">
        <f>F86</f>
        <v>2.8391999999999991</v>
      </c>
      <c r="T60" s="453">
        <f>G86</f>
        <v>4.3888666666666687</v>
      </c>
    </row>
    <row r="61" spans="1:22" x14ac:dyDescent="0.2">
      <c r="A61" s="7">
        <v>2000</v>
      </c>
      <c r="B61" s="7" t="s">
        <v>247</v>
      </c>
      <c r="C61" s="184">
        <v>0.24047864768683272</v>
      </c>
      <c r="D61" s="373">
        <v>5.8433333333333337E-2</v>
      </c>
      <c r="E61" s="373">
        <v>0.79878125741399775</v>
      </c>
      <c r="F61" s="381">
        <f t="shared" si="7"/>
        <v>0.18204531435349938</v>
      </c>
      <c r="G61" s="380">
        <f t="shared" si="8"/>
        <v>0.55830260972716506</v>
      </c>
      <c r="H61" s="264">
        <f t="shared" si="9"/>
        <v>2000.4</v>
      </c>
      <c r="K61" s="40">
        <v>2013</v>
      </c>
      <c r="L61" s="453">
        <f>C87</f>
        <v>3.3466666666666662</v>
      </c>
      <c r="M61" s="453">
        <f>C88</f>
        <v>16.553333333333331</v>
      </c>
      <c r="N61" s="469">
        <f t="shared" si="5"/>
        <v>4.9462151394422307</v>
      </c>
      <c r="O61" s="472">
        <f t="shared" si="6"/>
        <v>0.1252517116391462</v>
      </c>
      <c r="P61" s="472">
        <f t="shared" si="4"/>
        <v>-2.0774298733289323</v>
      </c>
      <c r="Q61" s="453">
        <f>F87</f>
        <v>0.76999999999999957</v>
      </c>
      <c r="R61" s="453">
        <f>G87</f>
        <v>0.99333333333333362</v>
      </c>
      <c r="S61" s="453">
        <f>F88</f>
        <v>4.0866666666666642</v>
      </c>
      <c r="T61" s="453">
        <f>G88</f>
        <v>5.4433333333333387</v>
      </c>
    </row>
    <row r="62" spans="1:22" x14ac:dyDescent="0.2">
      <c r="A62" s="7"/>
      <c r="B62" s="7" t="s">
        <v>248</v>
      </c>
      <c r="C62" s="184">
        <v>1.9018182680901543</v>
      </c>
      <c r="D62" s="373">
        <v>1.4963729537366548</v>
      </c>
      <c r="E62" s="373">
        <v>3.286650059311981</v>
      </c>
      <c r="F62" s="381">
        <f t="shared" si="7"/>
        <v>0.40544531435349951</v>
      </c>
      <c r="G62" s="380">
        <f t="shared" si="8"/>
        <v>1.3848317912218266</v>
      </c>
      <c r="H62" s="264">
        <f t="shared" si="9"/>
        <v>2000.6</v>
      </c>
      <c r="K62" s="40">
        <v>2014</v>
      </c>
      <c r="L62" s="453">
        <f>C89</f>
        <v>2.0733333333333333</v>
      </c>
      <c r="M62" s="453">
        <f>C90</f>
        <v>3.5400000000000005</v>
      </c>
      <c r="N62" s="469">
        <f t="shared" si="5"/>
        <v>1.7073954983922832</v>
      </c>
      <c r="O62" s="472">
        <f t="shared" si="6"/>
        <v>0.10052878139011198</v>
      </c>
      <c r="P62" s="472">
        <f t="shared" si="4"/>
        <v>-2.2973112104913374</v>
      </c>
      <c r="Q62" s="453">
        <f>F89</f>
        <v>0.73333333333333339</v>
      </c>
      <c r="R62" s="453">
        <f>G89</f>
        <v>0.93333333333333313</v>
      </c>
      <c r="S62" s="453">
        <f>F89</f>
        <v>0.73333333333333339</v>
      </c>
      <c r="T62" s="453">
        <f>G90</f>
        <v>2.1066666666666669</v>
      </c>
    </row>
    <row r="63" spans="1:22" x14ac:dyDescent="0.2">
      <c r="A63" s="7">
        <v>2001</v>
      </c>
      <c r="B63" s="7" t="s">
        <v>247</v>
      </c>
      <c r="C63" s="377">
        <v>1.5357666666666665</v>
      </c>
      <c r="D63" s="379">
        <v>0.73743333333333327</v>
      </c>
      <c r="E63" s="379">
        <v>2.9686000000000003</v>
      </c>
      <c r="F63" s="381">
        <f t="shared" si="7"/>
        <v>0.79833333333333323</v>
      </c>
      <c r="G63" s="380">
        <f t="shared" si="8"/>
        <v>1.4328333333333338</v>
      </c>
      <c r="H63" s="264">
        <f t="shared" si="9"/>
        <v>2001.4</v>
      </c>
      <c r="K63" s="40">
        <v>2015</v>
      </c>
      <c r="L63" s="453">
        <f>C91</f>
        <v>0.35587188612099646</v>
      </c>
      <c r="M63" s="453">
        <f>C92</f>
        <v>3.37</v>
      </c>
      <c r="N63" s="469">
        <f t="shared" si="5"/>
        <v>9.4696999999999996</v>
      </c>
      <c r="O63" s="472">
        <f t="shared" si="6"/>
        <v>0.17507418397626112</v>
      </c>
      <c r="P63" s="472">
        <f t="shared" si="4"/>
        <v>-1.7425454864466423</v>
      </c>
      <c r="Q63" s="453">
        <f>F91</f>
        <v>0</v>
      </c>
      <c r="R63" s="453">
        <f>G91</f>
        <v>0.29655990510083036</v>
      </c>
      <c r="S63" s="453">
        <f>F91</f>
        <v>0</v>
      </c>
      <c r="T63" s="453">
        <f>G92</f>
        <v>2.2199999999999998</v>
      </c>
      <c r="V63" s="11"/>
    </row>
    <row r="64" spans="1:22" x14ac:dyDescent="0.2">
      <c r="A64" s="7"/>
      <c r="B64" s="7" t="s">
        <v>248</v>
      </c>
      <c r="C64" s="377">
        <v>9.5966666666666658</v>
      </c>
      <c r="D64" s="379">
        <v>6.8034333333333334</v>
      </c>
      <c r="E64" s="379">
        <v>13.579099999999999</v>
      </c>
      <c r="F64" s="381">
        <f t="shared" si="7"/>
        <v>2.7932333333333323</v>
      </c>
      <c r="G64" s="380">
        <f t="shared" si="8"/>
        <v>3.9824333333333328</v>
      </c>
      <c r="H64" s="264">
        <f t="shared" si="9"/>
        <v>2001.6</v>
      </c>
      <c r="K64" s="40">
        <v>2016</v>
      </c>
      <c r="L64" s="40">
        <v>0.59</v>
      </c>
      <c r="M64" s="40">
        <v>6.28</v>
      </c>
      <c r="N64" s="469">
        <f t="shared" si="5"/>
        <v>10.644067796610171</v>
      </c>
      <c r="O64" s="472">
        <f t="shared" si="6"/>
        <v>0.65923566878980888</v>
      </c>
      <c r="P64" s="472">
        <f t="shared" si="4"/>
        <v>-0.41667419264288436</v>
      </c>
      <c r="Q64" s="453">
        <f t="shared" ref="Q64:R66" si="10">F93</f>
        <v>0.22195729537366549</v>
      </c>
      <c r="R64" s="453">
        <f t="shared" si="10"/>
        <v>0.68666666666666676</v>
      </c>
      <c r="S64" s="453">
        <f>F93</f>
        <v>0.22195729537366549</v>
      </c>
      <c r="T64" s="453">
        <f>G94</f>
        <v>2.7235572953736655</v>
      </c>
    </row>
    <row r="65" spans="1:20" x14ac:dyDescent="0.2">
      <c r="A65" s="7">
        <v>2002</v>
      </c>
      <c r="B65" s="7" t="s">
        <v>247</v>
      </c>
      <c r="C65" s="377">
        <v>8.0073000000000008</v>
      </c>
      <c r="D65" s="379">
        <v>5.5654000000000003</v>
      </c>
      <c r="E65" s="379">
        <v>11.5381</v>
      </c>
      <c r="F65" s="381">
        <f t="shared" si="7"/>
        <v>2.4419000000000004</v>
      </c>
      <c r="G65" s="380">
        <f t="shared" si="8"/>
        <v>3.5307999999999993</v>
      </c>
      <c r="H65" s="264">
        <f t="shared" si="9"/>
        <v>2002.4</v>
      </c>
      <c r="K65" s="40">
        <v>2017</v>
      </c>
      <c r="L65" s="40">
        <v>4.1399999999999997</v>
      </c>
      <c r="M65" s="40">
        <v>18.649999999999999</v>
      </c>
      <c r="N65" s="469">
        <f t="shared" si="5"/>
        <v>4.5048309178743962</v>
      </c>
      <c r="O65" s="472">
        <f t="shared" si="6"/>
        <v>0.12117962466487936</v>
      </c>
      <c r="P65" s="472">
        <f t="shared" si="4"/>
        <v>-2.1104813328056302</v>
      </c>
      <c r="Q65" s="453">
        <f t="shared" si="10"/>
        <v>1.7963999999999993</v>
      </c>
      <c r="R65" s="453">
        <f t="shared" si="10"/>
        <v>2.7235572953736655</v>
      </c>
      <c r="S65" s="453">
        <f>F94</f>
        <v>1.7963999999999993</v>
      </c>
      <c r="T65" s="453">
        <f>G95</f>
        <v>2.1643291266841125</v>
      </c>
    </row>
    <row r="66" spans="1:20" x14ac:dyDescent="0.2">
      <c r="B66" s="7" t="s">
        <v>248</v>
      </c>
      <c r="C66" s="377">
        <v>25.589333333333332</v>
      </c>
      <c r="D66" s="379">
        <v>19.851233333333333</v>
      </c>
      <c r="E66" s="379">
        <v>33.021120000000003</v>
      </c>
      <c r="F66" s="381">
        <f t="shared" si="7"/>
        <v>5.7380999999999993</v>
      </c>
      <c r="G66" s="380">
        <f t="shared" si="8"/>
        <v>7.431786666666671</v>
      </c>
      <c r="H66" s="264">
        <f t="shared" si="9"/>
        <v>2002.6</v>
      </c>
      <c r="K66" s="40">
        <v>2018</v>
      </c>
      <c r="L66" s="40">
        <v>2.2599999999999998</v>
      </c>
      <c r="M66" s="40">
        <v>8.3699999999999992</v>
      </c>
      <c r="N66" s="469">
        <f t="shared" si="5"/>
        <v>3.7035398230088497</v>
      </c>
      <c r="Q66" s="453">
        <f t="shared" si="10"/>
        <v>1.0864590094019588</v>
      </c>
      <c r="R66" s="453">
        <f t="shared" si="10"/>
        <v>2.1643291266841125</v>
      </c>
    </row>
    <row r="67" spans="1:20" x14ac:dyDescent="0.2">
      <c r="A67" s="7">
        <v>2003</v>
      </c>
      <c r="B67" s="7" t="s">
        <v>247</v>
      </c>
      <c r="C67" s="184">
        <v>0.15421115065243177</v>
      </c>
      <c r="D67" s="373">
        <v>0</v>
      </c>
      <c r="E67" s="373">
        <v>0.47449584816132861</v>
      </c>
      <c r="F67" s="381">
        <f t="shared" si="7"/>
        <v>0.15421115065243177</v>
      </c>
      <c r="G67" s="380">
        <f t="shared" si="8"/>
        <v>0.32028469750889688</v>
      </c>
      <c r="H67" s="264">
        <f t="shared" si="9"/>
        <v>2003.4</v>
      </c>
    </row>
    <row r="68" spans="1:20" x14ac:dyDescent="0.2">
      <c r="B68" s="7" t="s">
        <v>248</v>
      </c>
      <c r="C68" s="184">
        <v>0.14234875444839856</v>
      </c>
      <c r="D68" s="373">
        <v>0</v>
      </c>
      <c r="E68" s="373">
        <v>0.47449584816132861</v>
      </c>
      <c r="F68" s="381">
        <f t="shared" si="7"/>
        <v>0.14234875444839856</v>
      </c>
      <c r="G68" s="380">
        <f t="shared" si="8"/>
        <v>0.33214709371293005</v>
      </c>
      <c r="H68" s="264">
        <f t="shared" si="9"/>
        <v>2003.6</v>
      </c>
    </row>
    <row r="69" spans="1:20" x14ac:dyDescent="0.2">
      <c r="A69" s="7">
        <v>2004</v>
      </c>
      <c r="B69" s="7" t="s">
        <v>247</v>
      </c>
      <c r="C69" s="184">
        <v>0.76389916963226578</v>
      </c>
      <c r="D69" s="373">
        <v>0.33333333333333331</v>
      </c>
      <c r="E69" s="373">
        <v>1.6892052194543297</v>
      </c>
      <c r="F69" s="381">
        <f t="shared" si="7"/>
        <v>0.43056583629893247</v>
      </c>
      <c r="G69" s="380">
        <f t="shared" si="8"/>
        <v>0.92530604982206388</v>
      </c>
      <c r="H69" s="264">
        <v>2004.4</v>
      </c>
    </row>
    <row r="70" spans="1:20" x14ac:dyDescent="0.2">
      <c r="B70" s="7" t="s">
        <v>248</v>
      </c>
      <c r="C70" s="184">
        <v>0.74249062870699889</v>
      </c>
      <c r="D70" s="373">
        <v>0.27463333333333334</v>
      </c>
      <c r="E70" s="373">
        <v>2.480866666666667</v>
      </c>
      <c r="F70" s="381">
        <f t="shared" si="7"/>
        <v>0.46785729537366555</v>
      </c>
      <c r="G70" s="380">
        <f t="shared" si="8"/>
        <v>1.738376037959668</v>
      </c>
      <c r="H70" s="264">
        <v>2004.6</v>
      </c>
    </row>
    <row r="71" spans="1:20" x14ac:dyDescent="0.2">
      <c r="A71" s="7">
        <v>2005</v>
      </c>
      <c r="B71" s="7" t="s">
        <v>247</v>
      </c>
      <c r="C71" s="184">
        <v>2.2549333333333332</v>
      </c>
      <c r="D71" s="373">
        <v>1.2099666666666666</v>
      </c>
      <c r="E71" s="373">
        <v>4.2005333333333335</v>
      </c>
      <c r="F71" s="381">
        <f t="shared" si="7"/>
        <v>1.0449666666666666</v>
      </c>
      <c r="G71" s="380">
        <f t="shared" si="8"/>
        <v>1.9456000000000002</v>
      </c>
      <c r="H71" s="264">
        <v>2005.4</v>
      </c>
    </row>
    <row r="72" spans="1:20" x14ac:dyDescent="0.2">
      <c r="B72" s="7" t="s">
        <v>248</v>
      </c>
      <c r="C72" s="184">
        <v>14.403633333333334</v>
      </c>
      <c r="D72" s="373">
        <v>10.675333333333334</v>
      </c>
      <c r="E72" s="373">
        <v>19.454900000000002</v>
      </c>
      <c r="F72" s="381">
        <f t="shared" si="7"/>
        <v>3.7282999999999991</v>
      </c>
      <c r="G72" s="380">
        <f t="shared" si="8"/>
        <v>5.0512666666666686</v>
      </c>
      <c r="H72" s="264">
        <v>2005.6</v>
      </c>
    </row>
    <row r="73" spans="1:20" x14ac:dyDescent="0.2">
      <c r="A73" s="7">
        <v>2006</v>
      </c>
      <c r="B73" s="7" t="s">
        <v>247</v>
      </c>
      <c r="C73" s="184">
        <v>0.97557864768683278</v>
      </c>
      <c r="D73" s="373">
        <v>0.42813333333333331</v>
      </c>
      <c r="E73" s="373">
        <v>1.9789000000000001</v>
      </c>
      <c r="F73" s="381">
        <f t="shared" si="7"/>
        <v>0.54744531435349941</v>
      </c>
      <c r="G73" s="380">
        <f t="shared" si="8"/>
        <v>1.0033213523131672</v>
      </c>
      <c r="H73" s="264">
        <v>2006.4</v>
      </c>
    </row>
    <row r="74" spans="1:20" x14ac:dyDescent="0.2">
      <c r="B74" s="7" t="s">
        <v>248</v>
      </c>
      <c r="C74" s="184">
        <v>3.4710000000000001</v>
      </c>
      <c r="D74" s="373">
        <v>1.8644999999999998</v>
      </c>
      <c r="E74" s="373">
        <v>6.5306333333333333</v>
      </c>
      <c r="F74" s="381">
        <f t="shared" si="7"/>
        <v>1.6065000000000003</v>
      </c>
      <c r="G74" s="380">
        <f t="shared" si="8"/>
        <v>3.0596333333333332</v>
      </c>
      <c r="H74" s="264">
        <v>2006.6</v>
      </c>
    </row>
    <row r="75" spans="1:20" x14ac:dyDescent="0.2">
      <c r="A75" s="7">
        <v>2007</v>
      </c>
      <c r="B75" s="7" t="s">
        <v>247</v>
      </c>
      <c r="C75" s="376">
        <v>0.9429317912218268</v>
      </c>
      <c r="D75" s="378">
        <v>0.75587188612099643</v>
      </c>
      <c r="E75" s="373">
        <v>1.5931198102016608</v>
      </c>
      <c r="F75" s="381">
        <f t="shared" si="7"/>
        <v>0.18705990510083037</v>
      </c>
      <c r="G75" s="380">
        <f t="shared" si="8"/>
        <v>0.65018801897983403</v>
      </c>
      <c r="H75" s="264">
        <v>2007.4</v>
      </c>
    </row>
    <row r="76" spans="1:20" x14ac:dyDescent="0.2">
      <c r="B76" s="7" t="s">
        <v>248</v>
      </c>
      <c r="C76" s="376">
        <v>2.0941333333333332</v>
      </c>
      <c r="D76" s="378">
        <v>0.96903333333333341</v>
      </c>
      <c r="E76" s="373">
        <v>4.6303333333333336</v>
      </c>
      <c r="F76" s="381">
        <f t="shared" si="7"/>
        <v>1.1250999999999998</v>
      </c>
      <c r="G76" s="380">
        <f t="shared" si="8"/>
        <v>2.5362000000000005</v>
      </c>
      <c r="H76" s="264">
        <v>2007.6</v>
      </c>
    </row>
    <row r="77" spans="1:20" x14ac:dyDescent="0.2">
      <c r="A77" s="7">
        <v>2008</v>
      </c>
      <c r="B77" s="7" t="s">
        <v>247</v>
      </c>
      <c r="C77" s="376">
        <v>3.2544333333333331</v>
      </c>
      <c r="D77" s="378">
        <v>1.9083666666666668</v>
      </c>
      <c r="E77" s="373">
        <v>5.5573000000000006</v>
      </c>
      <c r="F77" s="381">
        <f t="shared" si="7"/>
        <v>1.3460666666666663</v>
      </c>
      <c r="G77" s="380">
        <f t="shared" si="8"/>
        <v>2.3028666666666675</v>
      </c>
      <c r="H77" s="264">
        <v>2008.4</v>
      </c>
    </row>
    <row r="78" spans="1:20" x14ac:dyDescent="0.2">
      <c r="B78" s="7" t="s">
        <v>248</v>
      </c>
      <c r="C78" s="376">
        <v>13.247199999999999</v>
      </c>
      <c r="D78" s="378">
        <v>9.7564666666666664</v>
      </c>
      <c r="E78" s="373">
        <v>18.035499999999999</v>
      </c>
      <c r="F78" s="381">
        <f t="shared" si="7"/>
        <v>3.490733333333333</v>
      </c>
      <c r="G78" s="380">
        <f t="shared" si="8"/>
        <v>4.7882999999999996</v>
      </c>
      <c r="H78" s="264">
        <v>2008.6</v>
      </c>
    </row>
    <row r="79" spans="1:20" x14ac:dyDescent="0.2">
      <c r="A79" s="7">
        <v>2009</v>
      </c>
      <c r="B79" s="7" t="s">
        <v>247</v>
      </c>
      <c r="C79" s="184">
        <v>4.1565666666666665</v>
      </c>
      <c r="D79" s="373">
        <v>2.5681666666666669</v>
      </c>
      <c r="E79" s="373">
        <v>6.7381333333333329</v>
      </c>
      <c r="F79" s="381">
        <f t="shared" si="7"/>
        <v>1.5883999999999996</v>
      </c>
      <c r="G79" s="380">
        <f t="shared" si="8"/>
        <v>2.5815666666666663</v>
      </c>
      <c r="H79" s="264">
        <v>2009.4</v>
      </c>
    </row>
    <row r="80" spans="1:20" x14ac:dyDescent="0.2">
      <c r="B80" s="7" t="s">
        <v>248</v>
      </c>
      <c r="C80" s="184">
        <v>22.461433333333332</v>
      </c>
      <c r="D80" s="373">
        <v>17.598366666666667</v>
      </c>
      <c r="E80" s="373">
        <v>28.6694</v>
      </c>
      <c r="F80" s="381">
        <f t="shared" si="7"/>
        <v>4.8630666666666649</v>
      </c>
      <c r="G80" s="380">
        <f t="shared" si="8"/>
        <v>6.2079666666666675</v>
      </c>
      <c r="H80" s="264">
        <v>2009.6</v>
      </c>
    </row>
    <row r="81" spans="1:8" x14ac:dyDescent="0.2">
      <c r="A81" s="7">
        <v>2010</v>
      </c>
      <c r="B81" s="7" t="s">
        <v>247</v>
      </c>
      <c r="C81" s="184">
        <v>0.85709999999999997</v>
      </c>
      <c r="D81" s="373">
        <v>0.56120000000000003</v>
      </c>
      <c r="E81" s="373">
        <v>1.8900999999999997</v>
      </c>
      <c r="F81" s="381">
        <f t="shared" si="7"/>
        <v>0.29589999999999994</v>
      </c>
      <c r="G81" s="380">
        <f t="shared" si="8"/>
        <v>1.0329999999999997</v>
      </c>
      <c r="H81" s="264">
        <v>2010.4</v>
      </c>
    </row>
    <row r="82" spans="1:8" x14ac:dyDescent="0.2">
      <c r="B82" s="7" t="s">
        <v>248</v>
      </c>
      <c r="C82" s="184">
        <v>1.9975046113306985</v>
      </c>
      <c r="D82" s="373">
        <v>0.99583794466403164</v>
      </c>
      <c r="E82" s="373">
        <v>4.4065217391304357</v>
      </c>
      <c r="F82" s="583">
        <f t="shared" si="7"/>
        <v>1.0016666666666669</v>
      </c>
      <c r="G82" s="425">
        <f t="shared" si="8"/>
        <v>2.4090171277997374</v>
      </c>
      <c r="H82" s="264">
        <v>2010.6</v>
      </c>
    </row>
    <row r="83" spans="1:8" x14ac:dyDescent="0.2">
      <c r="A83" s="7">
        <v>2011</v>
      </c>
      <c r="B83" s="7" t="s">
        <v>247</v>
      </c>
      <c r="C83" s="184">
        <v>0.98907615283267469</v>
      </c>
      <c r="D83" s="373">
        <v>0.46189999999999998</v>
      </c>
      <c r="E83" s="373">
        <v>2.3495000000000004</v>
      </c>
      <c r="F83" s="498">
        <f t="shared" si="7"/>
        <v>0.52717615283267472</v>
      </c>
      <c r="G83" s="425">
        <f t="shared" si="8"/>
        <v>1.3604238471673256</v>
      </c>
      <c r="H83" s="264">
        <v>2011.4</v>
      </c>
    </row>
    <row r="84" spans="1:8" x14ac:dyDescent="0.2">
      <c r="B84" s="7" t="s">
        <v>248</v>
      </c>
      <c r="C84" s="184">
        <v>4.5858333333333334</v>
      </c>
      <c r="D84" s="9">
        <v>2.6012666666666671</v>
      </c>
      <c r="E84" s="9">
        <v>8.1455333333333328</v>
      </c>
      <c r="F84" s="498">
        <f t="shared" ref="F84:F90" si="11">C84-D84</f>
        <v>1.9845666666666664</v>
      </c>
      <c r="G84" s="425">
        <f t="shared" ref="G84:G90" si="12">E84-C84</f>
        <v>3.5596999999999994</v>
      </c>
      <c r="H84" s="264">
        <v>2011.6</v>
      </c>
    </row>
    <row r="85" spans="1:8" x14ac:dyDescent="0.2">
      <c r="A85" s="7">
        <v>2012</v>
      </c>
      <c r="B85" s="7" t="s">
        <v>247</v>
      </c>
      <c r="C85" s="184">
        <v>1.2518</v>
      </c>
      <c r="D85" s="373">
        <v>0.84520000000000006</v>
      </c>
      <c r="E85" s="373">
        <v>1.9959</v>
      </c>
      <c r="F85" s="516">
        <f t="shared" si="11"/>
        <v>0.40659999999999996</v>
      </c>
      <c r="G85" s="425">
        <f t="shared" si="12"/>
        <v>0.74409999999999998</v>
      </c>
      <c r="H85" s="264">
        <v>2012.4</v>
      </c>
    </row>
    <row r="86" spans="1:8" x14ac:dyDescent="0.2">
      <c r="B86" s="7" t="s">
        <v>248</v>
      </c>
      <c r="C86" s="510">
        <v>9.3481666666666658</v>
      </c>
      <c r="D86" s="9">
        <v>6.5089666666666668</v>
      </c>
      <c r="E86" s="9">
        <v>13.737033333333335</v>
      </c>
      <c r="F86" s="516">
        <f t="shared" si="11"/>
        <v>2.8391999999999991</v>
      </c>
      <c r="G86" s="425">
        <f t="shared" si="12"/>
        <v>4.3888666666666687</v>
      </c>
      <c r="H86" s="264">
        <v>2012.6</v>
      </c>
    </row>
    <row r="87" spans="1:8" x14ac:dyDescent="0.2">
      <c r="A87" s="7">
        <v>2013</v>
      </c>
      <c r="B87" s="7" t="s">
        <v>247</v>
      </c>
      <c r="C87" s="510">
        <v>3.3466666666666662</v>
      </c>
      <c r="D87" s="9">
        <v>2.5766666666666667</v>
      </c>
      <c r="E87" s="9">
        <v>4.34</v>
      </c>
      <c r="F87" s="516">
        <f t="shared" si="11"/>
        <v>0.76999999999999957</v>
      </c>
      <c r="G87" s="425">
        <f t="shared" si="12"/>
        <v>0.99333333333333362</v>
      </c>
      <c r="H87" s="264">
        <v>2013.4</v>
      </c>
    </row>
    <row r="88" spans="1:8" x14ac:dyDescent="0.2">
      <c r="B88" s="7" t="s">
        <v>248</v>
      </c>
      <c r="C88" s="510">
        <v>16.553333333333331</v>
      </c>
      <c r="D88" s="9">
        <v>12.466666666666667</v>
      </c>
      <c r="E88" s="9">
        <v>21.99666666666667</v>
      </c>
      <c r="F88" s="516">
        <f t="shared" si="11"/>
        <v>4.0866666666666642</v>
      </c>
      <c r="G88" s="425">
        <f t="shared" si="12"/>
        <v>5.4433333333333387</v>
      </c>
      <c r="H88" s="264">
        <v>2013.6</v>
      </c>
    </row>
    <row r="89" spans="1:8" x14ac:dyDescent="0.2">
      <c r="A89" s="7">
        <v>2014</v>
      </c>
      <c r="B89" s="7" t="s">
        <v>247</v>
      </c>
      <c r="C89" s="510">
        <v>2.0733333333333333</v>
      </c>
      <c r="D89" s="9">
        <v>1.3399999999999999</v>
      </c>
      <c r="E89" s="9">
        <v>3.0066666666666664</v>
      </c>
      <c r="F89" s="516">
        <f t="shared" si="11"/>
        <v>0.73333333333333339</v>
      </c>
      <c r="G89" s="425">
        <f t="shared" si="12"/>
        <v>0.93333333333333313</v>
      </c>
      <c r="H89" s="264">
        <v>2014.4</v>
      </c>
    </row>
    <row r="90" spans="1:8" x14ac:dyDescent="0.2">
      <c r="B90" s="7" t="s">
        <v>248</v>
      </c>
      <c r="C90" s="510">
        <v>3.5400000000000005</v>
      </c>
      <c r="D90" s="9">
        <v>2.62</v>
      </c>
      <c r="E90" s="9">
        <v>5.6466666666666674</v>
      </c>
      <c r="F90" s="516">
        <f t="shared" si="11"/>
        <v>0.92000000000000037</v>
      </c>
      <c r="G90" s="425">
        <f t="shared" si="12"/>
        <v>2.1066666666666669</v>
      </c>
      <c r="H90" s="264">
        <v>2014.6</v>
      </c>
    </row>
    <row r="91" spans="1:8" x14ac:dyDescent="0.2">
      <c r="A91" s="7">
        <v>2015</v>
      </c>
      <c r="B91" s="7" t="s">
        <v>247</v>
      </c>
      <c r="C91" s="510">
        <v>0.35587188612099646</v>
      </c>
      <c r="D91" s="9">
        <v>0.35587188612099646</v>
      </c>
      <c r="E91" s="9">
        <v>0.65243179122182682</v>
      </c>
      <c r="F91" s="516">
        <f t="shared" ref="F91:F92" si="13">C91-D91</f>
        <v>0</v>
      </c>
      <c r="G91" s="425">
        <f t="shared" ref="G91:G92" si="14">E91-C91</f>
        <v>0.29655990510083036</v>
      </c>
      <c r="H91" s="264">
        <v>2015.4</v>
      </c>
    </row>
    <row r="92" spans="1:8" x14ac:dyDescent="0.2">
      <c r="B92" s="7" t="s">
        <v>248</v>
      </c>
      <c r="C92" s="510">
        <v>3.37</v>
      </c>
      <c r="D92" s="9">
        <v>2.09</v>
      </c>
      <c r="E92" s="9">
        <v>5.59</v>
      </c>
      <c r="F92" s="516">
        <f t="shared" si="13"/>
        <v>1.2800000000000002</v>
      </c>
      <c r="G92" s="425">
        <f t="shared" si="14"/>
        <v>2.2199999999999998</v>
      </c>
      <c r="H92" s="264">
        <v>2015.6</v>
      </c>
    </row>
    <row r="93" spans="1:8" x14ac:dyDescent="0.2">
      <c r="A93" s="7">
        <v>2016</v>
      </c>
      <c r="B93" s="7" t="s">
        <v>247</v>
      </c>
      <c r="C93" s="510">
        <v>0.58529062870699877</v>
      </c>
      <c r="D93" s="9">
        <v>0.36333333333333329</v>
      </c>
      <c r="E93" s="9">
        <v>1.2719572953736655</v>
      </c>
      <c r="F93" s="516">
        <f t="shared" ref="F93" si="15">C93-D93</f>
        <v>0.22195729537366549</v>
      </c>
      <c r="G93" s="425">
        <f t="shared" ref="G93" si="16">E93-C93</f>
        <v>0.68666666666666676</v>
      </c>
      <c r="H93" s="264">
        <v>2016.4</v>
      </c>
    </row>
    <row r="94" spans="1:8" x14ac:dyDescent="0.2">
      <c r="B94" s="7" t="s">
        <v>248</v>
      </c>
      <c r="C94" s="510">
        <v>6.2768479240806636</v>
      </c>
      <c r="D94" s="9">
        <v>4.4804479240806643</v>
      </c>
      <c r="E94" s="9">
        <v>9.0004052194543291</v>
      </c>
      <c r="F94" s="516">
        <f t="shared" ref="F94" si="17">C94-D94</f>
        <v>1.7963999999999993</v>
      </c>
      <c r="G94" s="425">
        <f t="shared" ref="G94" si="18">E94-C94</f>
        <v>2.7235572953736655</v>
      </c>
      <c r="H94" s="264">
        <v>2016.6</v>
      </c>
    </row>
    <row r="95" spans="1:8" x14ac:dyDescent="0.2">
      <c r="A95" s="7">
        <v>2017</v>
      </c>
      <c r="B95" s="7" t="s">
        <v>247</v>
      </c>
      <c r="C95" s="510">
        <v>4.1413666666666673</v>
      </c>
      <c r="D95" s="9">
        <v>3.0549076572647085</v>
      </c>
      <c r="E95" s="9">
        <v>6.3056957933507798</v>
      </c>
      <c r="F95" s="516">
        <f t="shared" ref="F95" si="19">C95-D95</f>
        <v>1.0864590094019588</v>
      </c>
      <c r="G95" s="425">
        <f t="shared" ref="G95" si="20">E95-C95</f>
        <v>2.1643291266841125</v>
      </c>
      <c r="H95" s="264">
        <v>2017.4</v>
      </c>
    </row>
    <row r="96" spans="1:8" x14ac:dyDescent="0.2">
      <c r="B96" s="7" t="s">
        <v>248</v>
      </c>
      <c r="C96" s="510">
        <v>18.649999999999999</v>
      </c>
      <c r="D96" s="9">
        <v>14.29</v>
      </c>
      <c r="E96" s="9">
        <v>24.348666666666663</v>
      </c>
      <c r="F96" s="516">
        <f t="shared" ref="F96:F98" si="21">C96-D96</f>
        <v>4.3599999999999994</v>
      </c>
      <c r="G96" s="425">
        <f t="shared" ref="G96:G98" si="22">E96-C96</f>
        <v>5.6986666666666643</v>
      </c>
      <c r="H96" s="264">
        <v>2017.6</v>
      </c>
    </row>
    <row r="97" spans="1:8" x14ac:dyDescent="0.2">
      <c r="A97" s="7">
        <v>2018</v>
      </c>
      <c r="B97" s="7" t="s">
        <v>247</v>
      </c>
      <c r="C97" s="510">
        <v>2.9033333333333338</v>
      </c>
      <c r="D97" s="9">
        <v>1.6133333333333333</v>
      </c>
      <c r="E97" s="9">
        <v>5.2833333333333332</v>
      </c>
      <c r="F97" s="516">
        <f t="shared" si="21"/>
        <v>1.2900000000000005</v>
      </c>
      <c r="G97" s="425">
        <f t="shared" si="22"/>
        <v>2.3799999999999994</v>
      </c>
      <c r="H97" s="264">
        <v>2018.4</v>
      </c>
    </row>
    <row r="98" spans="1:8" x14ac:dyDescent="0.2">
      <c r="B98" s="7" t="s">
        <v>248</v>
      </c>
      <c r="C98" s="510">
        <v>8.3666666666666671</v>
      </c>
      <c r="D98" s="9">
        <v>6.3266666666666653</v>
      </c>
      <c r="E98" s="9">
        <v>12.19</v>
      </c>
      <c r="F98" s="516">
        <f t="shared" si="21"/>
        <v>2.0400000000000018</v>
      </c>
      <c r="G98" s="425">
        <f t="shared" si="22"/>
        <v>3.8233333333333324</v>
      </c>
      <c r="H98" s="264">
        <v>2018.6</v>
      </c>
    </row>
    <row r="99" spans="1:8" x14ac:dyDescent="0.2">
      <c r="F99" s="516"/>
      <c r="G99" s="425"/>
      <c r="H99" s="264"/>
    </row>
    <row r="100" spans="1:8" x14ac:dyDescent="0.2">
      <c r="A100" s="428" t="s">
        <v>550</v>
      </c>
      <c r="B100" s="428" t="s">
        <v>247</v>
      </c>
      <c r="C100" s="429">
        <f>AVERAGE(C61,C63,C65,C67,C69,C71,C73,C75,C77,C79,C81,C83,C85,C87,C89,C91,C93)</f>
        <v>1.8673669455612272</v>
      </c>
      <c r="D100" s="313" t="s">
        <v>704</v>
      </c>
    </row>
    <row r="101" spans="1:8" x14ac:dyDescent="0.2">
      <c r="A101" s="428" t="s">
        <v>550</v>
      </c>
      <c r="B101" s="428" t="s">
        <v>248</v>
      </c>
      <c r="C101" s="429">
        <f>AVERAGE(C62,C64,C66,C68,C70,C72,C74,C76,C78,C80,C82,C84,C86,C88,C90,C92)</f>
        <v>8.3153059747443478</v>
      </c>
      <c r="D101" s="313" t="s">
        <v>675</v>
      </c>
    </row>
    <row r="102" spans="1:8" x14ac:dyDescent="0.2">
      <c r="C102" s="429"/>
    </row>
    <row r="103" spans="1:8" x14ac:dyDescent="0.2">
      <c r="A103" s="428" t="s">
        <v>550</v>
      </c>
      <c r="B103" s="428" t="s">
        <v>248</v>
      </c>
      <c r="C103" s="429">
        <f>AVERAGE(C72,C74,C76,C78,C80,C82,C84,C86,C88,C90,C92)</f>
        <v>8.6429307222421858</v>
      </c>
      <c r="D103" s="313" t="s">
        <v>676</v>
      </c>
    </row>
    <row r="104" spans="1:8" x14ac:dyDescent="0.2">
      <c r="G104" s="11"/>
    </row>
    <row r="105" spans="1:8" x14ac:dyDescent="0.2">
      <c r="A105" s="428" t="s">
        <v>550</v>
      </c>
      <c r="B105" s="428" t="s">
        <v>248</v>
      </c>
      <c r="C105" s="561">
        <f>AVERAGE(C34,C36,C38,C40,C42,C44,C46,C48,C50,C52,C54,C56,C58,C60)</f>
        <v>5.1259019403490935</v>
      </c>
      <c r="D105" t="s">
        <v>612</v>
      </c>
      <c r="E105" s="9"/>
    </row>
    <row r="106" spans="1:8" x14ac:dyDescent="0.2">
      <c r="A106" s="428" t="s">
        <v>550</v>
      </c>
      <c r="B106" s="428" t="s">
        <v>248</v>
      </c>
      <c r="C106" s="561">
        <f>AVERAGE(M21:M63)</f>
        <v>6.5808338040318866</v>
      </c>
      <c r="D106" s="20" t="s">
        <v>684</v>
      </c>
    </row>
    <row r="108" spans="1:8" x14ac:dyDescent="0.2">
      <c r="C108" s="602">
        <f>C101/C105</f>
        <v>1.6222132361310921</v>
      </c>
    </row>
    <row r="110" spans="1:8" x14ac:dyDescent="0.2">
      <c r="A110" s="5" t="s">
        <v>551</v>
      </c>
      <c r="B110" s="5" t="s">
        <v>248</v>
      </c>
      <c r="C110" s="538">
        <v>3.82</v>
      </c>
      <c r="D110" s="5" t="s">
        <v>701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79"/>
  <sheetViews>
    <sheetView topLeftCell="V1" zoomScale="120" zoomScaleNormal="120" workbookViewId="0">
      <pane ySplit="7" topLeftCell="A8" activePane="bottomLeft" state="frozenSplit"/>
      <selection activeCell="G3" sqref="G3"/>
      <selection pane="bottomLeft" activeCell="V10" sqref="V10:X41"/>
    </sheetView>
  </sheetViews>
  <sheetFormatPr defaultRowHeight="12.75" x14ac:dyDescent="0.2"/>
  <cols>
    <col min="3" max="3" width="14.5703125" customWidth="1"/>
    <col min="4" max="4" width="10.7109375" customWidth="1"/>
    <col min="5" max="5" width="10.5703125" customWidth="1"/>
    <col min="6" max="6" width="8.42578125" style="7" customWidth="1"/>
    <col min="7" max="7" width="9.140625" style="7"/>
    <col min="9" max="9" width="3.7109375" customWidth="1"/>
    <col min="10" max="10" width="14.5703125" customWidth="1"/>
    <col min="11" max="11" width="11.28515625" customWidth="1"/>
    <col min="12" max="12" width="10.42578125" customWidth="1"/>
    <col min="23" max="23" width="16.7109375" style="608" customWidth="1"/>
    <col min="24" max="24" width="9.140625" style="608"/>
    <col min="25" max="25" width="11.42578125" style="7" customWidth="1"/>
    <col min="26" max="26" width="7.28515625" style="7" customWidth="1"/>
    <col min="27" max="27" width="12.42578125" customWidth="1"/>
  </cols>
  <sheetData>
    <row r="1" spans="1:28" ht="16.5" thickBot="1" x14ac:dyDescent="0.3">
      <c r="A1" s="388" t="s">
        <v>523</v>
      </c>
      <c r="B1" s="104"/>
      <c r="C1" s="104"/>
      <c r="D1" s="105"/>
      <c r="E1" s="105"/>
    </row>
    <row r="2" spans="1:28" x14ac:dyDescent="0.2">
      <c r="A2" s="37" t="s">
        <v>271</v>
      </c>
      <c r="H2" s="188" t="s">
        <v>408</v>
      </c>
      <c r="L2" s="99" t="s">
        <v>249</v>
      </c>
    </row>
    <row r="3" spans="1:28" x14ac:dyDescent="0.2">
      <c r="A3" s="37" t="s">
        <v>518</v>
      </c>
      <c r="H3" s="188"/>
      <c r="L3" s="99"/>
    </row>
    <row r="4" spans="1:28" x14ac:dyDescent="0.2">
      <c r="A4" s="313" t="s">
        <v>522</v>
      </c>
      <c r="F4" s="40"/>
    </row>
    <row r="5" spans="1:28" ht="15" x14ac:dyDescent="0.2">
      <c r="C5" s="391" t="s">
        <v>525</v>
      </c>
      <c r="I5" s="393"/>
      <c r="K5" s="392" t="s">
        <v>524</v>
      </c>
    </row>
    <row r="6" spans="1:28" ht="13.5" thickBot="1" x14ac:dyDescent="0.25">
      <c r="F6" s="40"/>
      <c r="I6" s="393"/>
    </row>
    <row r="7" spans="1:28" ht="39" thickBot="1" x14ac:dyDescent="0.25">
      <c r="A7" s="25" t="s">
        <v>16</v>
      </c>
      <c r="B7" s="25" t="s">
        <v>75</v>
      </c>
      <c r="C7" s="386" t="s">
        <v>519</v>
      </c>
      <c r="D7" s="385" t="s">
        <v>19</v>
      </c>
      <c r="E7" s="389" t="s">
        <v>20</v>
      </c>
      <c r="F7" s="390" t="s">
        <v>515</v>
      </c>
      <c r="G7" s="390" t="s">
        <v>516</v>
      </c>
      <c r="H7" s="387" t="s">
        <v>520</v>
      </c>
      <c r="I7" s="393"/>
      <c r="J7" s="386" t="s">
        <v>519</v>
      </c>
      <c r="K7" s="385" t="s">
        <v>19</v>
      </c>
      <c r="L7" s="389" t="s">
        <v>20</v>
      </c>
      <c r="M7" s="390" t="s">
        <v>515</v>
      </c>
      <c r="N7" s="390" t="s">
        <v>516</v>
      </c>
      <c r="O7" s="387"/>
      <c r="W7" s="610" t="s">
        <v>695</v>
      </c>
      <c r="Y7" s="611" t="s">
        <v>696</v>
      </c>
      <c r="AA7" s="612" t="s">
        <v>698</v>
      </c>
      <c r="AB7" s="640" t="s">
        <v>734</v>
      </c>
    </row>
    <row r="8" spans="1:28" x14ac:dyDescent="0.2">
      <c r="A8" s="7">
        <v>1987</v>
      </c>
      <c r="B8" s="7" t="s">
        <v>247</v>
      </c>
      <c r="C8" s="368">
        <v>0.41518386714116251</v>
      </c>
      <c r="D8" s="9">
        <v>0.35587188612099646</v>
      </c>
      <c r="E8" s="9">
        <v>0.83036773428232502</v>
      </c>
      <c r="F8" s="453">
        <f t="shared" ref="F8:F52" si="0">C8-D8</f>
        <v>5.9311981020166049E-2</v>
      </c>
      <c r="G8" s="453">
        <f t="shared" ref="G8:G52" si="1">E8-C8</f>
        <v>0.41518386714116251</v>
      </c>
      <c r="H8">
        <v>1987.4</v>
      </c>
      <c r="I8" s="393"/>
      <c r="J8" s="184">
        <v>0</v>
      </c>
      <c r="K8" s="11"/>
      <c r="R8" s="11">
        <f t="shared" ref="R8:R33" si="2">C8+J8</f>
        <v>0.41518386714116251</v>
      </c>
      <c r="S8" s="11">
        <f t="shared" ref="S8:S32" si="3">AVERAGE(R8:R9)</f>
        <v>0.44483985765124556</v>
      </c>
      <c r="W8" s="608" t="s">
        <v>247</v>
      </c>
      <c r="X8" s="608" t="s">
        <v>403</v>
      </c>
      <c r="Y8" s="422" t="s">
        <v>247</v>
      </c>
      <c r="Z8" s="422" t="s">
        <v>403</v>
      </c>
    </row>
    <row r="9" spans="1:28" x14ac:dyDescent="0.2">
      <c r="A9" s="7"/>
      <c r="B9" s="7" t="s">
        <v>248</v>
      </c>
      <c r="C9" s="368">
        <v>0.47449584816132856</v>
      </c>
      <c r="D9" s="9">
        <v>0.47449584816132856</v>
      </c>
      <c r="E9" s="9">
        <v>0.94899169632265712</v>
      </c>
      <c r="F9" s="453">
        <f t="shared" si="0"/>
        <v>0</v>
      </c>
      <c r="G9" s="453">
        <f t="shared" si="1"/>
        <v>0.47449584816132856</v>
      </c>
      <c r="H9">
        <v>1987.6</v>
      </c>
      <c r="I9" s="393"/>
      <c r="J9" s="184">
        <v>0</v>
      </c>
      <c r="K9" s="11"/>
      <c r="R9" s="11">
        <f t="shared" si="2"/>
        <v>0.47449584816132856</v>
      </c>
      <c r="S9" s="11"/>
      <c r="T9">
        <v>1986</v>
      </c>
      <c r="W9" s="608" t="s">
        <v>694</v>
      </c>
    </row>
    <row r="10" spans="1:28" x14ac:dyDescent="0.2">
      <c r="A10" s="7">
        <v>1988</v>
      </c>
      <c r="B10" s="7" t="s">
        <v>247</v>
      </c>
      <c r="C10" s="368">
        <v>1.1862396204033214</v>
      </c>
      <c r="D10" s="9">
        <v>1.0676156583629892</v>
      </c>
      <c r="E10" s="9">
        <v>2.3724792408066429</v>
      </c>
      <c r="F10" s="453">
        <f t="shared" si="0"/>
        <v>0.11862396204033221</v>
      </c>
      <c r="G10" s="453">
        <f t="shared" si="1"/>
        <v>1.1862396204033214</v>
      </c>
      <c r="H10">
        <v>1988.4</v>
      </c>
      <c r="I10" s="393"/>
      <c r="J10" s="184">
        <v>0</v>
      </c>
      <c r="K10" s="11"/>
      <c r="R10" s="11">
        <f t="shared" si="2"/>
        <v>1.1862396204033214</v>
      </c>
      <c r="S10" s="11">
        <f t="shared" si="3"/>
        <v>1.0379596678529062</v>
      </c>
      <c r="T10">
        <f t="shared" ref="T10:T26" si="4">T9+1</f>
        <v>1987</v>
      </c>
      <c r="U10" s="11">
        <f>F8</f>
        <v>5.9311981020166049E-2</v>
      </c>
      <c r="V10" s="607">
        <v>1987</v>
      </c>
      <c r="W10" s="609">
        <f>C8</f>
        <v>0.41518386714116251</v>
      </c>
      <c r="X10" s="609">
        <f>C9</f>
        <v>0.47449584816132856</v>
      </c>
      <c r="Y10" s="9">
        <f>C8+J8</f>
        <v>0.41518386714116251</v>
      </c>
      <c r="Z10" s="9">
        <f>C9+J9</f>
        <v>0.47449584816132856</v>
      </c>
    </row>
    <row r="11" spans="1:28" x14ac:dyDescent="0.2">
      <c r="A11" s="7"/>
      <c r="B11" s="7" t="s">
        <v>248</v>
      </c>
      <c r="C11" s="368">
        <v>0.88967971530249113</v>
      </c>
      <c r="D11" s="9">
        <v>0.71174377224199292</v>
      </c>
      <c r="E11" s="9">
        <v>1.8979833926453142</v>
      </c>
      <c r="F11" s="453">
        <f t="shared" si="0"/>
        <v>0.1779359430604982</v>
      </c>
      <c r="G11" s="453">
        <f t="shared" si="1"/>
        <v>1.0083036773428231</v>
      </c>
      <c r="H11">
        <v>1988.6</v>
      </c>
      <c r="I11" s="393"/>
      <c r="J11" s="184">
        <v>0</v>
      </c>
      <c r="K11" s="11"/>
      <c r="R11" s="11">
        <f t="shared" si="2"/>
        <v>0.88967971530249113</v>
      </c>
      <c r="S11" s="11"/>
      <c r="T11">
        <f t="shared" si="4"/>
        <v>1988</v>
      </c>
      <c r="U11" s="11">
        <f>F10</f>
        <v>0.11862396204033221</v>
      </c>
      <c r="V11" s="607">
        <v>1988</v>
      </c>
      <c r="W11" s="609">
        <f>C10</f>
        <v>1.1862396204033214</v>
      </c>
      <c r="X11" s="609">
        <f>C11</f>
        <v>0.88967971530249113</v>
      </c>
      <c r="Y11" s="9">
        <f>C10+J10</f>
        <v>1.1862396204033214</v>
      </c>
      <c r="Z11" s="9">
        <f>C11+J11</f>
        <v>0.88967971530249113</v>
      </c>
    </row>
    <row r="12" spans="1:28" x14ac:dyDescent="0.2">
      <c r="A12" s="7">
        <v>1989</v>
      </c>
      <c r="B12" s="7" t="s">
        <v>247</v>
      </c>
      <c r="C12" s="368">
        <v>0.35587188612099646</v>
      </c>
      <c r="D12" s="9">
        <v>0.35587188612099646</v>
      </c>
      <c r="E12" s="9">
        <v>0.71174377224199292</v>
      </c>
      <c r="F12" s="453">
        <f t="shared" si="0"/>
        <v>0</v>
      </c>
      <c r="G12" s="453">
        <f t="shared" si="1"/>
        <v>0.35587188612099646</v>
      </c>
      <c r="H12">
        <v>1989.4</v>
      </c>
      <c r="I12" s="393"/>
      <c r="J12" s="184">
        <v>0</v>
      </c>
      <c r="K12" s="11"/>
      <c r="R12" s="11">
        <f t="shared" si="2"/>
        <v>0.35587188612099646</v>
      </c>
      <c r="S12" s="11">
        <f t="shared" si="3"/>
        <v>0.17793594306049823</v>
      </c>
      <c r="T12">
        <f t="shared" si="4"/>
        <v>1989</v>
      </c>
      <c r="U12" s="11">
        <f>F12</f>
        <v>0</v>
      </c>
      <c r="V12" s="607">
        <v>1989</v>
      </c>
      <c r="W12" s="609">
        <f>C12</f>
        <v>0.35587188612099646</v>
      </c>
      <c r="X12" s="609">
        <f>C13</f>
        <v>0</v>
      </c>
      <c r="Y12" s="9">
        <f>C12+J12</f>
        <v>0.35587188612099646</v>
      </c>
      <c r="Z12" s="9">
        <f>C13+J13</f>
        <v>0</v>
      </c>
    </row>
    <row r="13" spans="1:28" x14ac:dyDescent="0.2">
      <c r="A13" s="7"/>
      <c r="B13" s="7" t="s">
        <v>248</v>
      </c>
      <c r="C13" s="368">
        <v>0</v>
      </c>
      <c r="D13" s="9">
        <v>0</v>
      </c>
      <c r="E13" s="9">
        <v>0</v>
      </c>
      <c r="F13" s="453">
        <f t="shared" si="0"/>
        <v>0</v>
      </c>
      <c r="G13" s="453">
        <f t="shared" si="1"/>
        <v>0</v>
      </c>
      <c r="H13">
        <v>1989.6</v>
      </c>
      <c r="I13" s="393"/>
      <c r="J13" s="184">
        <v>0</v>
      </c>
      <c r="K13" s="11"/>
      <c r="R13" s="11">
        <f t="shared" si="2"/>
        <v>0</v>
      </c>
      <c r="S13" s="11"/>
      <c r="T13">
        <f t="shared" si="4"/>
        <v>1990</v>
      </c>
      <c r="U13" s="11">
        <f>F14</f>
        <v>0</v>
      </c>
      <c r="V13" s="607">
        <v>1990</v>
      </c>
      <c r="W13" s="609">
        <f>C14</f>
        <v>0</v>
      </c>
      <c r="X13" s="609">
        <f>C15</f>
        <v>0</v>
      </c>
      <c r="Y13" s="9">
        <f>C14+J14</f>
        <v>0</v>
      </c>
      <c r="Z13" s="9">
        <f>C15+J15</f>
        <v>0</v>
      </c>
    </row>
    <row r="14" spans="1:28" x14ac:dyDescent="0.2">
      <c r="A14" s="7">
        <v>1990</v>
      </c>
      <c r="B14" s="7" t="s">
        <v>247</v>
      </c>
      <c r="C14" s="368">
        <v>0</v>
      </c>
      <c r="D14" s="9">
        <v>0</v>
      </c>
      <c r="E14" s="9">
        <v>0</v>
      </c>
      <c r="F14" s="453">
        <f t="shared" si="0"/>
        <v>0</v>
      </c>
      <c r="G14" s="453">
        <f t="shared" si="1"/>
        <v>0</v>
      </c>
      <c r="H14">
        <v>1990.4</v>
      </c>
      <c r="I14" s="393"/>
      <c r="J14" s="184">
        <v>0</v>
      </c>
      <c r="K14" s="11"/>
      <c r="R14" s="11">
        <f t="shared" si="2"/>
        <v>0</v>
      </c>
      <c r="S14" s="11">
        <f t="shared" si="3"/>
        <v>0</v>
      </c>
      <c r="T14">
        <f t="shared" si="4"/>
        <v>1991</v>
      </c>
      <c r="U14" s="11">
        <f>F16</f>
        <v>0</v>
      </c>
      <c r="V14" s="607">
        <v>1991</v>
      </c>
      <c r="W14" s="609">
        <f>C16</f>
        <v>0</v>
      </c>
      <c r="X14" s="609">
        <f>C17</f>
        <v>0</v>
      </c>
      <c r="Y14" s="9">
        <f>C16+J16</f>
        <v>0</v>
      </c>
      <c r="Z14" s="9">
        <f>C17+J17</f>
        <v>0</v>
      </c>
    </row>
    <row r="15" spans="1:28" x14ac:dyDescent="0.2">
      <c r="A15" s="7"/>
      <c r="B15" s="7" t="s">
        <v>248</v>
      </c>
      <c r="C15" s="368">
        <v>0</v>
      </c>
      <c r="D15" s="9">
        <v>0</v>
      </c>
      <c r="E15" s="9">
        <v>0</v>
      </c>
      <c r="F15" s="453">
        <f t="shared" si="0"/>
        <v>0</v>
      </c>
      <c r="G15" s="453">
        <f t="shared" si="1"/>
        <v>0</v>
      </c>
      <c r="H15">
        <v>1990.6</v>
      </c>
      <c r="I15" s="393"/>
      <c r="J15" s="184">
        <v>0</v>
      </c>
      <c r="K15" s="11"/>
      <c r="R15" s="11">
        <f t="shared" si="2"/>
        <v>0</v>
      </c>
      <c r="S15" s="11"/>
      <c r="T15">
        <f t="shared" si="4"/>
        <v>1992</v>
      </c>
      <c r="U15" s="11">
        <f>F18</f>
        <v>0</v>
      </c>
      <c r="V15" s="607">
        <v>1992</v>
      </c>
      <c r="W15" s="609">
        <f>C18</f>
        <v>0</v>
      </c>
      <c r="X15" s="609">
        <f>C19</f>
        <v>0.17793594306049823</v>
      </c>
      <c r="Y15" s="9">
        <f>C18+J18</f>
        <v>0</v>
      </c>
      <c r="Z15" s="9">
        <f>C19+J19</f>
        <v>0.17793594306049823</v>
      </c>
    </row>
    <row r="16" spans="1:28" x14ac:dyDescent="0.2">
      <c r="A16" s="7">
        <v>1991</v>
      </c>
      <c r="B16" s="7" t="s">
        <v>247</v>
      </c>
      <c r="C16" s="368">
        <v>0</v>
      </c>
      <c r="D16" s="9">
        <v>0</v>
      </c>
      <c r="E16" s="9">
        <v>0</v>
      </c>
      <c r="F16" s="453">
        <f t="shared" si="0"/>
        <v>0</v>
      </c>
      <c r="G16" s="453">
        <f t="shared" si="1"/>
        <v>0</v>
      </c>
      <c r="H16">
        <v>1991.4</v>
      </c>
      <c r="I16" s="393"/>
      <c r="J16" s="184">
        <v>0</v>
      </c>
      <c r="K16" s="11"/>
      <c r="R16" s="11">
        <f t="shared" si="2"/>
        <v>0</v>
      </c>
      <c r="S16" s="11">
        <f t="shared" si="3"/>
        <v>0</v>
      </c>
      <c r="T16">
        <f t="shared" si="4"/>
        <v>1993</v>
      </c>
      <c r="U16" s="11">
        <f>F20</f>
        <v>0</v>
      </c>
      <c r="V16" s="607">
        <v>1993</v>
      </c>
      <c r="W16" s="609">
        <f>C20</f>
        <v>0.59311981020166071</v>
      </c>
      <c r="X16" s="609">
        <f>C21</f>
        <v>3.2361328588374856</v>
      </c>
      <c r="Y16" s="9">
        <f>C20+J20</f>
        <v>0.59311981020166071</v>
      </c>
      <c r="Z16" s="9">
        <f>C21+J21</f>
        <v>3.2361328588374856</v>
      </c>
      <c r="AB16" s="11">
        <f>Z16/Y16</f>
        <v>5.4561200000000012</v>
      </c>
    </row>
    <row r="17" spans="1:28" x14ac:dyDescent="0.2">
      <c r="A17" s="7"/>
      <c r="B17" s="7" t="s">
        <v>248</v>
      </c>
      <c r="C17" s="368">
        <v>0</v>
      </c>
      <c r="D17" s="9">
        <v>0</v>
      </c>
      <c r="E17" s="9">
        <v>0</v>
      </c>
      <c r="F17" s="453">
        <f t="shared" si="0"/>
        <v>0</v>
      </c>
      <c r="G17" s="453">
        <f t="shared" si="1"/>
        <v>0</v>
      </c>
      <c r="H17">
        <v>1991.6</v>
      </c>
      <c r="I17" s="393"/>
      <c r="J17" s="184">
        <v>0</v>
      </c>
      <c r="K17" s="11"/>
      <c r="R17" s="11">
        <f t="shared" si="2"/>
        <v>0</v>
      </c>
      <c r="S17" s="11"/>
      <c r="T17">
        <f t="shared" si="4"/>
        <v>1994</v>
      </c>
      <c r="U17" s="11">
        <f>F22</f>
        <v>0</v>
      </c>
      <c r="V17" s="607">
        <v>1994</v>
      </c>
      <c r="W17" s="609">
        <f>C22</f>
        <v>0</v>
      </c>
      <c r="X17" s="609">
        <f>C23</f>
        <v>0.17793594306049823</v>
      </c>
      <c r="Y17" s="9">
        <f>C22+J22</f>
        <v>0</v>
      </c>
      <c r="Z17" s="9">
        <f>C23+J23</f>
        <v>0.17793594306049823</v>
      </c>
      <c r="AB17" s="11">
        <v>3</v>
      </c>
    </row>
    <row r="18" spans="1:28" x14ac:dyDescent="0.2">
      <c r="A18" s="7">
        <v>1992</v>
      </c>
      <c r="B18" s="7" t="s">
        <v>247</v>
      </c>
      <c r="C18" s="368">
        <v>0</v>
      </c>
      <c r="D18" s="9">
        <v>0</v>
      </c>
      <c r="E18" s="9">
        <v>0</v>
      </c>
      <c r="F18" s="453">
        <f t="shared" si="0"/>
        <v>0</v>
      </c>
      <c r="G18" s="453">
        <f t="shared" si="1"/>
        <v>0</v>
      </c>
      <c r="H18">
        <v>1992.4</v>
      </c>
      <c r="I18" s="393"/>
      <c r="J18" s="184">
        <v>0</v>
      </c>
      <c r="K18" s="11"/>
      <c r="R18" s="11">
        <f t="shared" si="2"/>
        <v>0</v>
      </c>
      <c r="S18" s="11">
        <f t="shared" si="3"/>
        <v>8.8967971530249115E-2</v>
      </c>
      <c r="T18">
        <f t="shared" si="4"/>
        <v>1995</v>
      </c>
      <c r="U18" s="11">
        <f>F24</f>
        <v>0</v>
      </c>
      <c r="V18" s="607">
        <v>1995</v>
      </c>
      <c r="W18" s="609">
        <f>C24</f>
        <v>0</v>
      </c>
      <c r="X18" s="609">
        <f>C25</f>
        <v>0.35587188612099641</v>
      </c>
      <c r="Y18" s="9">
        <f>C24+J24</f>
        <v>0</v>
      </c>
      <c r="Z18" s="9">
        <f>C25+J25</f>
        <v>0.35587188612099641</v>
      </c>
      <c r="AA18" s="9">
        <f>Y19/Z18</f>
        <v>2.3333333333333335</v>
      </c>
      <c r="AB18" s="11">
        <v>7</v>
      </c>
    </row>
    <row r="19" spans="1:28" x14ac:dyDescent="0.2">
      <c r="A19" s="7"/>
      <c r="B19" s="7" t="s">
        <v>248</v>
      </c>
      <c r="C19" s="368">
        <v>0.17793594306049823</v>
      </c>
      <c r="D19" s="9">
        <v>0.17793594306049823</v>
      </c>
      <c r="E19" s="9">
        <v>0.41518386714116251</v>
      </c>
      <c r="F19" s="453">
        <f t="shared" si="0"/>
        <v>0</v>
      </c>
      <c r="G19" s="453">
        <f t="shared" si="1"/>
        <v>0.23724792408066428</v>
      </c>
      <c r="H19">
        <v>1992.6</v>
      </c>
      <c r="I19" s="393"/>
      <c r="J19" s="184">
        <v>0</v>
      </c>
      <c r="K19" s="11"/>
      <c r="R19" s="11">
        <f t="shared" si="2"/>
        <v>0.17793594306049823</v>
      </c>
      <c r="S19" s="11"/>
      <c r="T19">
        <f t="shared" si="4"/>
        <v>1996</v>
      </c>
      <c r="U19" s="11">
        <f>F26</f>
        <v>0</v>
      </c>
      <c r="V19" s="607">
        <v>1996</v>
      </c>
      <c r="W19" s="609">
        <f>C26</f>
        <v>0</v>
      </c>
      <c r="X19" s="609">
        <f>C27</f>
        <v>0.11862396204033215</v>
      </c>
      <c r="Y19" s="9">
        <f>C26+J26</f>
        <v>0.83036773428232502</v>
      </c>
      <c r="Z19" s="9">
        <f>C27+J27</f>
        <v>0.94899169632265723</v>
      </c>
      <c r="AA19" s="9">
        <f t="shared" ref="AA19:AA40" si="5">Y20/Z19</f>
        <v>0.74999999999999989</v>
      </c>
      <c r="AB19" s="11">
        <f t="shared" ref="AB19:AB40" si="6">Z19/Y19</f>
        <v>1.142857142857143</v>
      </c>
    </row>
    <row r="20" spans="1:28" x14ac:dyDescent="0.2">
      <c r="A20" s="7">
        <v>1993</v>
      </c>
      <c r="B20" s="7" t="s">
        <v>247</v>
      </c>
      <c r="C20" s="368">
        <v>0.59311981020166071</v>
      </c>
      <c r="D20" s="9">
        <v>0.59311981020166071</v>
      </c>
      <c r="E20" s="9">
        <v>1.1862396204033214</v>
      </c>
      <c r="F20" s="453">
        <f t="shared" si="0"/>
        <v>0</v>
      </c>
      <c r="G20" s="453">
        <f t="shared" si="1"/>
        <v>0.59311981020166071</v>
      </c>
      <c r="H20">
        <v>1993.4</v>
      </c>
      <c r="I20" s="393"/>
      <c r="J20" s="184">
        <v>0</v>
      </c>
      <c r="K20" s="11"/>
      <c r="R20" s="11">
        <f t="shared" si="2"/>
        <v>0.59311981020166071</v>
      </c>
      <c r="S20" s="11">
        <f t="shared" si="3"/>
        <v>1.9146263345195731</v>
      </c>
      <c r="T20">
        <f t="shared" si="4"/>
        <v>1997</v>
      </c>
      <c r="U20" s="11">
        <f>F28</f>
        <v>0</v>
      </c>
      <c r="V20" s="607">
        <v>1997</v>
      </c>
      <c r="W20" s="609">
        <f>C28</f>
        <v>0</v>
      </c>
      <c r="X20" s="609">
        <f>C29</f>
        <v>0.47449584816132856</v>
      </c>
      <c r="Y20" s="9">
        <f>C28+J28</f>
        <v>0.71174377224199281</v>
      </c>
      <c r="Z20" s="9">
        <f>C29+J29</f>
        <v>1.4234875444839858</v>
      </c>
      <c r="AA20" s="9">
        <f t="shared" si="5"/>
        <v>0.66666666666666663</v>
      </c>
      <c r="AB20" s="11">
        <f t="shared" si="6"/>
        <v>2.0000000000000004</v>
      </c>
    </row>
    <row r="21" spans="1:28" x14ac:dyDescent="0.2">
      <c r="A21" s="7"/>
      <c r="B21" s="7" t="s">
        <v>248</v>
      </c>
      <c r="C21" s="368">
        <v>3.2361328588374856</v>
      </c>
      <c r="D21" s="9">
        <v>2.3681969157769869</v>
      </c>
      <c r="E21" s="9">
        <v>5.6250177935943064</v>
      </c>
      <c r="F21" s="453">
        <f t="shared" si="0"/>
        <v>0.8679359430604987</v>
      </c>
      <c r="G21" s="453">
        <f t="shared" si="1"/>
        <v>2.3888849347568208</v>
      </c>
      <c r="H21">
        <v>1993.6</v>
      </c>
      <c r="I21" s="393"/>
      <c r="J21" s="184">
        <v>0</v>
      </c>
      <c r="K21" s="11"/>
      <c r="R21" s="11">
        <f t="shared" si="2"/>
        <v>3.2361328588374856</v>
      </c>
      <c r="S21" s="11"/>
      <c r="T21">
        <f t="shared" si="4"/>
        <v>1998</v>
      </c>
      <c r="U21" s="11">
        <f>F30</f>
        <v>0</v>
      </c>
      <c r="V21" s="607">
        <v>1998</v>
      </c>
      <c r="W21" s="609">
        <f>C30</f>
        <v>0</v>
      </c>
      <c r="X21" s="609">
        <f>C31</f>
        <v>1.1444479240806642</v>
      </c>
      <c r="Y21" s="9">
        <f>C30+J30</f>
        <v>0.94899169632265723</v>
      </c>
      <c r="Z21" s="9">
        <f>C31+J31</f>
        <v>1.9748156583629892</v>
      </c>
      <c r="AA21" s="9">
        <f t="shared" si="5"/>
        <v>0.36041023334400146</v>
      </c>
      <c r="AB21" s="11">
        <f t="shared" si="6"/>
        <v>2.080962</v>
      </c>
    </row>
    <row r="22" spans="1:28" x14ac:dyDescent="0.2">
      <c r="A22" s="7">
        <v>1994</v>
      </c>
      <c r="B22" s="7" t="s">
        <v>247</v>
      </c>
      <c r="C22" s="368">
        <v>0</v>
      </c>
      <c r="D22" s="9">
        <v>0</v>
      </c>
      <c r="E22" s="9">
        <v>0</v>
      </c>
      <c r="F22" s="453">
        <f t="shared" si="0"/>
        <v>0</v>
      </c>
      <c r="G22" s="453">
        <f t="shared" si="1"/>
        <v>0</v>
      </c>
      <c r="H22">
        <v>1994.4</v>
      </c>
      <c r="I22" s="393"/>
      <c r="J22" s="184">
        <v>0</v>
      </c>
      <c r="K22" s="11"/>
      <c r="R22" s="11">
        <f t="shared" si="2"/>
        <v>0</v>
      </c>
      <c r="S22" s="11">
        <f t="shared" si="3"/>
        <v>8.8967971530249115E-2</v>
      </c>
      <c r="T22">
        <f t="shared" si="4"/>
        <v>1999</v>
      </c>
      <c r="U22" s="11">
        <f>F32</f>
        <v>0</v>
      </c>
      <c r="V22" s="607">
        <v>1999</v>
      </c>
      <c r="W22" s="609">
        <f>C32</f>
        <v>0</v>
      </c>
      <c r="X22" s="609">
        <f>C33</f>
        <v>0</v>
      </c>
      <c r="Y22" s="9">
        <f>C32+J32</f>
        <v>0.71174377224199281</v>
      </c>
      <c r="Z22" s="9">
        <f>C33+J33</f>
        <v>0</v>
      </c>
      <c r="AA22" s="9">
        <v>1</v>
      </c>
      <c r="AB22" s="11">
        <f t="shared" si="6"/>
        <v>0</v>
      </c>
    </row>
    <row r="23" spans="1:28" x14ac:dyDescent="0.2">
      <c r="A23" s="7"/>
      <c r="B23" s="7" t="s">
        <v>248</v>
      </c>
      <c r="C23" s="368">
        <v>0.17793594306049823</v>
      </c>
      <c r="D23" s="9">
        <v>0.17793594306049823</v>
      </c>
      <c r="E23" s="9">
        <v>0.35587188612099646</v>
      </c>
      <c r="F23" s="453">
        <f t="shared" si="0"/>
        <v>0</v>
      </c>
      <c r="G23" s="453">
        <f t="shared" si="1"/>
        <v>0.17793594306049823</v>
      </c>
      <c r="H23">
        <v>1994.6</v>
      </c>
      <c r="I23" s="393"/>
      <c r="J23" s="184">
        <v>0</v>
      </c>
      <c r="K23" s="11"/>
      <c r="R23" s="11">
        <f t="shared" si="2"/>
        <v>0.17793594306049823</v>
      </c>
      <c r="S23" s="11"/>
      <c r="T23">
        <f t="shared" si="4"/>
        <v>2000</v>
      </c>
      <c r="U23" s="11">
        <f>F34</f>
        <v>0</v>
      </c>
      <c r="V23" s="607">
        <v>2000</v>
      </c>
      <c r="W23" s="609">
        <f>C34</f>
        <v>0.11862396204033215</v>
      </c>
      <c r="X23" s="609">
        <f>C35</f>
        <v>0.11862396204033215</v>
      </c>
      <c r="Y23" s="9">
        <f>C34+J34</f>
        <v>0.11862396204033215</v>
      </c>
      <c r="Z23" s="9">
        <f>C35+J35</f>
        <v>0.11862396204033215</v>
      </c>
      <c r="AA23" s="9">
        <f t="shared" si="5"/>
        <v>0</v>
      </c>
      <c r="AB23" s="11">
        <f t="shared" si="6"/>
        <v>1</v>
      </c>
    </row>
    <row r="24" spans="1:28" x14ac:dyDescent="0.2">
      <c r="A24" s="7">
        <v>1995</v>
      </c>
      <c r="B24" s="7" t="s">
        <v>247</v>
      </c>
      <c r="C24" s="368">
        <v>0</v>
      </c>
      <c r="D24" s="9">
        <v>0</v>
      </c>
      <c r="E24" s="9">
        <v>0</v>
      </c>
      <c r="F24" s="453">
        <f t="shared" si="0"/>
        <v>0</v>
      </c>
      <c r="G24" s="453">
        <f t="shared" si="1"/>
        <v>0</v>
      </c>
      <c r="H24">
        <v>1995.4</v>
      </c>
      <c r="I24" s="393"/>
      <c r="J24" s="184">
        <v>0</v>
      </c>
      <c r="K24" s="11"/>
      <c r="R24" s="11">
        <f t="shared" si="2"/>
        <v>0</v>
      </c>
      <c r="S24" s="11">
        <f t="shared" si="3"/>
        <v>0.1779359430604982</v>
      </c>
      <c r="T24">
        <f t="shared" si="4"/>
        <v>2001</v>
      </c>
      <c r="U24" s="11">
        <f>F36</f>
        <v>0</v>
      </c>
      <c r="V24" s="607">
        <v>2001</v>
      </c>
      <c r="W24" s="609">
        <f>C36</f>
        <v>0</v>
      </c>
      <c r="X24" s="609">
        <f>C37</f>
        <v>1.2455572953736656</v>
      </c>
      <c r="Y24" s="9">
        <f>C36+J36</f>
        <v>0</v>
      </c>
      <c r="Z24" s="9">
        <f>C37+J37</f>
        <v>1.2455572953736656</v>
      </c>
      <c r="AA24" s="9">
        <f t="shared" si="5"/>
        <v>4.5921002456369724</v>
      </c>
      <c r="AB24" s="11">
        <v>10</v>
      </c>
    </row>
    <row r="25" spans="1:28" x14ac:dyDescent="0.2">
      <c r="A25" s="7"/>
      <c r="B25" s="7" t="s">
        <v>248</v>
      </c>
      <c r="C25" s="368">
        <v>0.35587188612099641</v>
      </c>
      <c r="D25" s="9">
        <v>0.35587188612099641</v>
      </c>
      <c r="E25" s="9">
        <v>0.59311981020166071</v>
      </c>
      <c r="F25" s="453">
        <f t="shared" si="0"/>
        <v>0</v>
      </c>
      <c r="G25" s="453">
        <f t="shared" si="1"/>
        <v>0.23724792408066431</v>
      </c>
      <c r="H25">
        <v>1995.6</v>
      </c>
      <c r="I25" s="393"/>
      <c r="J25" s="184">
        <v>0</v>
      </c>
      <c r="K25" s="11"/>
      <c r="R25" s="11">
        <f t="shared" si="2"/>
        <v>0.35587188612099641</v>
      </c>
      <c r="S25" s="11"/>
      <c r="T25">
        <f t="shared" si="4"/>
        <v>2002</v>
      </c>
      <c r="U25" s="11">
        <f>F38</f>
        <v>2.2941000000000011</v>
      </c>
      <c r="V25" s="607">
        <v>2002</v>
      </c>
      <c r="W25" s="609">
        <f>C38</f>
        <v>5.7197239620403328</v>
      </c>
      <c r="X25" s="609">
        <f>C39</f>
        <v>7.1818239620403324</v>
      </c>
      <c r="Y25" s="9">
        <f>C38+J38</f>
        <v>5.7197239620403328</v>
      </c>
      <c r="Z25" s="9">
        <f>C39+J39</f>
        <v>7.1818239620403324</v>
      </c>
      <c r="AA25" s="9">
        <f t="shared" si="5"/>
        <v>0.22630610793267886</v>
      </c>
      <c r="AB25" s="11">
        <f t="shared" si="6"/>
        <v>1.2556242241239979</v>
      </c>
    </row>
    <row r="26" spans="1:28" x14ac:dyDescent="0.2">
      <c r="A26" s="7">
        <v>1996</v>
      </c>
      <c r="B26" s="7" t="s">
        <v>247</v>
      </c>
      <c r="C26" s="368">
        <v>0</v>
      </c>
      <c r="D26" s="9">
        <v>0</v>
      </c>
      <c r="E26" s="9">
        <v>0</v>
      </c>
      <c r="F26" s="453">
        <f t="shared" si="0"/>
        <v>0</v>
      </c>
      <c r="G26" s="453">
        <f t="shared" si="1"/>
        <v>0</v>
      </c>
      <c r="H26">
        <f t="shared" ref="H26:H41" si="7">H24+1</f>
        <v>1996.4</v>
      </c>
      <c r="I26" s="393"/>
      <c r="J26" s="184">
        <v>0.83036773428232502</v>
      </c>
      <c r="K26" s="11"/>
      <c r="R26" s="11">
        <f t="shared" si="2"/>
        <v>0.83036773428232502</v>
      </c>
      <c r="S26" s="11">
        <f t="shared" si="3"/>
        <v>0.88967971530249113</v>
      </c>
      <c r="T26">
        <f t="shared" si="4"/>
        <v>2003</v>
      </c>
      <c r="U26" s="11">
        <f>F40</f>
        <v>0.6366666666666666</v>
      </c>
      <c r="V26" s="607">
        <v>2003</v>
      </c>
      <c r="W26" s="609">
        <f>C40</f>
        <v>1.6252906287069988</v>
      </c>
      <c r="X26" s="609">
        <f>C41</f>
        <v>0.42616666666666664</v>
      </c>
      <c r="Y26" s="9">
        <f>C40+J40</f>
        <v>1.6252906287069988</v>
      </c>
      <c r="Z26" s="9">
        <f>C41+J41</f>
        <v>0.42616666666666664</v>
      </c>
      <c r="AA26" s="9">
        <f t="shared" si="5"/>
        <v>0</v>
      </c>
      <c r="AB26" s="11">
        <f t="shared" si="6"/>
        <v>0.26220951449508073</v>
      </c>
    </row>
    <row r="27" spans="1:28" x14ac:dyDescent="0.2">
      <c r="A27" s="22"/>
      <c r="B27" s="7" t="s">
        <v>248</v>
      </c>
      <c r="C27" s="368">
        <v>0.11862396204033215</v>
      </c>
      <c r="D27" s="9">
        <v>0.11862396204033215</v>
      </c>
      <c r="E27" s="9">
        <v>0.23724792408066431</v>
      </c>
      <c r="F27" s="453">
        <f t="shared" si="0"/>
        <v>0</v>
      </c>
      <c r="G27" s="453">
        <f t="shared" si="1"/>
        <v>0.11862396204033215</v>
      </c>
      <c r="H27">
        <f t="shared" si="7"/>
        <v>1996.6</v>
      </c>
      <c r="I27" s="393"/>
      <c r="J27" s="184">
        <v>0.83036773428232502</v>
      </c>
      <c r="R27" s="11">
        <f t="shared" si="2"/>
        <v>0.94899169632265723</v>
      </c>
      <c r="S27" s="11"/>
      <c r="T27">
        <v>2004</v>
      </c>
      <c r="U27">
        <v>0.83</v>
      </c>
      <c r="V27" s="607">
        <v>2004</v>
      </c>
      <c r="W27" s="609">
        <f>C42</f>
        <v>0</v>
      </c>
      <c r="X27" s="609">
        <f>C43</f>
        <v>0.11862396204033215</v>
      </c>
      <c r="Y27" s="9">
        <f>C42+J42</f>
        <v>0</v>
      </c>
      <c r="Z27" s="9">
        <f>C43+J43</f>
        <v>1.1862396204033214</v>
      </c>
      <c r="AA27" s="9">
        <f t="shared" si="5"/>
        <v>2.8000676000000002</v>
      </c>
      <c r="AB27" s="11">
        <v>9</v>
      </c>
    </row>
    <row r="28" spans="1:28" x14ac:dyDescent="0.2">
      <c r="A28" s="7">
        <v>1997</v>
      </c>
      <c r="B28" s="7" t="s">
        <v>247</v>
      </c>
      <c r="C28" s="368">
        <v>0</v>
      </c>
      <c r="D28" s="9">
        <v>0</v>
      </c>
      <c r="E28" s="9">
        <v>0.11862396204033215</v>
      </c>
      <c r="F28" s="453">
        <f t="shared" si="0"/>
        <v>0</v>
      </c>
      <c r="G28" s="453">
        <f t="shared" si="1"/>
        <v>0.11862396204033215</v>
      </c>
      <c r="H28">
        <f t="shared" si="7"/>
        <v>1997.4</v>
      </c>
      <c r="I28" s="393"/>
      <c r="J28" s="184">
        <v>0.71174377224199281</v>
      </c>
      <c r="R28" s="11">
        <f t="shared" si="2"/>
        <v>0.71174377224199281</v>
      </c>
      <c r="S28" s="11">
        <f t="shared" si="3"/>
        <v>1.0676156583629894</v>
      </c>
      <c r="T28">
        <v>2005</v>
      </c>
      <c r="U28">
        <v>9.02</v>
      </c>
      <c r="V28" s="607">
        <v>2005</v>
      </c>
      <c r="W28" s="609">
        <f>C44</f>
        <v>0.83044792408066437</v>
      </c>
      <c r="X28" s="609">
        <f>C45</f>
        <v>3.1459333333333332</v>
      </c>
      <c r="Y28" s="9">
        <f>C44+J44</f>
        <v>3.3215511269276394</v>
      </c>
      <c r="Z28" s="9">
        <f>C45+J45</f>
        <v>7.2977720047449584</v>
      </c>
      <c r="AA28" s="9">
        <f t="shared" si="5"/>
        <v>0.56876106973483098</v>
      </c>
      <c r="AB28" s="11">
        <f t="shared" si="6"/>
        <v>2.19709759864369</v>
      </c>
    </row>
    <row r="29" spans="1:28" x14ac:dyDescent="0.2">
      <c r="A29" s="7"/>
      <c r="B29" s="7" t="s">
        <v>248</v>
      </c>
      <c r="C29" s="368">
        <v>0.47449584816132856</v>
      </c>
      <c r="D29" s="9">
        <v>0.47449584816132856</v>
      </c>
      <c r="E29" s="9">
        <v>0.94899169632265712</v>
      </c>
      <c r="F29" s="453">
        <f t="shared" si="0"/>
        <v>0</v>
      </c>
      <c r="G29" s="453">
        <f t="shared" si="1"/>
        <v>0.47449584816132856</v>
      </c>
      <c r="H29">
        <f t="shared" si="7"/>
        <v>1997.6</v>
      </c>
      <c r="I29" s="393"/>
      <c r="J29" s="184">
        <v>0.94899169632265723</v>
      </c>
      <c r="R29" s="11">
        <f t="shared" si="2"/>
        <v>1.4234875444839858</v>
      </c>
      <c r="S29" s="11"/>
      <c r="T29">
        <v>2006</v>
      </c>
      <c r="V29" s="607">
        <v>2006</v>
      </c>
      <c r="W29" s="609">
        <f>C46</f>
        <v>2.6085771055753262</v>
      </c>
      <c r="X29" s="609">
        <f>C47</f>
        <v>1.5447607750098855</v>
      </c>
      <c r="Y29" s="9">
        <f>C46+J46</f>
        <v>4.1506886120996445</v>
      </c>
      <c r="Z29" s="9">
        <f>C47+J47</f>
        <v>3.7986160537761959</v>
      </c>
      <c r="AA29" s="9">
        <v>0.01</v>
      </c>
      <c r="AB29" s="11">
        <f t="shared" si="6"/>
        <v>0.91517731363968757</v>
      </c>
    </row>
    <row r="30" spans="1:28" x14ac:dyDescent="0.2">
      <c r="A30" s="7">
        <v>1998</v>
      </c>
      <c r="B30" s="7" t="s">
        <v>247</v>
      </c>
      <c r="C30" s="368">
        <v>0</v>
      </c>
      <c r="D30" s="9">
        <v>0</v>
      </c>
      <c r="E30" s="9">
        <v>0</v>
      </c>
      <c r="F30" s="453">
        <f t="shared" si="0"/>
        <v>0</v>
      </c>
      <c r="G30" s="453">
        <f t="shared" si="1"/>
        <v>0</v>
      </c>
      <c r="H30">
        <f t="shared" si="7"/>
        <v>1998.4</v>
      </c>
      <c r="I30" s="393"/>
      <c r="J30" s="184">
        <v>0.94899169632265723</v>
      </c>
      <c r="R30" s="11">
        <f t="shared" si="2"/>
        <v>0.94899169632265723</v>
      </c>
      <c r="S30" s="11">
        <f t="shared" si="3"/>
        <v>1.4619036773428231</v>
      </c>
      <c r="T30">
        <v>2007</v>
      </c>
      <c r="V30" s="607">
        <v>2007</v>
      </c>
      <c r="W30" s="609">
        <f>C48</f>
        <v>0</v>
      </c>
      <c r="X30" s="609">
        <f>C49</f>
        <v>0</v>
      </c>
      <c r="Y30" s="9">
        <f>C48+J48</f>
        <v>0</v>
      </c>
      <c r="Z30" s="9">
        <f>C49+J49</f>
        <v>0.23724792408066431</v>
      </c>
      <c r="AA30" s="9">
        <v>0.01</v>
      </c>
      <c r="AB30" s="11">
        <v>4</v>
      </c>
    </row>
    <row r="31" spans="1:28" x14ac:dyDescent="0.2">
      <c r="A31" s="7"/>
      <c r="B31" s="7" t="s">
        <v>248</v>
      </c>
      <c r="C31" s="368">
        <v>1.1444479240806642</v>
      </c>
      <c r="D31" s="9">
        <v>0.67424792408066425</v>
      </c>
      <c r="E31" s="9">
        <v>2.4764531435349944</v>
      </c>
      <c r="F31" s="453">
        <f t="shared" si="0"/>
        <v>0.47019999999999995</v>
      </c>
      <c r="G31" s="453">
        <f t="shared" si="1"/>
        <v>1.3320052194543301</v>
      </c>
      <c r="H31">
        <f t="shared" si="7"/>
        <v>1998.6</v>
      </c>
      <c r="I31" s="393"/>
      <c r="J31" s="184">
        <v>0.83036773428232502</v>
      </c>
      <c r="Q31" s="20" t="s">
        <v>642</v>
      </c>
      <c r="R31" s="11">
        <f t="shared" si="2"/>
        <v>1.9748156583629892</v>
      </c>
      <c r="S31" s="11"/>
      <c r="T31">
        <v>2008</v>
      </c>
      <c r="V31" s="607">
        <v>2008</v>
      </c>
      <c r="W31" s="609">
        <f>C50</f>
        <v>0</v>
      </c>
      <c r="X31" s="609">
        <f>C51</f>
        <v>0</v>
      </c>
      <c r="Y31" s="9">
        <f>C50+J50</f>
        <v>0</v>
      </c>
      <c r="Z31" s="9">
        <f>C51+J51</f>
        <v>0</v>
      </c>
      <c r="AA31" s="9">
        <v>1</v>
      </c>
      <c r="AB31" s="11">
        <v>1</v>
      </c>
    </row>
    <row r="32" spans="1:28" x14ac:dyDescent="0.2">
      <c r="A32" s="7">
        <v>1999</v>
      </c>
      <c r="B32" s="7" t="s">
        <v>247</v>
      </c>
      <c r="C32" s="368">
        <v>0</v>
      </c>
      <c r="D32" s="9">
        <v>0</v>
      </c>
      <c r="E32" s="9">
        <v>0</v>
      </c>
      <c r="F32" s="453">
        <f t="shared" si="0"/>
        <v>0</v>
      </c>
      <c r="G32" s="453">
        <f t="shared" si="1"/>
        <v>0</v>
      </c>
      <c r="H32">
        <f t="shared" si="7"/>
        <v>1999.4</v>
      </c>
      <c r="I32" s="393"/>
      <c r="J32" s="184">
        <v>0.71174377224199281</v>
      </c>
      <c r="R32" s="11">
        <f t="shared" si="2"/>
        <v>0.71174377224199281</v>
      </c>
      <c r="S32" s="11">
        <f t="shared" si="3"/>
        <v>0.35587188612099641</v>
      </c>
      <c r="T32">
        <v>2009</v>
      </c>
      <c r="V32" s="607">
        <v>2009</v>
      </c>
      <c r="W32" s="609">
        <f>C52</f>
        <v>0.35587188612099641</v>
      </c>
      <c r="X32" s="609">
        <f>C53</f>
        <v>2.9995104389086595</v>
      </c>
      <c r="Y32" s="9">
        <f>C52+J52</f>
        <v>0.35587188612099641</v>
      </c>
      <c r="Z32" s="9">
        <f>C53+J53</f>
        <v>2.9995104389086595</v>
      </c>
      <c r="AA32" s="9">
        <f t="shared" si="5"/>
        <v>0.19773887181984975</v>
      </c>
      <c r="AB32" s="11">
        <f t="shared" si="6"/>
        <v>8.4286243333333335</v>
      </c>
    </row>
    <row r="33" spans="1:28" x14ac:dyDescent="0.2">
      <c r="A33" s="7"/>
      <c r="B33" s="7" t="s">
        <v>248</v>
      </c>
      <c r="C33" s="368">
        <v>0</v>
      </c>
      <c r="D33" s="9">
        <v>0</v>
      </c>
      <c r="E33" s="9">
        <v>0</v>
      </c>
      <c r="F33" s="453">
        <f t="shared" si="0"/>
        <v>0</v>
      </c>
      <c r="G33" s="453">
        <f t="shared" si="1"/>
        <v>0</v>
      </c>
      <c r="H33">
        <f t="shared" si="7"/>
        <v>1999.6</v>
      </c>
      <c r="I33" s="393"/>
      <c r="J33" s="184">
        <v>0</v>
      </c>
      <c r="R33" s="11">
        <f t="shared" si="2"/>
        <v>0</v>
      </c>
      <c r="S33" s="11"/>
      <c r="T33">
        <v>2010</v>
      </c>
      <c r="V33" s="607">
        <v>2010</v>
      </c>
      <c r="W33" s="609">
        <f>C54</f>
        <v>0.59311981020166071</v>
      </c>
      <c r="X33" s="609">
        <f>C55</f>
        <v>0.83766666666666667</v>
      </c>
      <c r="Y33" s="9">
        <f>C54+J54</f>
        <v>0.59311981020166071</v>
      </c>
      <c r="Z33" s="9">
        <f>C55+J55</f>
        <v>0.83766666666666667</v>
      </c>
      <c r="AA33" s="9">
        <f t="shared" si="5"/>
        <v>0.2832247402475101</v>
      </c>
      <c r="AB33" s="11">
        <f t="shared" si="6"/>
        <v>1.4123060000000001</v>
      </c>
    </row>
    <row r="34" spans="1:28" x14ac:dyDescent="0.2">
      <c r="A34" s="7">
        <v>2000</v>
      </c>
      <c r="B34" s="7" t="s">
        <v>247</v>
      </c>
      <c r="C34" s="368">
        <v>0.11862396204033215</v>
      </c>
      <c r="D34" s="9">
        <v>0.11862396204033215</v>
      </c>
      <c r="E34" s="9">
        <v>0.23724792408066431</v>
      </c>
      <c r="F34" s="453">
        <f t="shared" si="0"/>
        <v>0</v>
      </c>
      <c r="G34" s="453">
        <f t="shared" si="1"/>
        <v>0.11862396204033215</v>
      </c>
      <c r="H34">
        <f t="shared" si="7"/>
        <v>2000.4</v>
      </c>
      <c r="I34" s="393"/>
      <c r="J34" s="184">
        <v>0</v>
      </c>
      <c r="R34" s="11">
        <f t="shared" ref="R34:R71" si="8">C34+J34</f>
        <v>0.11862396204033215</v>
      </c>
      <c r="S34" s="11">
        <f>AVERAGE(R34:R35)</f>
        <v>0.11862396204033215</v>
      </c>
      <c r="T34">
        <v>2011</v>
      </c>
      <c r="V34" s="607">
        <v>2011</v>
      </c>
      <c r="W34" s="609">
        <f>C56</f>
        <v>0.23724792408066431</v>
      </c>
      <c r="X34" s="609">
        <f>C57</f>
        <v>0</v>
      </c>
      <c r="Y34" s="9">
        <f>C56+J56</f>
        <v>0.23724792408066431</v>
      </c>
      <c r="Z34" s="9">
        <f>C57+J57</f>
        <v>0</v>
      </c>
      <c r="AA34" s="9">
        <v>1</v>
      </c>
      <c r="AB34" s="11">
        <f t="shared" si="6"/>
        <v>0</v>
      </c>
    </row>
    <row r="35" spans="1:28" x14ac:dyDescent="0.2">
      <c r="A35" s="7"/>
      <c r="B35" s="7" t="s">
        <v>248</v>
      </c>
      <c r="C35" s="368">
        <v>0.11862396204033215</v>
      </c>
      <c r="D35" s="9">
        <v>0.11862396204033215</v>
      </c>
      <c r="E35" s="9">
        <v>0.23724792408066431</v>
      </c>
      <c r="F35" s="453">
        <f t="shared" si="0"/>
        <v>0</v>
      </c>
      <c r="G35" s="453">
        <f t="shared" si="1"/>
        <v>0.11862396204033215</v>
      </c>
      <c r="H35">
        <f t="shared" si="7"/>
        <v>2000.6</v>
      </c>
      <c r="I35" s="393"/>
      <c r="J35" s="184">
        <v>0</v>
      </c>
      <c r="R35" s="11">
        <f t="shared" si="8"/>
        <v>0.11862396204033215</v>
      </c>
      <c r="S35" s="11"/>
      <c r="T35">
        <v>2012</v>
      </c>
      <c r="V35" s="607">
        <v>2012</v>
      </c>
      <c r="W35" s="609">
        <f>C58</f>
        <v>0.11862396204033215</v>
      </c>
      <c r="X35" s="609">
        <f>C59</f>
        <v>3.7287864768683274</v>
      </c>
      <c r="Y35" s="9">
        <f>C58+J58</f>
        <v>0.11862396204033215</v>
      </c>
      <c r="Z35" s="9">
        <f>C59+J59</f>
        <v>3.7287864768683274</v>
      </c>
      <c r="AA35" s="9">
        <f t="shared" si="5"/>
        <v>0.47938742119517064</v>
      </c>
      <c r="AB35" s="11">
        <f t="shared" si="6"/>
        <v>31.433669999999999</v>
      </c>
    </row>
    <row r="36" spans="1:28" x14ac:dyDescent="0.2">
      <c r="A36" s="7">
        <v>2001</v>
      </c>
      <c r="B36" s="7" t="s">
        <v>247</v>
      </c>
      <c r="C36" s="368">
        <v>0</v>
      </c>
      <c r="D36" s="9">
        <v>0</v>
      </c>
      <c r="E36" s="9">
        <v>0</v>
      </c>
      <c r="F36" s="453">
        <f t="shared" si="0"/>
        <v>0</v>
      </c>
      <c r="G36" s="453">
        <f t="shared" si="1"/>
        <v>0</v>
      </c>
      <c r="H36">
        <f t="shared" si="7"/>
        <v>2001.4</v>
      </c>
      <c r="I36" s="393"/>
      <c r="J36" s="184">
        <v>0</v>
      </c>
      <c r="R36" s="11">
        <f t="shared" si="8"/>
        <v>0</v>
      </c>
      <c r="S36" s="11">
        <f t="shared" ref="S36:S66" si="9">AVERAGE(R36:R37)</f>
        <v>0.62277864768683278</v>
      </c>
      <c r="T36">
        <v>2013</v>
      </c>
      <c r="V36" s="607">
        <v>2013</v>
      </c>
      <c r="W36" s="609">
        <f>C60</f>
        <v>1.7875333333333332</v>
      </c>
      <c r="X36" s="609">
        <f>C61</f>
        <v>8.702866666666667</v>
      </c>
      <c r="Y36" s="9">
        <f>C60+J60</f>
        <v>1.7875333333333332</v>
      </c>
      <c r="Z36" s="9">
        <f>C61+J61</f>
        <v>8.702866666666667</v>
      </c>
      <c r="AA36" s="9">
        <f t="shared" si="5"/>
        <v>0.17794412132864254</v>
      </c>
      <c r="AB36" s="11">
        <f t="shared" si="6"/>
        <v>4.8686458061388134</v>
      </c>
    </row>
    <row r="37" spans="1:28" x14ac:dyDescent="0.2">
      <c r="A37" s="7"/>
      <c r="B37" s="7" t="s">
        <v>248</v>
      </c>
      <c r="C37" s="368">
        <v>1.2455572953736656</v>
      </c>
      <c r="D37" s="9">
        <v>0.6782239620403322</v>
      </c>
      <c r="E37" s="9">
        <v>2.5067479240806647</v>
      </c>
      <c r="F37" s="453">
        <f t="shared" si="0"/>
        <v>0.56733333333333336</v>
      </c>
      <c r="G37" s="453">
        <f t="shared" si="1"/>
        <v>1.2611906287069992</v>
      </c>
      <c r="H37">
        <f t="shared" si="7"/>
        <v>2001.6</v>
      </c>
      <c r="I37" s="393"/>
      <c r="J37" s="184">
        <v>0</v>
      </c>
      <c r="R37" s="11">
        <f t="shared" si="8"/>
        <v>1.2455572953736656</v>
      </c>
      <c r="S37" s="11"/>
      <c r="T37">
        <v>2014</v>
      </c>
      <c r="V37" s="607">
        <v>2014</v>
      </c>
      <c r="W37" s="609">
        <f>C62</f>
        <v>1.5486239620403321</v>
      </c>
      <c r="X37" s="609">
        <f>C63</f>
        <v>0.88058125741399762</v>
      </c>
      <c r="Y37" s="9">
        <f>C62+J62</f>
        <v>1.5486239620403321</v>
      </c>
      <c r="Z37" s="9">
        <f>C63+J63</f>
        <v>0.88058125741399762</v>
      </c>
      <c r="AA37" s="9">
        <v>0.01</v>
      </c>
      <c r="AB37" s="11">
        <f t="shared" si="6"/>
        <v>0.56862174355988937</v>
      </c>
    </row>
    <row r="38" spans="1:28" x14ac:dyDescent="0.2">
      <c r="A38" s="7">
        <v>2002</v>
      </c>
      <c r="B38" s="7" t="s">
        <v>247</v>
      </c>
      <c r="C38" s="368">
        <v>5.7197239620403328</v>
      </c>
      <c r="D38" s="9">
        <v>3.4256239620403317</v>
      </c>
      <c r="E38" s="9">
        <v>9.7595479240806622</v>
      </c>
      <c r="F38" s="453">
        <f t="shared" si="0"/>
        <v>2.2941000000000011</v>
      </c>
      <c r="G38" s="453">
        <f t="shared" si="1"/>
        <v>4.0398239620403293</v>
      </c>
      <c r="H38">
        <f t="shared" si="7"/>
        <v>2002.4</v>
      </c>
      <c r="I38" s="393"/>
      <c r="J38" s="184">
        <v>0</v>
      </c>
      <c r="O38" s="24" t="s">
        <v>527</v>
      </c>
      <c r="R38" s="11">
        <f t="shared" si="8"/>
        <v>5.7197239620403328</v>
      </c>
      <c r="S38" s="11">
        <f t="shared" si="9"/>
        <v>6.4507739620403326</v>
      </c>
      <c r="T38">
        <v>2015</v>
      </c>
      <c r="V38" s="607">
        <v>2015</v>
      </c>
      <c r="W38" s="609">
        <f>C64</f>
        <v>0</v>
      </c>
      <c r="X38" s="609">
        <f>C65</f>
        <v>0.47</v>
      </c>
      <c r="Y38" s="9">
        <f>C64+J64</f>
        <v>0</v>
      </c>
      <c r="Z38" s="9">
        <f>C65+J55</f>
        <v>0.47</v>
      </c>
      <c r="AA38" s="9">
        <v>0.01</v>
      </c>
      <c r="AB38" s="11">
        <v>5</v>
      </c>
    </row>
    <row r="39" spans="1:28" x14ac:dyDescent="0.2">
      <c r="B39" s="7" t="s">
        <v>248</v>
      </c>
      <c r="C39" s="368">
        <v>7.1818239620403324</v>
      </c>
      <c r="D39" s="9">
        <v>4.266457295373665</v>
      </c>
      <c r="E39" s="9">
        <v>12.530581257413997</v>
      </c>
      <c r="F39" s="453">
        <f t="shared" si="0"/>
        <v>2.9153666666666673</v>
      </c>
      <c r="G39" s="453">
        <f t="shared" si="1"/>
        <v>5.3487572953736651</v>
      </c>
      <c r="H39">
        <f t="shared" si="7"/>
        <v>2002.6</v>
      </c>
      <c r="I39" s="393"/>
      <c r="J39" s="184">
        <v>0</v>
      </c>
      <c r="O39" s="24" t="s">
        <v>528</v>
      </c>
      <c r="R39" s="11">
        <f t="shared" si="8"/>
        <v>7.1818239620403324</v>
      </c>
      <c r="S39" s="11"/>
      <c r="T39">
        <v>2016</v>
      </c>
      <c r="V39" s="607">
        <v>2016</v>
      </c>
      <c r="W39" s="609">
        <f>C66</f>
        <v>0</v>
      </c>
      <c r="X39" s="609">
        <f>C67</f>
        <v>0.66666666666666663</v>
      </c>
      <c r="Y39" s="9">
        <f>C66+J66</f>
        <v>0</v>
      </c>
      <c r="Z39" s="7">
        <v>0.67</v>
      </c>
      <c r="AA39" s="9">
        <f t="shared" si="5"/>
        <v>1.0597014925373134</v>
      </c>
      <c r="AB39" s="11">
        <v>7</v>
      </c>
    </row>
    <row r="40" spans="1:28" x14ac:dyDescent="0.2">
      <c r="A40" s="7">
        <v>2003</v>
      </c>
      <c r="B40" s="7" t="s">
        <v>247</v>
      </c>
      <c r="C40" s="368">
        <v>1.6252906287069988</v>
      </c>
      <c r="D40" s="9">
        <v>0.9886239620403322</v>
      </c>
      <c r="E40" s="9">
        <v>2.8505812574139977</v>
      </c>
      <c r="F40" s="453">
        <f t="shared" si="0"/>
        <v>0.6366666666666666</v>
      </c>
      <c r="G40" s="453">
        <f t="shared" si="1"/>
        <v>1.2252906287069989</v>
      </c>
      <c r="H40">
        <f t="shared" si="7"/>
        <v>2003.4</v>
      </c>
      <c r="I40" s="393"/>
      <c r="J40" s="184">
        <v>0</v>
      </c>
      <c r="O40" s="24" t="s">
        <v>529</v>
      </c>
      <c r="R40" s="11">
        <f t="shared" si="8"/>
        <v>1.6252906287069988</v>
      </c>
      <c r="S40" s="11">
        <f t="shared" si="9"/>
        <v>1.0257286476868328</v>
      </c>
      <c r="V40" s="607">
        <v>2017</v>
      </c>
      <c r="W40" s="609">
        <f>C68</f>
        <v>0.71</v>
      </c>
      <c r="X40" s="609">
        <f>C69</f>
        <v>8.01</v>
      </c>
      <c r="Y40" s="7">
        <v>0.71</v>
      </c>
      <c r="Z40" s="7">
        <v>8.01</v>
      </c>
      <c r="AA40" s="9">
        <f t="shared" si="5"/>
        <v>0.14856429463171036</v>
      </c>
      <c r="AB40" s="11">
        <f t="shared" si="6"/>
        <v>11.28169014084507</v>
      </c>
    </row>
    <row r="41" spans="1:28" x14ac:dyDescent="0.2">
      <c r="B41" s="7" t="s">
        <v>248</v>
      </c>
      <c r="C41" s="368">
        <v>0.42616666666666664</v>
      </c>
      <c r="D41" s="9">
        <v>0.20306666666666665</v>
      </c>
      <c r="E41" s="9">
        <v>0.8944333333333333</v>
      </c>
      <c r="F41" s="453">
        <f t="shared" si="0"/>
        <v>0.22309999999999999</v>
      </c>
      <c r="G41" s="453">
        <f t="shared" si="1"/>
        <v>0.46826666666666666</v>
      </c>
      <c r="H41">
        <f t="shared" si="7"/>
        <v>2003.6</v>
      </c>
      <c r="I41" s="393"/>
      <c r="J41" s="184">
        <v>0</v>
      </c>
      <c r="O41" s="24" t="s">
        <v>530</v>
      </c>
      <c r="R41" s="11">
        <f t="shared" si="8"/>
        <v>0.42616666666666664</v>
      </c>
      <c r="S41" s="11"/>
      <c r="V41" s="607">
        <v>2018</v>
      </c>
      <c r="W41" s="608">
        <v>1.19</v>
      </c>
      <c r="X41" s="609">
        <f>C71</f>
        <v>2.8233333333333337</v>
      </c>
      <c r="Y41" s="7">
        <v>1.19</v>
      </c>
    </row>
    <row r="42" spans="1:28" x14ac:dyDescent="0.2">
      <c r="A42" s="7">
        <v>2004</v>
      </c>
      <c r="B42" s="7" t="s">
        <v>247</v>
      </c>
      <c r="C42" s="368">
        <v>0</v>
      </c>
      <c r="D42" s="9">
        <v>0</v>
      </c>
      <c r="E42" s="9">
        <v>0</v>
      </c>
      <c r="F42" s="453">
        <f t="shared" si="0"/>
        <v>0</v>
      </c>
      <c r="G42" s="453">
        <f t="shared" si="1"/>
        <v>0</v>
      </c>
      <c r="H42">
        <v>2004.4</v>
      </c>
      <c r="I42" s="393"/>
      <c r="J42" s="184">
        <v>0</v>
      </c>
      <c r="R42" s="11">
        <f t="shared" si="8"/>
        <v>0</v>
      </c>
      <c r="S42" s="11">
        <f t="shared" si="9"/>
        <v>0.59311981020166071</v>
      </c>
      <c r="W42" s="608" t="s">
        <v>247</v>
      </c>
      <c r="X42" s="608" t="s">
        <v>403</v>
      </c>
    </row>
    <row r="43" spans="1:28" x14ac:dyDescent="0.2">
      <c r="B43" s="7" t="s">
        <v>248</v>
      </c>
      <c r="C43" s="368">
        <v>0.11862396204033215</v>
      </c>
      <c r="D43" s="9">
        <v>0.11862396204033215</v>
      </c>
      <c r="E43" s="9">
        <v>0.23724792408066431</v>
      </c>
      <c r="F43" s="453">
        <f t="shared" si="0"/>
        <v>0</v>
      </c>
      <c r="G43" s="453">
        <f t="shared" si="1"/>
        <v>0.11862396204033215</v>
      </c>
      <c r="H43">
        <v>2004.6</v>
      </c>
      <c r="I43" s="393"/>
      <c r="J43" s="184">
        <v>1.0676156583629892</v>
      </c>
      <c r="R43" s="11">
        <f t="shared" si="8"/>
        <v>1.1862396204033214</v>
      </c>
      <c r="S43" s="11"/>
    </row>
    <row r="44" spans="1:28" x14ac:dyDescent="0.2">
      <c r="A44" s="7">
        <v>2005</v>
      </c>
      <c r="B44" s="7" t="s">
        <v>247</v>
      </c>
      <c r="C44" s="368">
        <v>0.83044792408066437</v>
      </c>
      <c r="D44" s="9">
        <v>0.47351459074733099</v>
      </c>
      <c r="E44" s="9">
        <v>1.963929181494662</v>
      </c>
      <c r="F44" s="453">
        <f t="shared" si="0"/>
        <v>0.35693333333333338</v>
      </c>
      <c r="G44" s="453">
        <f t="shared" si="1"/>
        <v>1.1334812574139976</v>
      </c>
      <c r="H44">
        <v>2005.4</v>
      </c>
      <c r="I44" s="393"/>
      <c r="J44" s="184">
        <v>2.4911032028469751</v>
      </c>
      <c r="R44" s="11">
        <f t="shared" si="8"/>
        <v>3.3215511269276394</v>
      </c>
      <c r="S44" s="11">
        <f t="shared" si="9"/>
        <v>5.3096615658362989</v>
      </c>
      <c r="W44" s="609">
        <f>AVERAGE(W23:W39)</f>
        <v>0.91433438001535128</v>
      </c>
      <c r="X44" s="609">
        <f>AVERAGE(X23:X39)</f>
        <v>1.8863275370409136</v>
      </c>
    </row>
    <row r="45" spans="1:28" x14ac:dyDescent="0.2">
      <c r="B45" s="7" t="s">
        <v>248</v>
      </c>
      <c r="C45" s="368">
        <v>3.1459333333333332</v>
      </c>
      <c r="D45" s="9">
        <v>1.7514666666666667</v>
      </c>
      <c r="E45" s="9">
        <v>5.5055000000000005</v>
      </c>
      <c r="F45" s="453">
        <f t="shared" si="0"/>
        <v>1.3944666666666665</v>
      </c>
      <c r="G45" s="453">
        <f t="shared" si="1"/>
        <v>2.3595666666666673</v>
      </c>
      <c r="H45">
        <v>2005.6</v>
      </c>
      <c r="I45" s="393"/>
      <c r="J45" s="184">
        <v>4.1518386714116255</v>
      </c>
      <c r="R45" s="11">
        <f t="shared" si="8"/>
        <v>7.2977720047449584</v>
      </c>
      <c r="S45" s="11"/>
    </row>
    <row r="46" spans="1:28" x14ac:dyDescent="0.2">
      <c r="A46" s="7">
        <v>2006</v>
      </c>
      <c r="B46" s="7" t="s">
        <v>247</v>
      </c>
      <c r="C46" s="368">
        <v>2.6085771055753262</v>
      </c>
      <c r="D46" s="9">
        <v>1.6476198102016608</v>
      </c>
      <c r="E46" s="9">
        <v>4.8359208778173191</v>
      </c>
      <c r="F46" s="453">
        <f t="shared" si="0"/>
        <v>0.96095729537366537</v>
      </c>
      <c r="G46" s="453">
        <f t="shared" si="1"/>
        <v>2.2273437722419929</v>
      </c>
      <c r="H46">
        <v>2006.4</v>
      </c>
      <c r="I46" s="393"/>
      <c r="J46" s="184">
        <v>1.5421115065243178</v>
      </c>
      <c r="R46" s="11">
        <f t="shared" si="8"/>
        <v>4.1506886120996445</v>
      </c>
      <c r="S46" s="11">
        <f t="shared" si="9"/>
        <v>3.9746523329379202</v>
      </c>
    </row>
    <row r="47" spans="1:28" x14ac:dyDescent="0.2">
      <c r="B47" s="7" t="s">
        <v>248</v>
      </c>
      <c r="C47" s="368">
        <v>1.5447607750098855</v>
      </c>
      <c r="D47" s="9">
        <v>1.4669829972321076</v>
      </c>
      <c r="E47" s="9">
        <v>3.4895215500197705</v>
      </c>
      <c r="F47" s="453">
        <f t="shared" si="0"/>
        <v>7.7777777777777946E-2</v>
      </c>
      <c r="G47" s="453">
        <f t="shared" si="1"/>
        <v>1.944760775009885</v>
      </c>
      <c r="H47">
        <v>2006.6</v>
      </c>
      <c r="I47" s="393"/>
      <c r="J47" s="184">
        <v>2.2538552787663106</v>
      </c>
      <c r="R47" s="11">
        <f t="shared" si="8"/>
        <v>3.7986160537761959</v>
      </c>
      <c r="S47" s="11"/>
    </row>
    <row r="48" spans="1:28" x14ac:dyDescent="0.2">
      <c r="A48" s="7">
        <v>2007</v>
      </c>
      <c r="B48" s="7" t="s">
        <v>247</v>
      </c>
      <c r="C48" s="368">
        <v>0</v>
      </c>
      <c r="D48" s="9">
        <v>0</v>
      </c>
      <c r="E48" s="9">
        <v>0</v>
      </c>
      <c r="F48" s="453">
        <f t="shared" si="0"/>
        <v>0</v>
      </c>
      <c r="G48" s="453">
        <f t="shared" si="1"/>
        <v>0</v>
      </c>
      <c r="H48">
        <v>2007.4</v>
      </c>
      <c r="I48" s="393"/>
      <c r="J48" s="184">
        <v>0</v>
      </c>
      <c r="R48" s="11">
        <f t="shared" si="8"/>
        <v>0</v>
      </c>
      <c r="S48" s="11">
        <f t="shared" si="9"/>
        <v>0.11862396204033215</v>
      </c>
    </row>
    <row r="49" spans="1:20" x14ac:dyDescent="0.2">
      <c r="B49" s="7" t="s">
        <v>248</v>
      </c>
      <c r="C49" s="368">
        <v>0</v>
      </c>
      <c r="D49" s="9">
        <v>0</v>
      </c>
      <c r="E49" s="9">
        <v>0</v>
      </c>
      <c r="F49" s="453">
        <f t="shared" si="0"/>
        <v>0</v>
      </c>
      <c r="G49" s="453">
        <f t="shared" si="1"/>
        <v>0</v>
      </c>
      <c r="H49">
        <v>2007.6</v>
      </c>
      <c r="I49" s="393"/>
      <c r="J49" s="184">
        <v>0.23724792408066431</v>
      </c>
      <c r="R49" s="11">
        <f t="shared" si="8"/>
        <v>0.23724792408066431</v>
      </c>
      <c r="S49" s="11"/>
    </row>
    <row r="50" spans="1:20" x14ac:dyDescent="0.2">
      <c r="A50" s="7">
        <v>2008</v>
      </c>
      <c r="B50" s="7" t="s">
        <v>247</v>
      </c>
      <c r="C50" s="368">
        <v>0</v>
      </c>
      <c r="D50" s="9">
        <v>0</v>
      </c>
      <c r="E50" s="9">
        <v>0</v>
      </c>
      <c r="F50" s="453">
        <f t="shared" si="0"/>
        <v>0</v>
      </c>
      <c r="G50" s="453">
        <f t="shared" si="1"/>
        <v>0</v>
      </c>
      <c r="H50">
        <v>2008.4</v>
      </c>
      <c r="I50" s="393"/>
      <c r="J50" s="184">
        <v>0</v>
      </c>
      <c r="R50" s="11">
        <f t="shared" si="8"/>
        <v>0</v>
      </c>
      <c r="S50" s="11">
        <f t="shared" si="9"/>
        <v>0</v>
      </c>
    </row>
    <row r="51" spans="1:20" x14ac:dyDescent="0.2">
      <c r="B51" s="7" t="s">
        <v>248</v>
      </c>
      <c r="C51" s="368">
        <v>0</v>
      </c>
      <c r="D51" s="9">
        <v>0</v>
      </c>
      <c r="E51" s="9">
        <v>0</v>
      </c>
      <c r="F51" s="453">
        <f t="shared" si="0"/>
        <v>0</v>
      </c>
      <c r="G51" s="453">
        <f t="shared" si="1"/>
        <v>0</v>
      </c>
      <c r="H51">
        <v>2008.6</v>
      </c>
      <c r="I51" s="393"/>
      <c r="J51" s="184">
        <v>0</v>
      </c>
      <c r="R51" s="11">
        <f t="shared" si="8"/>
        <v>0</v>
      </c>
      <c r="S51" s="11"/>
    </row>
    <row r="52" spans="1:20" x14ac:dyDescent="0.2">
      <c r="A52" s="7">
        <v>2009</v>
      </c>
      <c r="B52" s="7" t="s">
        <v>247</v>
      </c>
      <c r="C52" s="368">
        <v>0.35587188612099641</v>
      </c>
      <c r="D52" s="9">
        <v>0.35587188612099641</v>
      </c>
      <c r="E52" s="9">
        <v>0.71174377224199281</v>
      </c>
      <c r="F52" s="453">
        <f t="shared" si="0"/>
        <v>0</v>
      </c>
      <c r="G52" s="453">
        <f t="shared" si="1"/>
        <v>0.35587188612099641</v>
      </c>
      <c r="H52">
        <v>2009.4</v>
      </c>
      <c r="I52" s="393"/>
      <c r="J52" s="184">
        <v>0</v>
      </c>
      <c r="R52" s="11">
        <f t="shared" si="8"/>
        <v>0.35587188612099641</v>
      </c>
      <c r="S52" s="11">
        <f t="shared" si="9"/>
        <v>1.6776911625148281</v>
      </c>
    </row>
    <row r="53" spans="1:20" x14ac:dyDescent="0.2">
      <c r="B53" s="7" t="s">
        <v>248</v>
      </c>
      <c r="C53" s="368">
        <v>2.9995104389086595</v>
      </c>
      <c r="D53" s="9">
        <v>1.7339771055753259</v>
      </c>
      <c r="E53" s="9">
        <v>6.5434875444839848</v>
      </c>
      <c r="F53" s="453">
        <f t="shared" ref="F53:F58" si="10">C53-D53</f>
        <v>1.2655333333333336</v>
      </c>
      <c r="G53" s="453">
        <f t="shared" ref="G53:G58" si="11">E53-C53</f>
        <v>3.5439771055753253</v>
      </c>
      <c r="H53">
        <v>2009.6</v>
      </c>
      <c r="I53" s="393"/>
      <c r="J53" s="184">
        <v>0</v>
      </c>
      <c r="R53" s="11">
        <f t="shared" si="8"/>
        <v>2.9995104389086595</v>
      </c>
      <c r="S53" s="11"/>
    </row>
    <row r="54" spans="1:20" x14ac:dyDescent="0.2">
      <c r="A54" s="7">
        <v>2010</v>
      </c>
      <c r="B54" s="7" t="s">
        <v>247</v>
      </c>
      <c r="C54" s="426">
        <v>0.59311981020166071</v>
      </c>
      <c r="D54" s="9">
        <v>0.59311981020166071</v>
      </c>
      <c r="E54" s="9">
        <v>1.3048635824436534</v>
      </c>
      <c r="F54" s="453">
        <f t="shared" si="10"/>
        <v>0</v>
      </c>
      <c r="G54" s="453">
        <f t="shared" si="11"/>
        <v>0.7117437722419927</v>
      </c>
      <c r="H54">
        <v>2010.4</v>
      </c>
      <c r="I54" s="393"/>
      <c r="J54" s="184">
        <v>0</v>
      </c>
      <c r="R54" s="11">
        <f t="shared" si="8"/>
        <v>0.59311981020166071</v>
      </c>
      <c r="S54" s="11">
        <f t="shared" si="9"/>
        <v>0.71539323843416369</v>
      </c>
    </row>
    <row r="55" spans="1:20" x14ac:dyDescent="0.2">
      <c r="B55" s="7" t="s">
        <v>248</v>
      </c>
      <c r="C55" s="426">
        <v>0.83766666666666667</v>
      </c>
      <c r="D55" s="9">
        <v>0.84</v>
      </c>
      <c r="E55" s="9">
        <v>1.8</v>
      </c>
      <c r="F55" s="453">
        <f t="shared" si="10"/>
        <v>-2.3333333333332984E-3</v>
      </c>
      <c r="G55" s="453">
        <f t="shared" si="11"/>
        <v>0.96233333333333337</v>
      </c>
      <c r="H55">
        <v>2010.6</v>
      </c>
      <c r="I55" s="393"/>
      <c r="J55" s="184">
        <v>0</v>
      </c>
      <c r="R55" s="11">
        <f t="shared" si="8"/>
        <v>0.83766666666666667</v>
      </c>
      <c r="S55" s="11"/>
    </row>
    <row r="56" spans="1:20" x14ac:dyDescent="0.2">
      <c r="A56" s="7">
        <v>2011</v>
      </c>
      <c r="B56" s="7" t="s">
        <v>247</v>
      </c>
      <c r="C56" s="426">
        <v>0.23724792408066431</v>
      </c>
      <c r="D56" s="9">
        <v>0.23724792408066431</v>
      </c>
      <c r="E56" s="9">
        <v>0.47449584816132861</v>
      </c>
      <c r="F56" s="453">
        <f t="shared" si="10"/>
        <v>0</v>
      </c>
      <c r="G56" s="453">
        <f t="shared" si="11"/>
        <v>0.23724792408066431</v>
      </c>
      <c r="H56">
        <v>2011.4</v>
      </c>
      <c r="I56" s="393"/>
      <c r="J56" s="184">
        <v>0</v>
      </c>
      <c r="R56" s="11">
        <f t="shared" si="8"/>
        <v>0.23724792408066431</v>
      </c>
      <c r="S56" s="11">
        <f t="shared" si="9"/>
        <v>0.11862396204033215</v>
      </c>
    </row>
    <row r="57" spans="1:20" x14ac:dyDescent="0.2">
      <c r="B57" s="7" t="s">
        <v>248</v>
      </c>
      <c r="C57" s="426">
        <v>0</v>
      </c>
      <c r="D57" s="9">
        <v>0</v>
      </c>
      <c r="E57" s="9">
        <v>0</v>
      </c>
      <c r="F57" s="453">
        <f t="shared" si="10"/>
        <v>0</v>
      </c>
      <c r="G57" s="453">
        <f t="shared" si="11"/>
        <v>0</v>
      </c>
      <c r="H57">
        <v>2011.6</v>
      </c>
      <c r="I57" s="393"/>
      <c r="J57" s="184">
        <v>0</v>
      </c>
      <c r="R57" s="11">
        <f t="shared" si="8"/>
        <v>0</v>
      </c>
      <c r="S57" s="11"/>
    </row>
    <row r="58" spans="1:20" x14ac:dyDescent="0.2">
      <c r="A58" s="7">
        <v>2012</v>
      </c>
      <c r="B58" s="7" t="s">
        <v>247</v>
      </c>
      <c r="C58" s="426">
        <v>0.11862396204033215</v>
      </c>
      <c r="D58" s="9">
        <v>0.11862396204033215</v>
      </c>
      <c r="E58" s="9">
        <v>0.23724792408066431</v>
      </c>
      <c r="F58" s="453">
        <f t="shared" si="10"/>
        <v>0</v>
      </c>
      <c r="G58" s="453">
        <f t="shared" si="11"/>
        <v>0.11862396204033215</v>
      </c>
      <c r="H58">
        <v>2012.4</v>
      </c>
      <c r="I58" s="393"/>
      <c r="J58" s="184">
        <v>0</v>
      </c>
      <c r="R58" s="11">
        <f t="shared" si="8"/>
        <v>0.11862396204033215</v>
      </c>
      <c r="S58" s="11">
        <f t="shared" si="9"/>
        <v>1.9237052194543298</v>
      </c>
    </row>
    <row r="59" spans="1:20" x14ac:dyDescent="0.2">
      <c r="B59" s="7" t="s">
        <v>248</v>
      </c>
      <c r="C59" s="426">
        <v>3.7287864768683274</v>
      </c>
      <c r="D59" s="9">
        <v>2.7069572953736656</v>
      </c>
      <c r="E59" s="9">
        <v>5.5833250296559909</v>
      </c>
      <c r="F59" s="453">
        <f t="shared" ref="F59:F66" si="12">C59-D59</f>
        <v>1.0218291814946618</v>
      </c>
      <c r="G59" s="453">
        <f t="shared" ref="G59:G66" si="13">E59-C59</f>
        <v>1.8545385527876634</v>
      </c>
      <c r="H59">
        <v>2012.6</v>
      </c>
      <c r="I59" s="393"/>
      <c r="J59" s="184">
        <v>0</v>
      </c>
      <c r="R59" s="11">
        <f t="shared" si="8"/>
        <v>3.7287864768683274</v>
      </c>
      <c r="S59" s="11"/>
    </row>
    <row r="60" spans="1:20" x14ac:dyDescent="0.2">
      <c r="A60" s="7">
        <v>2013</v>
      </c>
      <c r="B60" s="7" t="s">
        <v>247</v>
      </c>
      <c r="C60" s="426">
        <v>1.7875333333333332</v>
      </c>
      <c r="D60" s="9">
        <v>1.1073333333333333</v>
      </c>
      <c r="E60" s="9">
        <v>3.552</v>
      </c>
      <c r="F60" s="453">
        <f t="shared" si="12"/>
        <v>0.68019999999999992</v>
      </c>
      <c r="G60" s="453">
        <f t="shared" si="13"/>
        <v>1.7644666666666668</v>
      </c>
      <c r="H60">
        <v>2013.4</v>
      </c>
      <c r="I60" s="393"/>
      <c r="J60" s="184">
        <v>0</v>
      </c>
      <c r="R60" s="11">
        <f t="shared" si="8"/>
        <v>1.7875333333333332</v>
      </c>
      <c r="S60" s="11">
        <f t="shared" si="9"/>
        <v>5.2452000000000005</v>
      </c>
      <c r="T60" s="11">
        <f>AVERAGE(F60:G61)</f>
        <v>2.2888416666666669</v>
      </c>
    </row>
    <row r="61" spans="1:20" x14ac:dyDescent="0.2">
      <c r="B61" s="7" t="s">
        <v>248</v>
      </c>
      <c r="C61" s="426">
        <v>8.702866666666667</v>
      </c>
      <c r="D61" s="9">
        <v>6.4196333333333335</v>
      </c>
      <c r="E61" s="9">
        <v>13.130333333333335</v>
      </c>
      <c r="F61" s="453">
        <f t="shared" si="12"/>
        <v>2.2832333333333334</v>
      </c>
      <c r="G61" s="453">
        <f t="shared" si="13"/>
        <v>4.4274666666666675</v>
      </c>
      <c r="H61">
        <v>2013.6</v>
      </c>
      <c r="I61" s="393"/>
      <c r="J61" s="184">
        <v>0</v>
      </c>
      <c r="R61" s="11">
        <f t="shared" si="8"/>
        <v>8.702866666666667</v>
      </c>
      <c r="S61" s="11"/>
      <c r="T61" s="11"/>
    </row>
    <row r="62" spans="1:20" x14ac:dyDescent="0.2">
      <c r="A62" s="7">
        <v>2014</v>
      </c>
      <c r="B62" s="7" t="s">
        <v>247</v>
      </c>
      <c r="C62" s="426">
        <v>1.5486239620403321</v>
      </c>
      <c r="D62" s="9">
        <v>0.95862396204033218</v>
      </c>
      <c r="E62" s="9">
        <v>2.6672479240806641</v>
      </c>
      <c r="F62" s="453">
        <f t="shared" si="12"/>
        <v>0.59</v>
      </c>
      <c r="G62" s="453">
        <f t="shared" si="13"/>
        <v>1.118623962040332</v>
      </c>
      <c r="H62">
        <v>2014.4</v>
      </c>
      <c r="I62" s="393"/>
      <c r="J62" s="184">
        <v>0</v>
      </c>
      <c r="R62" s="11">
        <f t="shared" si="8"/>
        <v>1.5486239620403321</v>
      </c>
      <c r="S62" s="11">
        <f t="shared" si="9"/>
        <v>1.2146026097271649</v>
      </c>
      <c r="T62" s="11">
        <f t="shared" ref="T62:T66" si="14">AVERAGE(F62:G63)</f>
        <v>0.78465599051008306</v>
      </c>
    </row>
    <row r="63" spans="1:20" x14ac:dyDescent="0.2">
      <c r="B63" s="7" t="s">
        <v>248</v>
      </c>
      <c r="C63" s="426">
        <v>0.88058125741399762</v>
      </c>
      <c r="D63" s="9">
        <v>0.51333333333333331</v>
      </c>
      <c r="E63" s="9">
        <v>1.9433333333333334</v>
      </c>
      <c r="F63" s="453">
        <f t="shared" si="12"/>
        <v>0.36724792408066431</v>
      </c>
      <c r="G63" s="453">
        <f t="shared" si="13"/>
        <v>1.0627520759193358</v>
      </c>
      <c r="H63">
        <v>2014.6</v>
      </c>
      <c r="I63" s="393"/>
      <c r="J63" s="184">
        <v>0</v>
      </c>
      <c r="R63" s="11">
        <f t="shared" si="8"/>
        <v>0.88058125741399762</v>
      </c>
      <c r="S63" s="11"/>
      <c r="T63" s="11"/>
    </row>
    <row r="64" spans="1:20" x14ac:dyDescent="0.2">
      <c r="A64" s="7">
        <v>2015</v>
      </c>
      <c r="B64" s="7" t="s">
        <v>247</v>
      </c>
      <c r="C64" s="426">
        <v>0</v>
      </c>
      <c r="D64" s="9">
        <v>0</v>
      </c>
      <c r="E64" s="9">
        <v>0.24</v>
      </c>
      <c r="F64" s="453">
        <f t="shared" si="12"/>
        <v>0</v>
      </c>
      <c r="G64" s="453">
        <f t="shared" si="13"/>
        <v>0.24</v>
      </c>
      <c r="H64">
        <v>2015.4</v>
      </c>
      <c r="I64" s="393"/>
      <c r="J64" s="184">
        <v>0</v>
      </c>
      <c r="R64" s="11">
        <f t="shared" si="8"/>
        <v>0</v>
      </c>
      <c r="S64" s="11">
        <f t="shared" si="9"/>
        <v>0.23499999999999999</v>
      </c>
      <c r="T64" s="11">
        <f t="shared" si="14"/>
        <v>0.15</v>
      </c>
    </row>
    <row r="65" spans="1:22" x14ac:dyDescent="0.2">
      <c r="B65" s="7" t="s">
        <v>248</v>
      </c>
      <c r="C65" s="426">
        <v>0.47</v>
      </c>
      <c r="D65" s="9">
        <v>0.47</v>
      </c>
      <c r="E65" s="9">
        <v>0.83</v>
      </c>
      <c r="F65" s="453">
        <f t="shared" si="12"/>
        <v>0</v>
      </c>
      <c r="G65" s="453">
        <f t="shared" si="13"/>
        <v>0.36</v>
      </c>
      <c r="H65">
        <v>2015.6</v>
      </c>
      <c r="I65" s="393"/>
      <c r="J65" s="184">
        <v>0</v>
      </c>
      <c r="R65" s="11">
        <f t="shared" si="8"/>
        <v>0.47</v>
      </c>
      <c r="S65" s="11"/>
      <c r="T65" s="11"/>
    </row>
    <row r="66" spans="1:22" x14ac:dyDescent="0.2">
      <c r="A66" s="7">
        <v>2016</v>
      </c>
      <c r="B66" s="7" t="s">
        <v>247</v>
      </c>
      <c r="C66" s="426">
        <v>0</v>
      </c>
      <c r="D66" s="9">
        <v>0</v>
      </c>
      <c r="E66" s="9">
        <v>0.24</v>
      </c>
      <c r="F66" s="453">
        <f t="shared" si="12"/>
        <v>0</v>
      </c>
      <c r="G66" s="453">
        <f t="shared" si="13"/>
        <v>0.24</v>
      </c>
      <c r="H66">
        <v>2016.4</v>
      </c>
      <c r="I66" s="393"/>
      <c r="J66" s="184">
        <v>0</v>
      </c>
      <c r="R66" s="11">
        <f t="shared" si="8"/>
        <v>0</v>
      </c>
      <c r="S66" s="11">
        <f t="shared" si="9"/>
        <v>0.33333333333333331</v>
      </c>
      <c r="T66" s="11">
        <f t="shared" si="14"/>
        <v>0.39333333333333337</v>
      </c>
    </row>
    <row r="67" spans="1:22" x14ac:dyDescent="0.2">
      <c r="B67" s="7" t="s">
        <v>248</v>
      </c>
      <c r="C67" s="426">
        <v>0.66666666666666663</v>
      </c>
      <c r="D67" s="9">
        <v>0.66666666666666663</v>
      </c>
      <c r="E67" s="9">
        <v>2</v>
      </c>
      <c r="F67" s="453">
        <f t="shared" ref="F67" si="15">C67-D67</f>
        <v>0</v>
      </c>
      <c r="G67" s="453">
        <f t="shared" ref="G67" si="16">E67-C67</f>
        <v>1.3333333333333335</v>
      </c>
      <c r="H67">
        <v>2016.6</v>
      </c>
      <c r="I67" s="393"/>
      <c r="J67" s="184">
        <v>0</v>
      </c>
      <c r="R67" s="11">
        <f t="shared" si="8"/>
        <v>0.66666666666666663</v>
      </c>
    </row>
    <row r="68" spans="1:22" x14ac:dyDescent="0.2">
      <c r="A68" s="7">
        <v>2017</v>
      </c>
      <c r="B68" s="7" t="s">
        <v>247</v>
      </c>
      <c r="C68" s="426">
        <v>0.71</v>
      </c>
      <c r="D68" s="9">
        <v>0.60782918149466203</v>
      </c>
      <c r="E68" s="9">
        <v>1.1637010676156583</v>
      </c>
      <c r="F68" s="453">
        <f t="shared" ref="F68" si="17">C68-D68</f>
        <v>0.10217081850533793</v>
      </c>
      <c r="G68" s="453">
        <f t="shared" ref="G68" si="18">E68-C68</f>
        <v>0.45370106761565832</v>
      </c>
      <c r="H68">
        <v>2017.4</v>
      </c>
      <c r="I68" s="393"/>
      <c r="J68" s="184">
        <v>0</v>
      </c>
      <c r="R68" s="11">
        <f t="shared" si="8"/>
        <v>0.71</v>
      </c>
    </row>
    <row r="69" spans="1:22" x14ac:dyDescent="0.2">
      <c r="B69" s="7" t="s">
        <v>248</v>
      </c>
      <c r="C69" s="426">
        <v>8.01</v>
      </c>
      <c r="D69" s="9">
        <v>5.3006239620403317</v>
      </c>
      <c r="E69" s="9">
        <v>12.600581257413999</v>
      </c>
      <c r="F69" s="453">
        <f t="shared" ref="F69" si="19">C69-D69</f>
        <v>2.7093760379596681</v>
      </c>
      <c r="G69" s="453">
        <f t="shared" ref="G69" si="20">E69-C69</f>
        <v>4.5905812574139997</v>
      </c>
      <c r="H69">
        <v>2017.6</v>
      </c>
      <c r="I69" s="393"/>
      <c r="J69" s="184">
        <v>0</v>
      </c>
      <c r="R69" s="11">
        <f t="shared" si="8"/>
        <v>8.01</v>
      </c>
    </row>
    <row r="70" spans="1:22" x14ac:dyDescent="0.2">
      <c r="A70" s="7">
        <v>2018</v>
      </c>
      <c r="B70" s="7" t="s">
        <v>247</v>
      </c>
      <c r="C70" s="426">
        <v>1.1849999999999998</v>
      </c>
      <c r="D70" s="9">
        <v>0.5096666666666666</v>
      </c>
      <c r="E70" s="9">
        <v>2.7666666666666671</v>
      </c>
      <c r="F70" s="453">
        <f t="shared" ref="F70" si="21">C70-D70</f>
        <v>0.67533333333333323</v>
      </c>
      <c r="G70" s="453">
        <f t="shared" ref="G70" si="22">E70-C70</f>
        <v>1.5816666666666672</v>
      </c>
      <c r="H70">
        <v>2018.4</v>
      </c>
      <c r="I70" s="393"/>
      <c r="J70" s="184">
        <v>0</v>
      </c>
      <c r="R70" s="11">
        <f t="shared" si="8"/>
        <v>1.1849999999999998</v>
      </c>
    </row>
    <row r="71" spans="1:22" x14ac:dyDescent="0.2">
      <c r="B71" s="7" t="s">
        <v>248</v>
      </c>
      <c r="C71" s="426">
        <v>2.8233333333333337</v>
      </c>
      <c r="D71" s="9">
        <v>1.3399999999999999</v>
      </c>
      <c r="E71" s="9">
        <v>3.37</v>
      </c>
      <c r="F71" s="453">
        <v>1.48</v>
      </c>
      <c r="G71" s="453">
        <v>0.55000000000000004</v>
      </c>
      <c r="H71">
        <v>2018.6</v>
      </c>
      <c r="I71" s="393"/>
      <c r="J71" s="184">
        <v>0</v>
      </c>
      <c r="R71" s="11">
        <f t="shared" si="8"/>
        <v>2.8233333333333337</v>
      </c>
    </row>
    <row r="72" spans="1:22" x14ac:dyDescent="0.2">
      <c r="B72" s="7"/>
    </row>
    <row r="74" spans="1:22" x14ac:dyDescent="0.2">
      <c r="T74" s="20" t="s">
        <v>551</v>
      </c>
    </row>
    <row r="75" spans="1:22" x14ac:dyDescent="0.2">
      <c r="T75" s="20" t="s">
        <v>248</v>
      </c>
      <c r="U75" s="510">
        <f>AVERAGE(C9,C11,C13,C15,C17,C19,C21,C23,C25,C27,C29,C31,C33)</f>
        <v>0.54227845606350944</v>
      </c>
      <c r="V75" s="20" t="s">
        <v>612</v>
      </c>
    </row>
    <row r="77" spans="1:22" x14ac:dyDescent="0.2">
      <c r="T77" s="20" t="s">
        <v>248</v>
      </c>
      <c r="U77" s="510">
        <f>AVERAGE(C35,C37,C39,C41,C43,C45,C47,C49,C51,C53,C55,C57,C59,C61,C63,C65)</f>
        <v>1.9625563414393039</v>
      </c>
      <c r="V77" s="20" t="s">
        <v>687</v>
      </c>
    </row>
    <row r="79" spans="1:22" x14ac:dyDescent="0.2">
      <c r="U79" s="602">
        <f>U77/U75</f>
        <v>3.6190933264910257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83"/>
  <sheetViews>
    <sheetView workbookViewId="0">
      <pane ySplit="6" topLeftCell="A40" activePane="bottomLeft" state="frozenSplit"/>
      <selection activeCell="G3" sqref="G3"/>
      <selection pane="bottomLeft" activeCell="C7" sqref="C7:C70"/>
    </sheetView>
  </sheetViews>
  <sheetFormatPr defaultRowHeight="12.75" x14ac:dyDescent="0.2"/>
  <cols>
    <col min="3" max="3" width="17.5703125" customWidth="1"/>
    <col min="4" max="5" width="16.140625" customWidth="1"/>
    <col min="6" max="6" width="11.42578125" customWidth="1"/>
    <col min="7" max="7" width="11.140625" customWidth="1"/>
    <col min="12" max="13" width="9.140625" style="7"/>
  </cols>
  <sheetData>
    <row r="1" spans="1:26" ht="16.5" thickBot="1" x14ac:dyDescent="0.3">
      <c r="A1" s="388" t="s">
        <v>526</v>
      </c>
      <c r="B1" s="104"/>
      <c r="C1" s="104"/>
      <c r="D1" s="105"/>
      <c r="E1" s="105"/>
    </row>
    <row r="2" spans="1:26" x14ac:dyDescent="0.2">
      <c r="A2" s="37" t="s">
        <v>517</v>
      </c>
      <c r="G2" s="188" t="s">
        <v>408</v>
      </c>
    </row>
    <row r="3" spans="1:26" x14ac:dyDescent="0.2">
      <c r="A3" s="37" t="s">
        <v>518</v>
      </c>
    </row>
    <row r="4" spans="1:26" x14ac:dyDescent="0.2">
      <c r="A4" s="313" t="s">
        <v>522</v>
      </c>
      <c r="F4" s="99" t="s">
        <v>721</v>
      </c>
    </row>
    <row r="5" spans="1:26" ht="13.5" thickBot="1" x14ac:dyDescent="0.25"/>
    <row r="6" spans="1:26" ht="34.5" thickBot="1" x14ac:dyDescent="0.25">
      <c r="A6" s="382" t="s">
        <v>16</v>
      </c>
      <c r="B6" s="383" t="s">
        <v>75</v>
      </c>
      <c r="C6" s="386" t="s">
        <v>519</v>
      </c>
      <c r="D6" s="200" t="s">
        <v>19</v>
      </c>
      <c r="E6" s="384" t="s">
        <v>20</v>
      </c>
      <c r="F6" s="374" t="s">
        <v>515</v>
      </c>
      <c r="G6" s="374" t="s">
        <v>516</v>
      </c>
      <c r="H6" s="387" t="s">
        <v>520</v>
      </c>
      <c r="I6" s="22"/>
      <c r="J6" s="22"/>
      <c r="K6" s="22" t="s">
        <v>16</v>
      </c>
      <c r="L6" s="262" t="s">
        <v>247</v>
      </c>
      <c r="M6" s="262" t="s">
        <v>248</v>
      </c>
      <c r="N6" s="470" t="s">
        <v>575</v>
      </c>
      <c r="O6" s="471" t="s">
        <v>697</v>
      </c>
      <c r="P6" s="557" t="s">
        <v>608</v>
      </c>
      <c r="Q6" s="557" t="s">
        <v>609</v>
      </c>
      <c r="R6" s="557" t="s">
        <v>610</v>
      </c>
      <c r="S6" s="557" t="s">
        <v>610</v>
      </c>
      <c r="T6" s="22"/>
      <c r="U6" s="22"/>
      <c r="V6" s="22"/>
      <c r="W6" s="22"/>
    </row>
    <row r="7" spans="1:26" x14ac:dyDescent="0.2">
      <c r="A7" s="7">
        <v>1987</v>
      </c>
      <c r="B7" s="7" t="s">
        <v>247</v>
      </c>
      <c r="C7" s="375">
        <v>1.3048635824436536</v>
      </c>
      <c r="D7" s="53">
        <v>0</v>
      </c>
      <c r="E7" s="132">
        <v>0</v>
      </c>
      <c r="F7" s="381">
        <f t="shared" ref="F7:F16" si="0">C7-D7</f>
        <v>1.3048635824436536</v>
      </c>
      <c r="G7" s="380">
        <f t="shared" ref="G7:G16" si="1">E7-C7</f>
        <v>-1.3048635824436536</v>
      </c>
      <c r="H7" s="264">
        <v>1987.4</v>
      </c>
      <c r="I7" s="11"/>
      <c r="J7" s="11"/>
      <c r="K7">
        <v>1987</v>
      </c>
      <c r="L7" s="31">
        <f>C7</f>
        <v>1.3048635824436536</v>
      </c>
      <c r="M7" s="31">
        <f>C8</f>
        <v>3.0842230130486352</v>
      </c>
      <c r="N7" s="469">
        <f>M7/L7</f>
        <v>2.3636363636363633</v>
      </c>
      <c r="O7" s="472">
        <f>L8/M7</f>
        <v>0.46153846153846156</v>
      </c>
      <c r="P7" s="40"/>
      <c r="Q7" s="40"/>
      <c r="R7" s="40"/>
      <c r="S7" s="40"/>
    </row>
    <row r="8" spans="1:26" x14ac:dyDescent="0.2">
      <c r="A8" s="7"/>
      <c r="B8" s="7" t="s">
        <v>248</v>
      </c>
      <c r="C8" s="375">
        <v>3.0842230130486352</v>
      </c>
      <c r="D8" s="53">
        <v>2.2000000000000002</v>
      </c>
      <c r="E8" s="132">
        <v>5.8666666666666671</v>
      </c>
      <c r="F8" s="381">
        <f t="shared" si="0"/>
        <v>0.88422301304863504</v>
      </c>
      <c r="G8" s="380">
        <f t="shared" si="1"/>
        <v>2.7824436536180319</v>
      </c>
      <c r="H8" s="264">
        <v>1987.6</v>
      </c>
      <c r="I8" s="11"/>
      <c r="J8" s="11"/>
      <c r="K8">
        <v>1988</v>
      </c>
      <c r="L8" s="31">
        <f>C9</f>
        <v>1.4234875444839856</v>
      </c>
      <c r="M8" s="31">
        <f>C10</f>
        <v>1.1862396204033214</v>
      </c>
      <c r="N8" s="469">
        <f t="shared" ref="N8:N37" si="2">M8/L8</f>
        <v>0.83333333333333337</v>
      </c>
      <c r="O8" s="472">
        <f t="shared" ref="O8:O37" si="3">L9/M8</f>
        <v>0.2</v>
      </c>
      <c r="P8" s="40"/>
      <c r="Q8" s="40"/>
      <c r="R8" s="40"/>
      <c r="S8" s="40"/>
      <c r="Y8">
        <v>1.77935943060498</v>
      </c>
      <c r="Z8">
        <v>1.3048635824436501</v>
      </c>
    </row>
    <row r="9" spans="1:26" x14ac:dyDescent="0.2">
      <c r="A9" s="7">
        <v>1988</v>
      </c>
      <c r="B9" s="7" t="s">
        <v>247</v>
      </c>
      <c r="C9" s="375">
        <v>1.4234875444839856</v>
      </c>
      <c r="D9" s="53">
        <v>1</v>
      </c>
      <c r="E9" s="132">
        <v>3</v>
      </c>
      <c r="F9" s="381">
        <f t="shared" si="0"/>
        <v>0.42348754448398562</v>
      </c>
      <c r="G9" s="380">
        <f t="shared" si="1"/>
        <v>1.5765124555160144</v>
      </c>
      <c r="H9" s="264">
        <v>1988.4</v>
      </c>
      <c r="I9" s="11"/>
      <c r="J9" s="11"/>
      <c r="K9">
        <v>1989</v>
      </c>
      <c r="L9" s="31">
        <f>C11</f>
        <v>0.23724792408066431</v>
      </c>
      <c r="M9" s="31">
        <f>C12</f>
        <v>0</v>
      </c>
      <c r="N9" s="469">
        <f t="shared" si="2"/>
        <v>0</v>
      </c>
      <c r="O9" s="472"/>
      <c r="P9" s="40"/>
      <c r="Q9" s="40"/>
      <c r="R9" s="40"/>
      <c r="S9" s="40"/>
      <c r="Y9">
        <v>3.9145907473309598</v>
      </c>
      <c r="Z9">
        <v>3.0842230130486401</v>
      </c>
    </row>
    <row r="10" spans="1:26" x14ac:dyDescent="0.2">
      <c r="A10" s="7"/>
      <c r="B10" s="7" t="s">
        <v>248</v>
      </c>
      <c r="C10" s="182">
        <v>1.1862396204033214</v>
      </c>
      <c r="D10" s="53">
        <v>0.66666666666666663</v>
      </c>
      <c r="E10" s="132">
        <v>2.3333333333333335</v>
      </c>
      <c r="F10" s="381">
        <f t="shared" si="0"/>
        <v>0.5195729537366548</v>
      </c>
      <c r="G10" s="380">
        <f t="shared" si="1"/>
        <v>1.1470937129300121</v>
      </c>
      <c r="H10" s="264">
        <v>1988.6</v>
      </c>
      <c r="I10" s="11"/>
      <c r="J10" s="11"/>
      <c r="K10">
        <v>1990</v>
      </c>
      <c r="L10" s="31">
        <f>C13</f>
        <v>0</v>
      </c>
      <c r="M10" s="7">
        <f>C129</f>
        <v>0</v>
      </c>
      <c r="N10" s="469"/>
      <c r="O10" s="472"/>
      <c r="P10" s="40"/>
      <c r="Q10" s="40"/>
      <c r="R10" s="40"/>
      <c r="S10" s="40"/>
      <c r="Y10">
        <v>2.8469750889679699</v>
      </c>
      <c r="Z10">
        <v>1.4234875444839901</v>
      </c>
    </row>
    <row r="11" spans="1:26" x14ac:dyDescent="0.2">
      <c r="A11" s="7">
        <v>1989</v>
      </c>
      <c r="B11" s="7" t="s">
        <v>247</v>
      </c>
      <c r="C11" s="182">
        <v>0.23724792408066431</v>
      </c>
      <c r="D11" s="53">
        <v>0.16666666666666666</v>
      </c>
      <c r="E11" s="132">
        <v>0.5</v>
      </c>
      <c r="F11" s="381">
        <f t="shared" si="0"/>
        <v>7.058125741399765E-2</v>
      </c>
      <c r="G11" s="380">
        <f t="shared" si="1"/>
        <v>0.26275207591933569</v>
      </c>
      <c r="H11" s="264">
        <v>1989.4</v>
      </c>
      <c r="I11" s="11"/>
      <c r="J11" s="11"/>
      <c r="K11">
        <v>1991</v>
      </c>
      <c r="L11" s="31">
        <f>C15</f>
        <v>0</v>
      </c>
      <c r="M11" s="31">
        <f>C16</f>
        <v>0</v>
      </c>
      <c r="N11" s="469"/>
      <c r="O11" s="472"/>
      <c r="P11" s="40"/>
      <c r="Q11" s="40"/>
      <c r="R11" s="40"/>
      <c r="S11" s="40"/>
      <c r="Y11">
        <v>5.6939501779359398</v>
      </c>
      <c r="Z11">
        <v>1.1862396204033201</v>
      </c>
    </row>
    <row r="12" spans="1:26" x14ac:dyDescent="0.2">
      <c r="A12" s="7"/>
      <c r="B12" s="7" t="s">
        <v>248</v>
      </c>
      <c r="C12" s="182">
        <v>0</v>
      </c>
      <c r="D12" s="9">
        <v>0</v>
      </c>
      <c r="E12" s="132">
        <v>0</v>
      </c>
      <c r="F12" s="381">
        <f t="shared" si="0"/>
        <v>0</v>
      </c>
      <c r="G12" s="380">
        <f t="shared" si="1"/>
        <v>0</v>
      </c>
      <c r="H12" s="264">
        <v>1989.6</v>
      </c>
      <c r="I12" s="11"/>
      <c r="J12" s="11"/>
      <c r="K12">
        <v>1992</v>
      </c>
      <c r="L12" s="31">
        <f>C17</f>
        <v>0</v>
      </c>
      <c r="M12" s="31">
        <f>C18</f>
        <v>0</v>
      </c>
      <c r="N12" s="469"/>
      <c r="O12" s="472"/>
      <c r="P12" s="453">
        <f>F17</f>
        <v>0</v>
      </c>
      <c r="Q12" s="453">
        <f>G17</f>
        <v>0</v>
      </c>
      <c r="R12" s="453">
        <f>F18</f>
        <v>0</v>
      </c>
      <c r="S12" s="453">
        <f>G18</f>
        <v>0</v>
      </c>
      <c r="Y12">
        <v>4.6263345195729499</v>
      </c>
      <c r="Z12">
        <v>0.237247924080664</v>
      </c>
    </row>
    <row r="13" spans="1:26" x14ac:dyDescent="0.2">
      <c r="A13" s="7">
        <v>1990</v>
      </c>
      <c r="B13" s="7" t="s">
        <v>247</v>
      </c>
      <c r="C13" s="182">
        <v>0</v>
      </c>
      <c r="D13" s="9">
        <v>0</v>
      </c>
      <c r="E13" s="132">
        <v>0</v>
      </c>
      <c r="F13" s="381">
        <f t="shared" si="0"/>
        <v>0</v>
      </c>
      <c r="G13" s="380">
        <f t="shared" si="1"/>
        <v>0</v>
      </c>
      <c r="H13" s="264">
        <v>1990.4</v>
      </c>
      <c r="I13" s="11"/>
      <c r="J13" s="11"/>
      <c r="K13">
        <v>1993</v>
      </c>
      <c r="L13" s="9">
        <f>C19</f>
        <v>0.23724792408066431</v>
      </c>
      <c r="M13" s="9">
        <f>C20</f>
        <v>0</v>
      </c>
      <c r="N13" s="469">
        <f t="shared" si="2"/>
        <v>0</v>
      </c>
      <c r="O13" s="472"/>
      <c r="P13" s="453">
        <f>F19</f>
        <v>7.058125741399765E-2</v>
      </c>
      <c r="Q13" s="453">
        <f>G19</f>
        <v>0.22941874258600231</v>
      </c>
      <c r="R13" s="453">
        <f>F20</f>
        <v>0</v>
      </c>
      <c r="S13" s="453">
        <f>G20</f>
        <v>0</v>
      </c>
      <c r="Y13">
        <v>5.3380782918149503</v>
      </c>
      <c r="Z13">
        <v>0</v>
      </c>
    </row>
    <row r="14" spans="1:26" x14ac:dyDescent="0.2">
      <c r="A14" s="7"/>
      <c r="B14" s="7" t="s">
        <v>248</v>
      </c>
      <c r="C14" s="182">
        <v>0</v>
      </c>
      <c r="D14" s="9">
        <v>0</v>
      </c>
      <c r="E14" s="132">
        <v>0</v>
      </c>
      <c r="F14" s="381">
        <f t="shared" si="0"/>
        <v>0</v>
      </c>
      <c r="G14" s="380">
        <f t="shared" si="1"/>
        <v>0</v>
      </c>
      <c r="H14" s="264">
        <v>1990.6</v>
      </c>
      <c r="I14" s="11"/>
      <c r="J14" s="11"/>
      <c r="K14">
        <v>1994</v>
      </c>
      <c r="L14" s="9">
        <f>C21</f>
        <v>0</v>
      </c>
      <c r="M14" s="9">
        <f>C22</f>
        <v>0</v>
      </c>
      <c r="N14" s="469"/>
      <c r="O14" s="472"/>
      <c r="P14" s="453">
        <f>F21</f>
        <v>0</v>
      </c>
      <c r="Q14" s="453">
        <f>G21</f>
        <v>0</v>
      </c>
      <c r="R14" s="453">
        <f>F22</f>
        <v>0</v>
      </c>
      <c r="S14" s="453">
        <f>G22</f>
        <v>0</v>
      </c>
      <c r="Y14">
        <v>2.1352313167259802</v>
      </c>
      <c r="Z14">
        <v>0</v>
      </c>
    </row>
    <row r="15" spans="1:26" x14ac:dyDescent="0.2">
      <c r="A15" s="7">
        <v>1991</v>
      </c>
      <c r="B15" s="7" t="s">
        <v>247</v>
      </c>
      <c r="C15" s="182">
        <v>0</v>
      </c>
      <c r="D15" s="9">
        <v>0</v>
      </c>
      <c r="E15" s="132">
        <v>0</v>
      </c>
      <c r="F15" s="381">
        <f t="shared" si="0"/>
        <v>0</v>
      </c>
      <c r="G15" s="380">
        <f t="shared" si="1"/>
        <v>0</v>
      </c>
      <c r="H15" s="264">
        <v>1991.4</v>
      </c>
      <c r="I15" s="11"/>
      <c r="J15" s="11"/>
      <c r="K15">
        <v>1995</v>
      </c>
      <c r="L15" s="9">
        <f>C23</f>
        <v>0.35587188612099646</v>
      </c>
      <c r="M15" s="9">
        <f>C24</f>
        <v>0.35587188612099646</v>
      </c>
      <c r="N15" s="469">
        <v>10</v>
      </c>
      <c r="O15" s="472">
        <v>1</v>
      </c>
      <c r="P15" s="453">
        <f>F23</f>
        <v>8.9205219454329798E-2</v>
      </c>
      <c r="Q15" s="453">
        <f>G23</f>
        <v>0.41079478054567015</v>
      </c>
      <c r="R15" s="453">
        <f>F24</f>
        <v>5.5871886120996472E-2</v>
      </c>
      <c r="S15" s="453">
        <f>G24</f>
        <v>0.34412811387900349</v>
      </c>
      <c r="Y15">
        <v>4.2704626334519604</v>
      </c>
      <c r="Z15">
        <v>0</v>
      </c>
    </row>
    <row r="16" spans="1:26" x14ac:dyDescent="0.2">
      <c r="A16" s="7"/>
      <c r="B16" s="7" t="s">
        <v>248</v>
      </c>
      <c r="C16" s="182">
        <v>0</v>
      </c>
      <c r="D16" s="9">
        <v>0</v>
      </c>
      <c r="E16" s="132">
        <v>0</v>
      </c>
      <c r="F16" s="381">
        <f t="shared" si="0"/>
        <v>0</v>
      </c>
      <c r="G16" s="380">
        <f t="shared" si="1"/>
        <v>0</v>
      </c>
      <c r="H16" s="264">
        <v>1991.6</v>
      </c>
      <c r="I16" s="11"/>
      <c r="J16" s="11"/>
      <c r="K16">
        <v>1996</v>
      </c>
      <c r="L16" s="9">
        <f>C25</f>
        <v>0.71174377224199281</v>
      </c>
      <c r="M16" s="9">
        <f>C26</f>
        <v>0.47449584816132861</v>
      </c>
      <c r="N16" s="469">
        <f t="shared" si="2"/>
        <v>0.66666666666666674</v>
      </c>
      <c r="O16" s="472">
        <f t="shared" si="3"/>
        <v>1</v>
      </c>
      <c r="P16" s="453">
        <f>F25</f>
        <v>0.21174377224199281</v>
      </c>
      <c r="Q16" s="453">
        <f>G25</f>
        <v>0.28825622775800719</v>
      </c>
      <c r="R16" s="453">
        <f>F26</f>
        <v>0.1411625148279953</v>
      </c>
      <c r="S16" s="453">
        <f>G26</f>
        <v>0.19217081850533801</v>
      </c>
      <c r="Y16">
        <v>2.1352313167259802</v>
      </c>
      <c r="Z16">
        <v>0</v>
      </c>
    </row>
    <row r="17" spans="1:26" x14ac:dyDescent="0.2">
      <c r="A17" s="7">
        <v>1992</v>
      </c>
      <c r="B17" s="7" t="s">
        <v>247</v>
      </c>
      <c r="C17" s="182">
        <v>0</v>
      </c>
      <c r="D17" s="9">
        <v>0</v>
      </c>
      <c r="E17" s="132">
        <v>0</v>
      </c>
      <c r="F17" s="381">
        <f>C17-D17</f>
        <v>0</v>
      </c>
      <c r="G17" s="380">
        <f>E17-C17</f>
        <v>0</v>
      </c>
      <c r="H17" s="264">
        <v>1992.4</v>
      </c>
      <c r="I17" s="11"/>
      <c r="J17" s="11"/>
      <c r="K17">
        <v>1997</v>
      </c>
      <c r="L17" s="9">
        <f>C27</f>
        <v>0.47449584816132861</v>
      </c>
      <c r="M17" s="9">
        <f>C28</f>
        <v>0</v>
      </c>
      <c r="N17" s="469">
        <f t="shared" si="2"/>
        <v>0</v>
      </c>
      <c r="O17" s="472"/>
      <c r="P17" s="453">
        <f>F27</f>
        <v>0.1411625148279953</v>
      </c>
      <c r="Q17" s="453">
        <f>G27</f>
        <v>0.19217081850533801</v>
      </c>
      <c r="R17" s="453">
        <f>F28</f>
        <v>0</v>
      </c>
      <c r="S17" s="453">
        <f>G28</f>
        <v>0</v>
      </c>
      <c r="Y17">
        <v>3.5587188612099601</v>
      </c>
      <c r="Z17">
        <v>0</v>
      </c>
    </row>
    <row r="18" spans="1:26" x14ac:dyDescent="0.2">
      <c r="A18" s="7"/>
      <c r="B18" s="7" t="s">
        <v>248</v>
      </c>
      <c r="C18" s="182">
        <v>0</v>
      </c>
      <c r="D18" s="373">
        <v>0</v>
      </c>
      <c r="E18" s="373">
        <v>0</v>
      </c>
      <c r="F18" s="381">
        <f t="shared" ref="F18:F52" si="4">C18-D18</f>
        <v>0</v>
      </c>
      <c r="G18" s="380">
        <f t="shared" ref="G18:G52" si="5">E18-C18</f>
        <v>0</v>
      </c>
      <c r="H18" s="264">
        <v>1992.6</v>
      </c>
      <c r="I18" s="11"/>
      <c r="J18" s="11"/>
      <c r="K18">
        <v>1998</v>
      </c>
      <c r="L18" s="9">
        <f>C29</f>
        <v>0.47449584816132861</v>
      </c>
      <c r="M18" s="9">
        <f>C30</f>
        <v>0.47449584816132861</v>
      </c>
      <c r="N18" s="469">
        <f t="shared" si="2"/>
        <v>1</v>
      </c>
      <c r="O18" s="472">
        <f t="shared" si="3"/>
        <v>1</v>
      </c>
      <c r="P18" s="453">
        <f>F29</f>
        <v>0.1411625148279953</v>
      </c>
      <c r="Q18" s="453">
        <f>G29</f>
        <v>0.19217081850533801</v>
      </c>
      <c r="R18" s="453">
        <f>F30</f>
        <v>0</v>
      </c>
      <c r="S18" s="453">
        <f>G30</f>
        <v>0.2372479240806642</v>
      </c>
      <c r="Y18">
        <v>5.3380782918149503</v>
      </c>
      <c r="Z18">
        <v>0</v>
      </c>
    </row>
    <row r="19" spans="1:26" x14ac:dyDescent="0.2">
      <c r="A19" s="7">
        <v>1993</v>
      </c>
      <c r="B19" s="7" t="s">
        <v>247</v>
      </c>
      <c r="C19" s="184">
        <v>0.23724792408066431</v>
      </c>
      <c r="D19" s="373">
        <v>0.16666666666666666</v>
      </c>
      <c r="E19" s="373">
        <v>0.46666666666666662</v>
      </c>
      <c r="F19" s="381">
        <f t="shared" si="4"/>
        <v>7.058125741399765E-2</v>
      </c>
      <c r="G19" s="380">
        <f t="shared" si="5"/>
        <v>0.22941874258600231</v>
      </c>
      <c r="H19" s="264">
        <v>1993.4</v>
      </c>
      <c r="I19" s="11"/>
      <c r="J19" s="11"/>
      <c r="K19">
        <v>1999</v>
      </c>
      <c r="L19" s="9">
        <f>C31</f>
        <v>0.47449584816132861</v>
      </c>
      <c r="M19" s="9">
        <f>C32</f>
        <v>1.39</v>
      </c>
      <c r="N19" s="469">
        <f t="shared" si="2"/>
        <v>2.9294249999999997</v>
      </c>
      <c r="O19" s="472">
        <f t="shared" si="3"/>
        <v>0.59738685919591727</v>
      </c>
      <c r="P19" s="453">
        <f>F31</f>
        <v>0</v>
      </c>
      <c r="Q19" s="453">
        <f>G31</f>
        <v>0.35587188612099641</v>
      </c>
      <c r="R19" s="453">
        <f>F32</f>
        <v>0.60666666666666658</v>
      </c>
      <c r="S19" s="453">
        <f>G32</f>
        <v>1.0733333333333335</v>
      </c>
      <c r="Y19">
        <v>7.4733096085409203</v>
      </c>
      <c r="Z19">
        <v>0</v>
      </c>
    </row>
    <row r="20" spans="1:26" x14ac:dyDescent="0.2">
      <c r="A20" s="7"/>
      <c r="B20" s="7" t="s">
        <v>248</v>
      </c>
      <c r="C20" s="184">
        <v>0</v>
      </c>
      <c r="D20" s="373">
        <v>0</v>
      </c>
      <c r="E20" s="373">
        <v>0</v>
      </c>
      <c r="F20" s="381">
        <f t="shared" si="4"/>
        <v>0</v>
      </c>
      <c r="G20" s="380">
        <f t="shared" si="5"/>
        <v>0</v>
      </c>
      <c r="H20" s="264">
        <v>1993.6</v>
      </c>
      <c r="I20" s="11"/>
      <c r="J20" s="11"/>
      <c r="K20">
        <v>2000</v>
      </c>
      <c r="L20" s="9">
        <f>C33</f>
        <v>0.83036773428232502</v>
      </c>
      <c r="M20" s="9">
        <f>C34</f>
        <v>0.46</v>
      </c>
      <c r="N20" s="469">
        <f t="shared" si="2"/>
        <v>0.55397142857142856</v>
      </c>
      <c r="O20" s="472">
        <f t="shared" si="3"/>
        <v>1.0315127133941926</v>
      </c>
      <c r="P20" s="453">
        <f>F33</f>
        <v>0</v>
      </c>
      <c r="Q20" s="453">
        <f>G33</f>
        <v>0.47449584816132861</v>
      </c>
      <c r="R20" s="453">
        <f>F34</f>
        <v>-1.4495848161328595E-2</v>
      </c>
      <c r="S20" s="453">
        <f>G34</f>
        <v>0.25174377224199279</v>
      </c>
      <c r="Y20">
        <v>1.77935943060498</v>
      </c>
      <c r="Z20">
        <v>0.237247924080664</v>
      </c>
    </row>
    <row r="21" spans="1:26" x14ac:dyDescent="0.2">
      <c r="A21" s="7">
        <v>1994</v>
      </c>
      <c r="B21" s="7" t="s">
        <v>247</v>
      </c>
      <c r="C21" s="184">
        <v>0</v>
      </c>
      <c r="D21" s="373">
        <v>0</v>
      </c>
      <c r="E21" s="373">
        <v>0</v>
      </c>
      <c r="F21" s="381">
        <f t="shared" si="4"/>
        <v>0</v>
      </c>
      <c r="G21" s="380">
        <f t="shared" si="5"/>
        <v>0</v>
      </c>
      <c r="H21" s="264">
        <v>1994.4</v>
      </c>
      <c r="I21" s="11"/>
      <c r="J21" s="11"/>
      <c r="K21">
        <v>2001</v>
      </c>
      <c r="L21" s="502">
        <f>C35</f>
        <v>0.47449584816132861</v>
      </c>
      <c r="M21" s="502">
        <f>C36</f>
        <v>1.1366666666666667</v>
      </c>
      <c r="N21" s="469">
        <f t="shared" si="2"/>
        <v>2.3955250000000001</v>
      </c>
      <c r="O21" s="472">
        <f t="shared" si="3"/>
        <v>1.3566963400507195</v>
      </c>
      <c r="P21" s="453">
        <f>F35</f>
        <v>0</v>
      </c>
      <c r="Q21" s="453">
        <f>G35</f>
        <v>0.1186239620403321</v>
      </c>
      <c r="R21" s="453">
        <f>F36</f>
        <v>0.56666666666666676</v>
      </c>
      <c r="S21" s="453">
        <f>G36</f>
        <v>1.1433333333333331</v>
      </c>
      <c r="Y21">
        <v>6.04982206405694</v>
      </c>
      <c r="Z21">
        <v>0</v>
      </c>
    </row>
    <row r="22" spans="1:26" x14ac:dyDescent="0.2">
      <c r="A22" s="7"/>
      <c r="B22" s="7" t="s">
        <v>248</v>
      </c>
      <c r="C22" s="184">
        <v>0</v>
      </c>
      <c r="D22" s="373">
        <v>0</v>
      </c>
      <c r="E22" s="373">
        <v>0</v>
      </c>
      <c r="F22" s="381">
        <f t="shared" si="4"/>
        <v>0</v>
      </c>
      <c r="G22" s="380">
        <f t="shared" si="5"/>
        <v>0</v>
      </c>
      <c r="H22" s="264">
        <v>1994.6</v>
      </c>
      <c r="I22" s="11"/>
      <c r="J22" s="11"/>
      <c r="K22">
        <v>2002</v>
      </c>
      <c r="L22" s="502">
        <f>C37</f>
        <v>1.5421115065243178</v>
      </c>
      <c r="M22" s="502">
        <f>C38</f>
        <v>0.83036773428232502</v>
      </c>
      <c r="N22" s="469">
        <f t="shared" si="2"/>
        <v>0.53846153846153844</v>
      </c>
      <c r="O22" s="472">
        <f t="shared" si="3"/>
        <v>0.57142857142857151</v>
      </c>
      <c r="P22" s="453">
        <f>F37</f>
        <v>0.2372479240806642</v>
      </c>
      <c r="Q22" s="453">
        <f>G37</f>
        <v>0.5931198102016606</v>
      </c>
      <c r="R22" s="453">
        <f>F38</f>
        <v>0.11862396204033221</v>
      </c>
      <c r="S22" s="453">
        <f>G38</f>
        <v>0.5931198102016606</v>
      </c>
      <c r="Y22">
        <v>6.7615658362989297</v>
      </c>
      <c r="Z22">
        <v>0</v>
      </c>
    </row>
    <row r="23" spans="1:26" x14ac:dyDescent="0.2">
      <c r="A23" s="7">
        <v>1995</v>
      </c>
      <c r="B23" s="7" t="s">
        <v>247</v>
      </c>
      <c r="C23" s="184">
        <v>0.35587188612099646</v>
      </c>
      <c r="D23" s="373">
        <v>0.26666666666666666</v>
      </c>
      <c r="E23" s="373">
        <v>0.76666666666666661</v>
      </c>
      <c r="F23" s="381">
        <f t="shared" si="4"/>
        <v>8.9205219454329798E-2</v>
      </c>
      <c r="G23" s="380">
        <f t="shared" si="5"/>
        <v>0.41079478054567015</v>
      </c>
      <c r="H23" s="264">
        <v>1995.4</v>
      </c>
      <c r="I23" s="11"/>
      <c r="J23" s="11"/>
      <c r="K23">
        <v>2003</v>
      </c>
      <c r="L23" s="9">
        <f>C39</f>
        <v>0.47449584816132861</v>
      </c>
      <c r="M23" s="9">
        <f>C40</f>
        <v>0.59311981020166071</v>
      </c>
      <c r="N23" s="469">
        <f t="shared" si="2"/>
        <v>1.2499999999999998</v>
      </c>
      <c r="O23" s="472">
        <f t="shared" si="3"/>
        <v>0.6</v>
      </c>
      <c r="P23" s="453">
        <f>F39</f>
        <v>0</v>
      </c>
      <c r="Q23" s="453">
        <f>G39</f>
        <v>0.2372479240806642</v>
      </c>
      <c r="R23" s="453">
        <f>F40</f>
        <v>0.11862396204033215</v>
      </c>
      <c r="S23" s="453">
        <f>G40</f>
        <v>0.4744958481613285</v>
      </c>
      <c r="Y23">
        <v>12.0996441281139</v>
      </c>
      <c r="Z23">
        <v>0</v>
      </c>
    </row>
    <row r="24" spans="1:26" x14ac:dyDescent="0.2">
      <c r="A24" s="7"/>
      <c r="B24" s="7" t="s">
        <v>248</v>
      </c>
      <c r="C24" s="432">
        <v>0.35587188612099646</v>
      </c>
      <c r="D24" s="373">
        <v>0.3</v>
      </c>
      <c r="E24" s="373">
        <v>0.7</v>
      </c>
      <c r="F24" s="381">
        <f t="shared" si="4"/>
        <v>5.5871886120996472E-2</v>
      </c>
      <c r="G24" s="380">
        <f t="shared" si="5"/>
        <v>0.34412811387900349</v>
      </c>
      <c r="H24" s="264">
        <v>1995.6</v>
      </c>
      <c r="I24" s="11"/>
      <c r="J24" s="11"/>
      <c r="K24">
        <v>2004</v>
      </c>
      <c r="L24" s="9">
        <f>C41</f>
        <v>0.35587188612099641</v>
      </c>
      <c r="M24" s="9">
        <f>C42</f>
        <v>2.7666666666666671</v>
      </c>
      <c r="N24" s="469">
        <f t="shared" si="2"/>
        <v>7.7743333333333355</v>
      </c>
      <c r="O24" s="472">
        <f t="shared" si="3"/>
        <v>0.55738970115336783</v>
      </c>
      <c r="P24" s="453">
        <f>F41</f>
        <v>0.1186239620403321</v>
      </c>
      <c r="Q24" s="453">
        <f>G41</f>
        <v>0.35587188612099652</v>
      </c>
      <c r="R24" s="453">
        <f>F42</f>
        <v>2.0733333333333337</v>
      </c>
      <c r="S24" s="453">
        <f>G42</f>
        <v>2.3633333333333328</v>
      </c>
      <c r="Y24">
        <v>2.8469750889679699</v>
      </c>
      <c r="Z24">
        <v>0.35587188612099602</v>
      </c>
    </row>
    <row r="25" spans="1:26" x14ac:dyDescent="0.2">
      <c r="A25" s="7">
        <v>1996</v>
      </c>
      <c r="B25" s="7" t="s">
        <v>247</v>
      </c>
      <c r="C25" s="184">
        <v>0.71174377224199281</v>
      </c>
      <c r="D25" s="373">
        <v>0.5</v>
      </c>
      <c r="E25" s="373">
        <v>1</v>
      </c>
      <c r="F25" s="381">
        <f t="shared" si="4"/>
        <v>0.21174377224199281</v>
      </c>
      <c r="G25" s="380">
        <f t="shared" si="5"/>
        <v>0.28825622775800719</v>
      </c>
      <c r="H25" s="264">
        <f t="shared" ref="H25:H40" si="6">H23+1</f>
        <v>1996.4</v>
      </c>
      <c r="I25" s="11"/>
      <c r="J25" s="11"/>
      <c r="K25">
        <v>2005</v>
      </c>
      <c r="L25" s="9">
        <f>C43</f>
        <v>1.5421115065243178</v>
      </c>
      <c r="M25" s="9">
        <f>C44</f>
        <v>1.63</v>
      </c>
      <c r="N25" s="469">
        <f t="shared" si="2"/>
        <v>1.0569923076923078</v>
      </c>
      <c r="O25" s="472">
        <f t="shared" si="3"/>
        <v>0.87330524201471516</v>
      </c>
      <c r="P25" s="453">
        <f>F43</f>
        <v>0.11862396204033221</v>
      </c>
      <c r="Q25" s="453">
        <f>G43</f>
        <v>0.83036773428232502</v>
      </c>
      <c r="R25" s="453">
        <f>F44</f>
        <v>0.91333333333333311</v>
      </c>
      <c r="S25" s="453">
        <f>G44</f>
        <v>2.13</v>
      </c>
      <c r="Y25">
        <v>6.4056939501779402</v>
      </c>
      <c r="Z25">
        <v>0.35587188612099602</v>
      </c>
    </row>
    <row r="26" spans="1:26" x14ac:dyDescent="0.2">
      <c r="A26" s="22"/>
      <c r="B26" s="7" t="s">
        <v>248</v>
      </c>
      <c r="C26" s="376">
        <v>0.47449584816132861</v>
      </c>
      <c r="D26" s="378">
        <v>0.33333333333333331</v>
      </c>
      <c r="E26" s="378">
        <v>0.66666666666666663</v>
      </c>
      <c r="F26" s="381">
        <f t="shared" si="4"/>
        <v>0.1411625148279953</v>
      </c>
      <c r="G26" s="380">
        <f t="shared" si="5"/>
        <v>0.19217081850533801</v>
      </c>
      <c r="H26" s="264">
        <f t="shared" si="6"/>
        <v>1996.6</v>
      </c>
      <c r="K26">
        <v>2006</v>
      </c>
      <c r="L26" s="9">
        <f>C45</f>
        <v>1.4234875444839856</v>
      </c>
      <c r="M26" s="9">
        <f>C46</f>
        <v>1.312538552787663</v>
      </c>
      <c r="N26" s="469">
        <f t="shared" si="2"/>
        <v>0.92205833333333331</v>
      </c>
      <c r="O26" s="472">
        <f t="shared" si="3"/>
        <v>0.9941525753070577</v>
      </c>
      <c r="P26" s="453">
        <f>F45</f>
        <v>0.11862396204033199</v>
      </c>
      <c r="Q26" s="453">
        <f>G45</f>
        <v>0.94899169632265723</v>
      </c>
      <c r="R26" s="453">
        <f>F46</f>
        <v>0.62195729537366529</v>
      </c>
      <c r="S26" s="453">
        <f>G46</f>
        <v>1.3072479240806645</v>
      </c>
      <c r="Y26">
        <v>2.8469750889679699</v>
      </c>
      <c r="Z26">
        <v>0.71174377224199303</v>
      </c>
    </row>
    <row r="27" spans="1:26" x14ac:dyDescent="0.2">
      <c r="A27" s="7">
        <v>1997</v>
      </c>
      <c r="B27" s="7" t="s">
        <v>247</v>
      </c>
      <c r="C27" s="184">
        <v>0.47449584816132861</v>
      </c>
      <c r="D27" s="373">
        <v>0.33333333333333331</v>
      </c>
      <c r="E27" s="373">
        <v>0.66666666666666663</v>
      </c>
      <c r="F27" s="381">
        <f t="shared" si="4"/>
        <v>0.1411625148279953</v>
      </c>
      <c r="G27" s="380">
        <f t="shared" si="5"/>
        <v>0.19217081850533801</v>
      </c>
      <c r="H27" s="264">
        <f t="shared" si="6"/>
        <v>1997.4</v>
      </c>
      <c r="K27">
        <v>2007</v>
      </c>
      <c r="L27" s="9">
        <f>C47</f>
        <v>1.3048635824436536</v>
      </c>
      <c r="M27" s="9">
        <f>C48</f>
        <v>2.6933333333333334</v>
      </c>
      <c r="N27" s="469">
        <f t="shared" si="2"/>
        <v>2.0640727272727273</v>
      </c>
      <c r="O27" s="472">
        <f t="shared" si="3"/>
        <v>1.1933423769423206</v>
      </c>
      <c r="P27" s="453">
        <f>F47</f>
        <v>0.11862396204033221</v>
      </c>
      <c r="Q27" s="453">
        <f>G47</f>
        <v>0.8303677342823248</v>
      </c>
      <c r="R27" s="453">
        <f>F48</f>
        <v>1.22</v>
      </c>
      <c r="S27" s="453">
        <f>G48</f>
        <v>2.3066666666666666</v>
      </c>
      <c r="Y27">
        <v>4.2704626334519604</v>
      </c>
      <c r="Z27">
        <v>0.474495848161329</v>
      </c>
    </row>
    <row r="28" spans="1:26" x14ac:dyDescent="0.2">
      <c r="A28" s="7"/>
      <c r="B28" s="7" t="s">
        <v>248</v>
      </c>
      <c r="C28" s="184">
        <v>0</v>
      </c>
      <c r="D28" s="373">
        <v>0</v>
      </c>
      <c r="E28" s="373">
        <v>0</v>
      </c>
      <c r="F28" s="381">
        <f t="shared" si="4"/>
        <v>0</v>
      </c>
      <c r="G28" s="380">
        <f t="shared" si="5"/>
        <v>0</v>
      </c>
      <c r="H28" s="264">
        <f t="shared" si="6"/>
        <v>1997.6</v>
      </c>
      <c r="K28">
        <v>2008</v>
      </c>
      <c r="L28" s="9">
        <f>C49</f>
        <v>3.2140688018979837</v>
      </c>
      <c r="M28" s="9">
        <f>C50</f>
        <v>3.5933333333333337</v>
      </c>
      <c r="N28" s="469">
        <f t="shared" si="2"/>
        <v>1.1180013729673071</v>
      </c>
      <c r="O28" s="472">
        <f t="shared" si="3"/>
        <v>0.66512059369202226</v>
      </c>
      <c r="P28" s="453">
        <f>F49</f>
        <v>0.85195729537366605</v>
      </c>
      <c r="Q28" s="453">
        <f>G49</f>
        <v>1.8611625148279947</v>
      </c>
      <c r="R28" s="453">
        <f>F50</f>
        <v>1.4866666666666668</v>
      </c>
      <c r="S28" s="453">
        <f>G50</f>
        <v>2.5300000000000002</v>
      </c>
      <c r="Y28">
        <v>3.9145907473309598</v>
      </c>
      <c r="Z28">
        <v>0.474495848161329</v>
      </c>
    </row>
    <row r="29" spans="1:26" x14ac:dyDescent="0.2">
      <c r="A29" s="7">
        <v>1998</v>
      </c>
      <c r="B29" s="7" t="s">
        <v>247</v>
      </c>
      <c r="C29" s="184">
        <v>0.47449584816132861</v>
      </c>
      <c r="D29" s="373">
        <v>0.33333333333333331</v>
      </c>
      <c r="E29" s="373">
        <v>0.66666666666666663</v>
      </c>
      <c r="F29" s="381">
        <f t="shared" si="4"/>
        <v>0.1411625148279953</v>
      </c>
      <c r="G29" s="380">
        <f t="shared" si="5"/>
        <v>0.19217081850533801</v>
      </c>
      <c r="H29" s="264">
        <f t="shared" si="6"/>
        <v>1998.4</v>
      </c>
      <c r="K29">
        <v>2009</v>
      </c>
      <c r="L29" s="9">
        <f>C51</f>
        <v>2.39</v>
      </c>
      <c r="M29" s="9">
        <f>C52</f>
        <v>3.0866666666666664</v>
      </c>
      <c r="N29" s="469">
        <f t="shared" si="2"/>
        <v>1.2914923291492328</v>
      </c>
      <c r="O29" s="472">
        <f t="shared" si="3"/>
        <v>0.37041036717062636</v>
      </c>
      <c r="P29" s="453">
        <f>F51</f>
        <v>0.9866666666666668</v>
      </c>
      <c r="Q29" s="453">
        <f>G51</f>
        <v>1.7799999999999998</v>
      </c>
      <c r="R29" s="453">
        <f>F52</f>
        <v>1.4233333333333331</v>
      </c>
      <c r="S29" s="453">
        <f>G52</f>
        <v>2.7233333333333332</v>
      </c>
      <c r="Y29">
        <v>3.2028469750889701</v>
      </c>
      <c r="Z29">
        <v>0</v>
      </c>
    </row>
    <row r="30" spans="1:26" x14ac:dyDescent="0.2">
      <c r="A30" s="7"/>
      <c r="B30" s="7" t="s">
        <v>248</v>
      </c>
      <c r="C30" s="184">
        <v>0.47449584816132861</v>
      </c>
      <c r="D30" s="373">
        <v>0.47449584816132861</v>
      </c>
      <c r="E30" s="373">
        <v>0.71174377224199281</v>
      </c>
      <c r="F30" s="381">
        <f t="shared" si="4"/>
        <v>0</v>
      </c>
      <c r="G30" s="380">
        <f t="shared" si="5"/>
        <v>0.2372479240806642</v>
      </c>
      <c r="H30" s="264">
        <f t="shared" si="6"/>
        <v>1998.6</v>
      </c>
      <c r="K30">
        <v>2010</v>
      </c>
      <c r="L30" s="9">
        <f>C53</f>
        <v>1.1433333333333333</v>
      </c>
      <c r="M30" s="9">
        <f>C54</f>
        <v>0.433</v>
      </c>
      <c r="N30" s="469">
        <f t="shared" si="2"/>
        <v>0.37871720116618074</v>
      </c>
      <c r="O30" s="472">
        <f t="shared" si="3"/>
        <v>1.376289453425712</v>
      </c>
      <c r="P30" s="558">
        <f>F53</f>
        <v>0.61896666666666655</v>
      </c>
      <c r="Q30" s="558">
        <f>G53</f>
        <v>0.98216666666666685</v>
      </c>
      <c r="R30" s="558">
        <f>F54</f>
        <v>0.20866666666666664</v>
      </c>
      <c r="S30" s="558">
        <f>G54</f>
        <v>0.67366666666666664</v>
      </c>
      <c r="Z30">
        <v>0.474495848161329</v>
      </c>
    </row>
    <row r="31" spans="1:26" x14ac:dyDescent="0.2">
      <c r="A31" s="7">
        <v>1999</v>
      </c>
      <c r="B31" s="7" t="s">
        <v>247</v>
      </c>
      <c r="C31" s="184">
        <v>0.47449584816132861</v>
      </c>
      <c r="D31" s="373">
        <v>0.47449584816132861</v>
      </c>
      <c r="E31" s="373">
        <v>0.83036773428232502</v>
      </c>
      <c r="F31" s="381">
        <f t="shared" si="4"/>
        <v>0</v>
      </c>
      <c r="G31" s="380">
        <f t="shared" si="5"/>
        <v>0.35587188612099641</v>
      </c>
      <c r="H31" s="264">
        <f t="shared" si="6"/>
        <v>1999.4</v>
      </c>
      <c r="K31">
        <v>2011</v>
      </c>
      <c r="L31" s="9">
        <f>C55</f>
        <v>0.59593333333333331</v>
      </c>
      <c r="M31" s="9">
        <f>C56</f>
        <v>3.7532052194543297</v>
      </c>
      <c r="N31" s="469">
        <f t="shared" si="2"/>
        <v>6.2980286711953184</v>
      </c>
      <c r="O31" s="472">
        <f t="shared" si="3"/>
        <v>0.17668592949576983</v>
      </c>
      <c r="P31" s="453">
        <f>F55</f>
        <v>0.39666666666666661</v>
      </c>
      <c r="Q31" s="453">
        <f>G55</f>
        <v>1.2086999999999999</v>
      </c>
      <c r="R31" s="453">
        <f>F56</f>
        <v>1.4338385527876629</v>
      </c>
      <c r="S31" s="453">
        <f>G56</f>
        <v>2.9123947805456707</v>
      </c>
      <c r="Y31">
        <f>AVERAGE(Y8:Y29)</f>
        <v>4.5131025558071824</v>
      </c>
      <c r="Z31">
        <v>0.474495848161329</v>
      </c>
    </row>
    <row r="32" spans="1:26" x14ac:dyDescent="0.2">
      <c r="A32" s="7"/>
      <c r="B32" s="7" t="s">
        <v>248</v>
      </c>
      <c r="C32" s="184">
        <v>1.39</v>
      </c>
      <c r="D32" s="373">
        <v>0.78333333333333333</v>
      </c>
      <c r="E32" s="373">
        <v>2.4633333333333334</v>
      </c>
      <c r="F32" s="381">
        <f t="shared" si="4"/>
        <v>0.60666666666666658</v>
      </c>
      <c r="G32" s="380">
        <f t="shared" si="5"/>
        <v>1.0733333333333335</v>
      </c>
      <c r="H32" s="264">
        <f t="shared" si="6"/>
        <v>1999.6</v>
      </c>
      <c r="K32">
        <v>2012</v>
      </c>
      <c r="L32" s="9">
        <f>C57</f>
        <v>0.66313855278766309</v>
      </c>
      <c r="M32" s="9">
        <f>C58</f>
        <v>3.0076000000000001</v>
      </c>
      <c r="N32" s="469">
        <f t="shared" si="2"/>
        <v>4.5354021227642809</v>
      </c>
      <c r="O32" s="472">
        <f t="shared" si="3"/>
        <v>0.77802899321718311</v>
      </c>
      <c r="P32" s="453">
        <f>F57</f>
        <v>0.24903333333333333</v>
      </c>
      <c r="Q32" s="453">
        <f>G57</f>
        <v>1.4326906287069985</v>
      </c>
      <c r="R32" s="453">
        <f>F58</f>
        <v>1.4039666666666666</v>
      </c>
      <c r="S32" s="453">
        <f>G58</f>
        <v>2.7934666666666663</v>
      </c>
      <c r="Z32">
        <v>0.474495848161329</v>
      </c>
    </row>
    <row r="33" spans="1:26" x14ac:dyDescent="0.2">
      <c r="A33" s="7">
        <v>2000</v>
      </c>
      <c r="B33" s="7" t="s">
        <v>247</v>
      </c>
      <c r="C33" s="184">
        <v>0.83036773428232502</v>
      </c>
      <c r="D33" s="373">
        <v>0.83036773428232502</v>
      </c>
      <c r="E33" s="373">
        <v>1.3048635824436536</v>
      </c>
      <c r="F33" s="381">
        <f t="shared" si="4"/>
        <v>0</v>
      </c>
      <c r="G33" s="380">
        <f t="shared" si="5"/>
        <v>0.47449584816132861</v>
      </c>
      <c r="H33" s="264">
        <f t="shared" si="6"/>
        <v>2000.4</v>
      </c>
      <c r="K33">
        <v>2013</v>
      </c>
      <c r="L33" s="9">
        <f>C59</f>
        <v>2.34</v>
      </c>
      <c r="M33" s="9">
        <f>C60</f>
        <v>2.8</v>
      </c>
      <c r="N33" s="469">
        <f t="shared" si="2"/>
        <v>1.1965811965811965</v>
      </c>
      <c r="O33" s="472">
        <f t="shared" si="3"/>
        <v>0.81666666666666665</v>
      </c>
      <c r="P33" s="453">
        <f>F59</f>
        <v>0.69</v>
      </c>
      <c r="Q33" s="453">
        <f>G59</f>
        <v>1.33</v>
      </c>
      <c r="R33" s="453">
        <f>F60</f>
        <v>1.1999999999999997</v>
      </c>
      <c r="S33" s="453">
        <f>G60</f>
        <v>2.5300000000000002</v>
      </c>
      <c r="Z33">
        <v>1.39</v>
      </c>
    </row>
    <row r="34" spans="1:26" x14ac:dyDescent="0.2">
      <c r="A34" s="7"/>
      <c r="B34" s="7" t="s">
        <v>248</v>
      </c>
      <c r="C34" s="184">
        <v>0.46</v>
      </c>
      <c r="D34" s="373">
        <v>0.47449584816132861</v>
      </c>
      <c r="E34" s="373">
        <v>0.71174377224199281</v>
      </c>
      <c r="F34" s="381">
        <f t="shared" si="4"/>
        <v>-1.4495848161328595E-2</v>
      </c>
      <c r="G34" s="380">
        <f t="shared" si="5"/>
        <v>0.25174377224199279</v>
      </c>
      <c r="H34" s="264">
        <f t="shared" si="6"/>
        <v>2000.6</v>
      </c>
      <c r="K34">
        <v>2014</v>
      </c>
      <c r="L34" s="9">
        <f>C61</f>
        <v>2.2866666666666666</v>
      </c>
      <c r="M34" s="9">
        <f>C62</f>
        <v>1.1872479240806644</v>
      </c>
      <c r="N34" s="469">
        <f t="shared" si="2"/>
        <v>0.51920463152215646</v>
      </c>
      <c r="O34" s="472">
        <f t="shared" si="3"/>
        <v>0.19983014437727931</v>
      </c>
      <c r="P34" s="453">
        <f>F61</f>
        <v>1.0999999999999999</v>
      </c>
      <c r="Q34" s="453">
        <f>G61</f>
        <v>2.3833333333333333</v>
      </c>
      <c r="R34" s="453">
        <f>F62</f>
        <v>0.5905812574139977</v>
      </c>
      <c r="S34" s="453">
        <f>G62</f>
        <v>1.6660854092526691</v>
      </c>
    </row>
    <row r="35" spans="1:26" x14ac:dyDescent="0.2">
      <c r="A35" s="7">
        <v>2001</v>
      </c>
      <c r="B35" s="7" t="s">
        <v>247</v>
      </c>
      <c r="C35" s="377">
        <v>0.47449584816132861</v>
      </c>
      <c r="D35" s="379">
        <v>0.47449584816132861</v>
      </c>
      <c r="E35" s="379">
        <v>0.59311981020166071</v>
      </c>
      <c r="F35" s="381">
        <f t="shared" si="4"/>
        <v>0</v>
      </c>
      <c r="G35" s="380">
        <f t="shared" si="5"/>
        <v>0.1186239620403321</v>
      </c>
      <c r="H35" s="264">
        <f t="shared" si="6"/>
        <v>2001.4</v>
      </c>
      <c r="K35">
        <v>2015</v>
      </c>
      <c r="L35" s="9">
        <f>C63</f>
        <v>0.23724792408066431</v>
      </c>
      <c r="M35" s="9">
        <f>C64</f>
        <v>1.8586666666666669</v>
      </c>
      <c r="N35" s="469">
        <f t="shared" si="2"/>
        <v>7.8342800000000006</v>
      </c>
      <c r="O35" s="472">
        <f t="shared" si="3"/>
        <v>0.31911037134235687</v>
      </c>
      <c r="P35" s="453">
        <f>F63</f>
        <v>0</v>
      </c>
      <c r="Q35" s="453">
        <f>G63</f>
        <v>0.15421115065243179</v>
      </c>
      <c r="R35" s="453">
        <f>F64</f>
        <v>0.91066666666666696</v>
      </c>
      <c r="S35" s="453">
        <f>G64</f>
        <v>1.8339999999999994</v>
      </c>
      <c r="Z35">
        <f>AVERAGE(Z8:Z33)</f>
        <v>0.48689524591659844</v>
      </c>
    </row>
    <row r="36" spans="1:26" x14ac:dyDescent="0.2">
      <c r="A36" s="7"/>
      <c r="B36" s="7" t="s">
        <v>248</v>
      </c>
      <c r="C36" s="377">
        <v>1.1366666666666667</v>
      </c>
      <c r="D36" s="379">
        <v>0.56999999999999995</v>
      </c>
      <c r="E36" s="379">
        <v>2.2799999999999998</v>
      </c>
      <c r="F36" s="381">
        <f t="shared" si="4"/>
        <v>0.56666666666666676</v>
      </c>
      <c r="G36" s="380">
        <f t="shared" si="5"/>
        <v>1.1433333333333331</v>
      </c>
      <c r="H36" s="264">
        <f t="shared" si="6"/>
        <v>2001.6</v>
      </c>
      <c r="K36">
        <v>2016</v>
      </c>
      <c r="L36" s="9">
        <f>C65</f>
        <v>0.59311981020166071</v>
      </c>
      <c r="M36" s="9">
        <f>C66</f>
        <v>2.1678291814946617</v>
      </c>
      <c r="N36" s="469">
        <f t="shared" si="2"/>
        <v>3.65496</v>
      </c>
      <c r="O36" s="472">
        <f t="shared" si="3"/>
        <v>0.80164488804255041</v>
      </c>
      <c r="P36" s="453">
        <f t="shared" ref="P36:Q36" si="7">F64</f>
        <v>0.91066666666666696</v>
      </c>
      <c r="Q36" s="453">
        <f t="shared" si="7"/>
        <v>1.8339999999999994</v>
      </c>
      <c r="R36" s="453">
        <f t="shared" ref="R36:S36" si="8">F65</f>
        <v>0</v>
      </c>
      <c r="S36" s="453">
        <f t="shared" si="8"/>
        <v>0.35587188612099641</v>
      </c>
    </row>
    <row r="37" spans="1:26" x14ac:dyDescent="0.2">
      <c r="A37" s="7">
        <v>2002</v>
      </c>
      <c r="B37" s="7" t="s">
        <v>247</v>
      </c>
      <c r="C37" s="377">
        <v>1.5421115065243178</v>
      </c>
      <c r="D37" s="379">
        <v>1.3048635824436536</v>
      </c>
      <c r="E37" s="379">
        <v>2.1352313167259784</v>
      </c>
      <c r="F37" s="381">
        <f t="shared" si="4"/>
        <v>0.2372479240806642</v>
      </c>
      <c r="G37" s="380">
        <f t="shared" si="5"/>
        <v>0.5931198102016606</v>
      </c>
      <c r="H37" s="264">
        <f t="shared" si="6"/>
        <v>2002.4</v>
      </c>
      <c r="K37">
        <v>2017</v>
      </c>
      <c r="L37" s="9">
        <f>C67</f>
        <v>1.7378291814946618</v>
      </c>
      <c r="M37" s="9">
        <f>C68</f>
        <v>2.71</v>
      </c>
      <c r="N37" s="469">
        <f t="shared" si="2"/>
        <v>1.5594167878279033</v>
      </c>
      <c r="O37" s="472">
        <f t="shared" si="3"/>
        <v>0.96678966789667897</v>
      </c>
      <c r="P37" s="453">
        <f t="shared" ref="P37:Q37" si="9">F65</f>
        <v>0</v>
      </c>
      <c r="Q37" s="453">
        <f t="shared" si="9"/>
        <v>0.35587188612099641</v>
      </c>
      <c r="R37" s="453">
        <f t="shared" ref="R37:S37" si="10">F66</f>
        <v>0.92873333333333319</v>
      </c>
      <c r="S37" s="453">
        <f t="shared" si="10"/>
        <v>2.6182479240806642</v>
      </c>
    </row>
    <row r="38" spans="1:26" x14ac:dyDescent="0.2">
      <c r="B38" s="7" t="s">
        <v>248</v>
      </c>
      <c r="C38" s="377">
        <v>0.83036773428232502</v>
      </c>
      <c r="D38" s="379">
        <v>0.71174377224199281</v>
      </c>
      <c r="E38" s="379">
        <v>1.4234875444839856</v>
      </c>
      <c r="F38" s="381">
        <f t="shared" si="4"/>
        <v>0.11862396204033221</v>
      </c>
      <c r="G38" s="380">
        <f t="shared" si="5"/>
        <v>0.5931198102016606</v>
      </c>
      <c r="H38" s="264">
        <f t="shared" si="6"/>
        <v>2002.6</v>
      </c>
      <c r="K38">
        <v>2018</v>
      </c>
      <c r="L38" s="7">
        <v>2.62</v>
      </c>
    </row>
    <row r="39" spans="1:26" x14ac:dyDescent="0.2">
      <c r="A39" s="7">
        <v>2003</v>
      </c>
      <c r="B39" s="7" t="s">
        <v>247</v>
      </c>
      <c r="C39" s="184">
        <v>0.47449584816132861</v>
      </c>
      <c r="D39" s="373">
        <v>0.47449584816132861</v>
      </c>
      <c r="E39" s="373">
        <v>0.71174377224199281</v>
      </c>
      <c r="F39" s="381">
        <f t="shared" si="4"/>
        <v>0</v>
      </c>
      <c r="G39" s="380">
        <f t="shared" si="5"/>
        <v>0.2372479240806642</v>
      </c>
      <c r="H39" s="264">
        <f t="shared" si="6"/>
        <v>2003.4</v>
      </c>
    </row>
    <row r="40" spans="1:26" x14ac:dyDescent="0.2">
      <c r="B40" s="7" t="s">
        <v>248</v>
      </c>
      <c r="C40" s="184">
        <v>0.59311981020166071</v>
      </c>
      <c r="D40" s="453">
        <v>0.47449584816132856</v>
      </c>
      <c r="E40" s="453">
        <v>1.0676156583629892</v>
      </c>
      <c r="F40" s="381">
        <f t="shared" si="4"/>
        <v>0.11862396204033215</v>
      </c>
      <c r="G40" s="380">
        <f t="shared" si="5"/>
        <v>0.4744958481613285</v>
      </c>
      <c r="H40" s="264">
        <f t="shared" si="6"/>
        <v>2003.6</v>
      </c>
    </row>
    <row r="41" spans="1:26" x14ac:dyDescent="0.2">
      <c r="A41" s="7">
        <v>2004</v>
      </c>
      <c r="B41" s="7" t="s">
        <v>247</v>
      </c>
      <c r="C41" s="184">
        <v>0.35587188612099641</v>
      </c>
      <c r="D41" s="453">
        <v>0.23724792408066431</v>
      </c>
      <c r="E41" s="453">
        <v>0.71174377224199292</v>
      </c>
      <c r="F41" s="381">
        <f t="shared" si="4"/>
        <v>0.1186239620403321</v>
      </c>
      <c r="G41" s="380">
        <f t="shared" si="5"/>
        <v>0.35587188612099652</v>
      </c>
      <c r="H41" s="264">
        <v>2004.4</v>
      </c>
    </row>
    <row r="42" spans="1:26" x14ac:dyDescent="0.2">
      <c r="B42" s="7" t="s">
        <v>248</v>
      </c>
      <c r="C42" s="184">
        <v>2.7666666666666671</v>
      </c>
      <c r="D42" s="453">
        <v>0.69333333333333336</v>
      </c>
      <c r="E42" s="453">
        <v>5.13</v>
      </c>
      <c r="F42" s="381">
        <f t="shared" si="4"/>
        <v>2.0733333333333337</v>
      </c>
      <c r="G42" s="380">
        <f t="shared" si="5"/>
        <v>2.3633333333333328</v>
      </c>
      <c r="H42" s="264">
        <v>2004.6</v>
      </c>
    </row>
    <row r="43" spans="1:26" x14ac:dyDescent="0.2">
      <c r="A43" s="7">
        <v>2005</v>
      </c>
      <c r="B43" s="7" t="s">
        <v>247</v>
      </c>
      <c r="C43" s="184">
        <v>1.5421115065243178</v>
      </c>
      <c r="D43" s="453">
        <v>1.4234875444839856</v>
      </c>
      <c r="E43" s="453">
        <v>2.3724792408066429</v>
      </c>
      <c r="F43" s="381">
        <f t="shared" si="4"/>
        <v>0.11862396204033221</v>
      </c>
      <c r="G43" s="380">
        <f t="shared" si="5"/>
        <v>0.83036773428232502</v>
      </c>
      <c r="H43" s="264">
        <v>2005.4</v>
      </c>
    </row>
    <row r="44" spans="1:26" x14ac:dyDescent="0.2">
      <c r="B44" s="7" t="s">
        <v>248</v>
      </c>
      <c r="C44" s="184">
        <v>1.63</v>
      </c>
      <c r="D44" s="453">
        <v>0.71666666666666679</v>
      </c>
      <c r="E44" s="453">
        <v>3.76</v>
      </c>
      <c r="F44" s="381">
        <f t="shared" si="4"/>
        <v>0.91333333333333311</v>
      </c>
      <c r="G44" s="380">
        <f t="shared" si="5"/>
        <v>2.13</v>
      </c>
      <c r="H44" s="264">
        <v>2005.6</v>
      </c>
    </row>
    <row r="45" spans="1:26" x14ac:dyDescent="0.2">
      <c r="A45" s="7">
        <v>2006</v>
      </c>
      <c r="B45" s="7" t="s">
        <v>247</v>
      </c>
      <c r="C45" s="184">
        <v>1.4234875444839856</v>
      </c>
      <c r="D45" s="453">
        <v>1.3048635824436536</v>
      </c>
      <c r="E45" s="453">
        <v>2.3724792408066429</v>
      </c>
      <c r="F45" s="381">
        <f t="shared" si="4"/>
        <v>0.11862396204033199</v>
      </c>
      <c r="G45" s="380">
        <f t="shared" si="5"/>
        <v>0.94899169632265723</v>
      </c>
      <c r="H45" s="264">
        <v>2006.4</v>
      </c>
    </row>
    <row r="46" spans="1:26" x14ac:dyDescent="0.2">
      <c r="B46" s="7" t="s">
        <v>248</v>
      </c>
      <c r="C46" s="184">
        <v>1.312538552787663</v>
      </c>
      <c r="D46" s="453">
        <v>0.69058125741399767</v>
      </c>
      <c r="E46" s="453">
        <v>2.6197864768683274</v>
      </c>
      <c r="F46" s="381">
        <f t="shared" si="4"/>
        <v>0.62195729537366529</v>
      </c>
      <c r="G46" s="380">
        <f t="shared" si="5"/>
        <v>1.3072479240806645</v>
      </c>
      <c r="H46" s="264">
        <v>2006.6</v>
      </c>
    </row>
    <row r="47" spans="1:26" x14ac:dyDescent="0.2">
      <c r="A47" s="7">
        <v>2007</v>
      </c>
      <c r="B47" s="7" t="s">
        <v>247</v>
      </c>
      <c r="C47" s="376">
        <v>1.3048635824436536</v>
      </c>
      <c r="D47" s="481">
        <v>1.1862396204033214</v>
      </c>
      <c r="E47" s="453">
        <v>2.1352313167259784</v>
      </c>
      <c r="F47" s="381">
        <f t="shared" si="4"/>
        <v>0.11862396204033221</v>
      </c>
      <c r="G47" s="380">
        <f t="shared" si="5"/>
        <v>0.8303677342823248</v>
      </c>
      <c r="H47" s="264">
        <v>2007.4</v>
      </c>
    </row>
    <row r="48" spans="1:26" x14ac:dyDescent="0.2">
      <c r="B48" s="7" t="s">
        <v>248</v>
      </c>
      <c r="C48" s="376">
        <v>2.6933333333333334</v>
      </c>
      <c r="D48" s="481">
        <v>1.4733333333333334</v>
      </c>
      <c r="E48" s="453">
        <v>5</v>
      </c>
      <c r="F48" s="381">
        <f t="shared" si="4"/>
        <v>1.22</v>
      </c>
      <c r="G48" s="380">
        <f t="shared" si="5"/>
        <v>2.3066666666666666</v>
      </c>
      <c r="H48" s="264">
        <v>2007.6</v>
      </c>
    </row>
    <row r="49" spans="1:8" x14ac:dyDescent="0.2">
      <c r="A49" s="7">
        <v>2008</v>
      </c>
      <c r="B49" s="7" t="s">
        <v>247</v>
      </c>
      <c r="C49" s="376">
        <v>3.2140688018979837</v>
      </c>
      <c r="D49" s="481">
        <v>2.3621115065243177</v>
      </c>
      <c r="E49" s="453">
        <v>5.0752313167259784</v>
      </c>
      <c r="F49" s="381">
        <f t="shared" si="4"/>
        <v>0.85195729537366605</v>
      </c>
      <c r="G49" s="380">
        <f t="shared" si="5"/>
        <v>1.8611625148279947</v>
      </c>
      <c r="H49" s="264">
        <v>2008.4</v>
      </c>
    </row>
    <row r="50" spans="1:8" x14ac:dyDescent="0.2">
      <c r="B50" s="7" t="s">
        <v>248</v>
      </c>
      <c r="C50" s="376">
        <v>3.5933333333333337</v>
      </c>
      <c r="D50" s="481">
        <v>2.1066666666666669</v>
      </c>
      <c r="E50" s="453">
        <v>6.123333333333334</v>
      </c>
      <c r="F50" s="381">
        <f t="shared" si="4"/>
        <v>1.4866666666666668</v>
      </c>
      <c r="G50" s="380">
        <f t="shared" si="5"/>
        <v>2.5300000000000002</v>
      </c>
      <c r="H50" s="264">
        <v>2008.6</v>
      </c>
    </row>
    <row r="51" spans="1:8" x14ac:dyDescent="0.2">
      <c r="A51" s="7">
        <v>2009</v>
      </c>
      <c r="B51" s="7" t="s">
        <v>247</v>
      </c>
      <c r="C51" s="184">
        <v>2.39</v>
      </c>
      <c r="D51" s="453">
        <v>1.4033333333333333</v>
      </c>
      <c r="E51" s="453">
        <v>4.17</v>
      </c>
      <c r="F51" s="381">
        <f t="shared" si="4"/>
        <v>0.9866666666666668</v>
      </c>
      <c r="G51" s="380">
        <f t="shared" si="5"/>
        <v>1.7799999999999998</v>
      </c>
      <c r="H51" s="264">
        <v>2009.4</v>
      </c>
    </row>
    <row r="52" spans="1:8" x14ac:dyDescent="0.2">
      <c r="B52" s="7" t="s">
        <v>248</v>
      </c>
      <c r="C52" s="184">
        <v>3.0866666666666664</v>
      </c>
      <c r="D52" s="453">
        <v>1.6633333333333333</v>
      </c>
      <c r="E52" s="453">
        <v>5.81</v>
      </c>
      <c r="F52" s="381">
        <f t="shared" si="4"/>
        <v>1.4233333333333331</v>
      </c>
      <c r="G52" s="380">
        <f t="shared" si="5"/>
        <v>2.7233333333333332</v>
      </c>
      <c r="H52" s="264">
        <v>2009.6</v>
      </c>
    </row>
    <row r="53" spans="1:8" x14ac:dyDescent="0.2">
      <c r="A53" s="7">
        <v>2010</v>
      </c>
      <c r="B53" s="7" t="s">
        <v>247</v>
      </c>
      <c r="C53" s="184">
        <v>1.1433333333333333</v>
      </c>
      <c r="D53" s="453">
        <v>0.52436666666666676</v>
      </c>
      <c r="E53" s="453">
        <v>2.1255000000000002</v>
      </c>
      <c r="F53" s="381">
        <f t="shared" ref="F53:F58" si="11">C53-D53</f>
        <v>0.61896666666666655</v>
      </c>
      <c r="G53" s="380">
        <f t="shared" ref="G53:G58" si="12">E53-C53</f>
        <v>0.98216666666666685</v>
      </c>
      <c r="H53" s="264">
        <v>2010.4</v>
      </c>
    </row>
    <row r="54" spans="1:8" x14ac:dyDescent="0.2">
      <c r="B54" s="7" t="s">
        <v>248</v>
      </c>
      <c r="C54" s="184">
        <v>0.433</v>
      </c>
      <c r="D54" s="453">
        <v>0.22433333333333336</v>
      </c>
      <c r="E54" s="453">
        <v>1.1066666666666667</v>
      </c>
      <c r="F54" s="381">
        <f t="shared" si="11"/>
        <v>0.20866666666666664</v>
      </c>
      <c r="G54" s="380">
        <f t="shared" si="12"/>
        <v>0.67366666666666664</v>
      </c>
      <c r="H54" s="264">
        <v>2010.6</v>
      </c>
    </row>
    <row r="55" spans="1:8" x14ac:dyDescent="0.2">
      <c r="A55" s="7">
        <v>2011</v>
      </c>
      <c r="B55" s="7" t="s">
        <v>247</v>
      </c>
      <c r="C55" s="510">
        <v>0.59593333333333331</v>
      </c>
      <c r="D55" s="453">
        <v>0.19926666666666668</v>
      </c>
      <c r="E55" s="453">
        <v>1.8046333333333333</v>
      </c>
      <c r="F55" s="381">
        <f t="shared" si="11"/>
        <v>0.39666666666666661</v>
      </c>
      <c r="G55" s="380">
        <f t="shared" si="12"/>
        <v>1.2086999999999999</v>
      </c>
      <c r="H55" s="264">
        <v>2011.4</v>
      </c>
    </row>
    <row r="56" spans="1:8" x14ac:dyDescent="0.2">
      <c r="B56" s="7" t="s">
        <v>248</v>
      </c>
      <c r="C56" s="510">
        <v>3.7532052194543297</v>
      </c>
      <c r="D56" s="453">
        <v>2.3193666666666668</v>
      </c>
      <c r="E56" s="453">
        <v>6.6656000000000004</v>
      </c>
      <c r="F56" s="381">
        <f t="shared" si="11"/>
        <v>1.4338385527876629</v>
      </c>
      <c r="G56" s="380">
        <f t="shared" si="12"/>
        <v>2.9123947805456707</v>
      </c>
      <c r="H56" s="264">
        <v>2011.6</v>
      </c>
    </row>
    <row r="57" spans="1:8" x14ac:dyDescent="0.2">
      <c r="A57" s="7">
        <v>2012</v>
      </c>
      <c r="B57" s="7" t="s">
        <v>247</v>
      </c>
      <c r="C57" s="510">
        <v>0.66313855278766309</v>
      </c>
      <c r="D57" s="453">
        <v>0.41410521945432976</v>
      </c>
      <c r="E57" s="453">
        <v>2.0958291814946617</v>
      </c>
      <c r="F57" s="381">
        <f t="shared" si="11"/>
        <v>0.24903333333333333</v>
      </c>
      <c r="G57" s="380">
        <f t="shared" si="12"/>
        <v>1.4326906287069985</v>
      </c>
      <c r="H57" s="264">
        <v>2012.4</v>
      </c>
    </row>
    <row r="58" spans="1:8" x14ac:dyDescent="0.2">
      <c r="B58" s="7" t="s">
        <v>248</v>
      </c>
      <c r="C58" s="510">
        <v>3.0076000000000001</v>
      </c>
      <c r="D58" s="453">
        <v>1.6036333333333335</v>
      </c>
      <c r="E58" s="453">
        <v>5.8010666666666664</v>
      </c>
      <c r="F58" s="381">
        <f t="shared" si="11"/>
        <v>1.4039666666666666</v>
      </c>
      <c r="G58" s="380">
        <f t="shared" si="12"/>
        <v>2.7934666666666663</v>
      </c>
      <c r="H58" s="264">
        <v>2012.6</v>
      </c>
    </row>
    <row r="59" spans="1:8" x14ac:dyDescent="0.2">
      <c r="A59" s="7">
        <v>2013</v>
      </c>
      <c r="B59" s="7" t="s">
        <v>247</v>
      </c>
      <c r="C59" s="510">
        <v>2.34</v>
      </c>
      <c r="D59" s="453">
        <v>1.65</v>
      </c>
      <c r="E59" s="453">
        <v>3.67</v>
      </c>
      <c r="F59" s="381">
        <f t="shared" ref="F59:F60" si="13">C59-D59</f>
        <v>0.69</v>
      </c>
      <c r="G59" s="380">
        <f t="shared" ref="G59:G60" si="14">E59-C59</f>
        <v>1.33</v>
      </c>
      <c r="H59" s="264">
        <v>2013.4</v>
      </c>
    </row>
    <row r="60" spans="1:8" x14ac:dyDescent="0.2">
      <c r="B60" s="7" t="s">
        <v>248</v>
      </c>
      <c r="C60" s="510">
        <v>2.8</v>
      </c>
      <c r="D60" s="453">
        <v>1.6</v>
      </c>
      <c r="E60" s="453">
        <v>5.33</v>
      </c>
      <c r="F60" s="381">
        <f t="shared" si="13"/>
        <v>1.1999999999999997</v>
      </c>
      <c r="G60" s="380">
        <f t="shared" si="14"/>
        <v>2.5300000000000002</v>
      </c>
      <c r="H60" s="264">
        <v>2013.6</v>
      </c>
    </row>
    <row r="61" spans="1:8" x14ac:dyDescent="0.2">
      <c r="A61" s="7">
        <v>2014</v>
      </c>
      <c r="B61" s="7" t="s">
        <v>247</v>
      </c>
      <c r="C61" s="510">
        <v>2.2866666666666666</v>
      </c>
      <c r="D61" s="453">
        <v>1.1866666666666668</v>
      </c>
      <c r="E61" s="453">
        <v>4.67</v>
      </c>
      <c r="F61" s="381">
        <f t="shared" ref="F61:F64" si="15">C61-D61</f>
        <v>1.0999999999999999</v>
      </c>
      <c r="G61" s="380">
        <f t="shared" ref="G61:G64" si="16">E61-C61</f>
        <v>2.3833333333333333</v>
      </c>
      <c r="H61" s="264">
        <v>2014.4</v>
      </c>
    </row>
    <row r="62" spans="1:8" x14ac:dyDescent="0.2">
      <c r="B62" s="7" t="s">
        <v>248</v>
      </c>
      <c r="C62" s="510">
        <v>1.1872479240806644</v>
      </c>
      <c r="D62" s="453">
        <v>0.59666666666666668</v>
      </c>
      <c r="E62" s="453">
        <v>2.8533333333333335</v>
      </c>
      <c r="F62" s="381">
        <f t="shared" si="15"/>
        <v>0.5905812574139977</v>
      </c>
      <c r="G62" s="380">
        <f t="shared" si="16"/>
        <v>1.6660854092526691</v>
      </c>
      <c r="H62" s="264">
        <v>2014.6</v>
      </c>
    </row>
    <row r="63" spans="1:8" x14ac:dyDescent="0.2">
      <c r="A63" s="7">
        <v>2015</v>
      </c>
      <c r="B63" s="7" t="s">
        <v>247</v>
      </c>
      <c r="C63" s="510">
        <v>0.23724792408066431</v>
      </c>
      <c r="D63" s="453">
        <v>0.23724792408066431</v>
      </c>
      <c r="E63" s="453">
        <v>0.3914590747330961</v>
      </c>
      <c r="F63" s="381">
        <f t="shared" si="15"/>
        <v>0</v>
      </c>
      <c r="G63" s="380">
        <f t="shared" si="16"/>
        <v>0.15421115065243179</v>
      </c>
      <c r="H63" s="264">
        <v>2015.4</v>
      </c>
    </row>
    <row r="64" spans="1:8" x14ac:dyDescent="0.2">
      <c r="B64" s="7" t="s">
        <v>248</v>
      </c>
      <c r="C64" s="510">
        <v>1.8586666666666669</v>
      </c>
      <c r="D64" s="453">
        <v>0.94799999999999995</v>
      </c>
      <c r="E64" s="453">
        <v>3.6926666666666663</v>
      </c>
      <c r="F64" s="381">
        <f t="shared" si="15"/>
        <v>0.91066666666666696</v>
      </c>
      <c r="G64" s="380">
        <f t="shared" si="16"/>
        <v>1.8339999999999994</v>
      </c>
      <c r="H64" s="264">
        <v>2015.6</v>
      </c>
    </row>
    <row r="65" spans="1:8" x14ac:dyDescent="0.2">
      <c r="A65" s="7">
        <v>2016</v>
      </c>
      <c r="B65" s="7" t="s">
        <v>247</v>
      </c>
      <c r="C65" s="510">
        <v>0.59311981020166071</v>
      </c>
      <c r="D65" s="453">
        <v>0.59311981020166071</v>
      </c>
      <c r="E65" s="453">
        <v>0.94899169632265712</v>
      </c>
      <c r="F65" s="381">
        <f t="shared" ref="F65" si="17">C65-D65</f>
        <v>0</v>
      </c>
      <c r="G65" s="380">
        <f t="shared" ref="G65" si="18">E65-C65</f>
        <v>0.35587188612099641</v>
      </c>
      <c r="H65" s="264">
        <v>2016.4</v>
      </c>
    </row>
    <row r="66" spans="1:8" x14ac:dyDescent="0.2">
      <c r="B66" s="7" t="s">
        <v>248</v>
      </c>
      <c r="C66" s="510">
        <v>2.1678291814946617</v>
      </c>
      <c r="D66" s="453">
        <v>1.2390958481613286</v>
      </c>
      <c r="E66" s="453">
        <v>4.786077105575326</v>
      </c>
      <c r="F66" s="381">
        <f t="shared" ref="F66" si="19">C66-D66</f>
        <v>0.92873333333333319</v>
      </c>
      <c r="G66" s="380">
        <f t="shared" ref="G66" si="20">E66-C66</f>
        <v>2.6182479240806642</v>
      </c>
      <c r="H66" s="264">
        <v>2016.6</v>
      </c>
    </row>
    <row r="67" spans="1:8" x14ac:dyDescent="0.2">
      <c r="A67" s="7">
        <v>2017</v>
      </c>
      <c r="B67" s="7" t="s">
        <v>247</v>
      </c>
      <c r="C67" s="510">
        <v>1.7378291814946618</v>
      </c>
      <c r="D67" s="453">
        <v>0.7192052194543298</v>
      </c>
      <c r="E67" s="453">
        <v>5.2203677342823251</v>
      </c>
      <c r="F67" s="381">
        <f t="shared" ref="F67" si="21">C67-D67</f>
        <v>1.0186239620403321</v>
      </c>
      <c r="G67" s="380">
        <f t="shared" ref="G67" si="22">E67-C67</f>
        <v>3.4825385527876636</v>
      </c>
      <c r="H67" s="264">
        <v>2017.4</v>
      </c>
    </row>
    <row r="68" spans="1:8" x14ac:dyDescent="0.2">
      <c r="B68" s="7" t="s">
        <v>248</v>
      </c>
      <c r="C68" s="510">
        <v>2.71</v>
      </c>
      <c r="D68" s="453">
        <v>1.3733333333333331</v>
      </c>
      <c r="E68" s="453">
        <v>3.9899999999999998</v>
      </c>
      <c r="F68" s="381">
        <f t="shared" ref="F68" si="23">C68-D68</f>
        <v>1.3366666666666669</v>
      </c>
      <c r="G68" s="380">
        <f t="shared" ref="G68" si="24">E68-C68</f>
        <v>1.2799999999999998</v>
      </c>
      <c r="H68" s="264">
        <v>2017.6</v>
      </c>
    </row>
    <row r="69" spans="1:8" x14ac:dyDescent="0.2">
      <c r="A69" s="7">
        <v>2018</v>
      </c>
      <c r="B69" s="7" t="s">
        <v>247</v>
      </c>
      <c r="C69" s="510">
        <v>2.6165000000000003</v>
      </c>
      <c r="D69" s="453">
        <v>1.3399999999999999</v>
      </c>
      <c r="E69" s="453">
        <v>5.8599999999999994</v>
      </c>
      <c r="F69" s="381">
        <f t="shared" ref="F69:F70" si="25">C69-D69</f>
        <v>1.2765000000000004</v>
      </c>
      <c r="G69" s="380">
        <f t="shared" ref="G69:G70" si="26">E69-C69</f>
        <v>3.2434999999999992</v>
      </c>
      <c r="H69" s="264">
        <v>2018.4</v>
      </c>
    </row>
    <row r="70" spans="1:8" x14ac:dyDescent="0.2">
      <c r="B70" s="7" t="s">
        <v>248</v>
      </c>
      <c r="C70" s="510">
        <v>1.2252906287069989</v>
      </c>
      <c r="D70" s="453">
        <v>0.64195729537366553</v>
      </c>
      <c r="E70" s="453">
        <v>2.5839145907473311</v>
      </c>
      <c r="F70" s="381">
        <f t="shared" si="25"/>
        <v>0.58333333333333337</v>
      </c>
      <c r="G70" s="380">
        <f t="shared" si="26"/>
        <v>1.3586239620403322</v>
      </c>
      <c r="H70" s="264">
        <v>2018.6</v>
      </c>
    </row>
    <row r="71" spans="1:8" x14ac:dyDescent="0.2">
      <c r="B71" s="7"/>
      <c r="C71" s="510"/>
      <c r="D71" s="453"/>
      <c r="E71" s="453"/>
      <c r="F71" s="616"/>
      <c r="G71" s="380"/>
      <c r="H71" s="264"/>
    </row>
    <row r="72" spans="1:8" x14ac:dyDescent="0.2">
      <c r="F72" s="616"/>
      <c r="G72" s="380"/>
      <c r="H72" s="264"/>
    </row>
    <row r="73" spans="1:8" x14ac:dyDescent="0.2">
      <c r="A73" s="430" t="s">
        <v>551</v>
      </c>
      <c r="B73" s="575" t="s">
        <v>247</v>
      </c>
      <c r="C73" s="493">
        <f>AVERAGE(C33,C35,C37,C39,C41,C43,C45,C47,C49,C51,C53,C55,C57,C59,C61,C63,C65,C67)</f>
        <v>1.2860635033610119</v>
      </c>
      <c r="D73" s="576" t="s">
        <v>724</v>
      </c>
      <c r="H73" s="264"/>
    </row>
    <row r="74" spans="1:8" x14ac:dyDescent="0.2">
      <c r="B74" s="575" t="s">
        <v>248</v>
      </c>
      <c r="C74" s="493">
        <f>AVERAGE(C34,C36,C38,C40,C42,C44,C46,C48,C50,C52,C54,C56,C58,C60,C62,C64,C66,C68)</f>
        <v>2.0011245419797024</v>
      </c>
      <c r="D74" s="578"/>
      <c r="H74" s="264"/>
    </row>
    <row r="75" spans="1:8" x14ac:dyDescent="0.2">
      <c r="C75" s="167"/>
      <c r="D75" s="427"/>
    </row>
    <row r="76" spans="1:8" x14ac:dyDescent="0.2">
      <c r="A76" s="430" t="s">
        <v>551</v>
      </c>
      <c r="B76" s="575" t="s">
        <v>247</v>
      </c>
      <c r="C76" s="493">
        <f>AVERAGE(C43,C45,C47,C49,C51,C53,C55,C57,C59,C61,C63,C65)</f>
        <v>1.4778309213127716</v>
      </c>
      <c r="D76" s="576" t="s">
        <v>725</v>
      </c>
    </row>
    <row r="77" spans="1:8" x14ac:dyDescent="0.2">
      <c r="B77" s="575" t="s">
        <v>248</v>
      </c>
      <c r="C77" s="493">
        <f>AVERAGE(C44,C46,C48,C50,C52,C54,C56,C58,C60,C62,C64,C66)</f>
        <v>2.2936184064847764</v>
      </c>
      <c r="D77" s="577"/>
    </row>
    <row r="79" spans="1:8" x14ac:dyDescent="0.2">
      <c r="A79" s="5" t="s">
        <v>550</v>
      </c>
      <c r="B79" s="428" t="s">
        <v>248</v>
      </c>
      <c r="C79" s="561">
        <f>AVERAGE(C8,C10,C12,C14,C16,C18,C20,C22,C24,C26,C28,C30,C32,C34)</f>
        <v>0.53038044399254358</v>
      </c>
      <c r="D79" s="5" t="s">
        <v>612</v>
      </c>
    </row>
    <row r="81" spans="1:4" x14ac:dyDescent="0.2">
      <c r="C81" s="602">
        <f>C74/C79</f>
        <v>3.7729983536267704</v>
      </c>
    </row>
    <row r="83" spans="1:4" x14ac:dyDescent="0.2">
      <c r="A83" t="s">
        <v>550</v>
      </c>
      <c r="B83" t="s">
        <v>699</v>
      </c>
      <c r="C83" s="538">
        <v>4.51</v>
      </c>
      <c r="D83" s="5" t="s">
        <v>700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9"/>
  <sheetViews>
    <sheetView topLeftCell="A3" workbookViewId="0">
      <selection activeCell="A6" sqref="A6:A19"/>
    </sheetView>
  </sheetViews>
  <sheetFormatPr defaultRowHeight="12.75" x14ac:dyDescent="0.2"/>
  <cols>
    <col min="1" max="1" width="11" customWidth="1"/>
    <col min="2" max="2" width="12" customWidth="1"/>
    <col min="3" max="3" width="18.140625" customWidth="1"/>
    <col min="4" max="4" width="11" customWidth="1"/>
    <col min="5" max="5" width="16.85546875" customWidth="1"/>
    <col min="6" max="6" width="11.7109375" customWidth="1"/>
    <col min="7" max="7" width="11.5703125" customWidth="1"/>
  </cols>
  <sheetData>
    <row r="1" spans="1:10" ht="16.5" thickBot="1" x14ac:dyDescent="0.3">
      <c r="A1" s="322" t="s">
        <v>191</v>
      </c>
      <c r="B1" s="96"/>
      <c r="C1" s="96"/>
      <c r="D1" s="97"/>
      <c r="E1" s="97"/>
    </row>
    <row r="2" spans="1:10" x14ac:dyDescent="0.2">
      <c r="A2" s="37" t="s">
        <v>250</v>
      </c>
    </row>
    <row r="4" spans="1:10" x14ac:dyDescent="0.2">
      <c r="A4" s="13"/>
      <c r="B4" s="48" t="s">
        <v>193</v>
      </c>
      <c r="C4" s="32"/>
      <c r="D4" s="30" t="s">
        <v>194</v>
      </c>
      <c r="E4" s="13"/>
      <c r="F4" t="s">
        <v>195</v>
      </c>
      <c r="G4" s="22"/>
    </row>
    <row r="5" spans="1:10" ht="13.5" thickBot="1" x14ac:dyDescent="0.25">
      <c r="A5" s="14" t="s">
        <v>188</v>
      </c>
      <c r="B5" s="33" t="s">
        <v>189</v>
      </c>
      <c r="C5" s="33" t="s">
        <v>190</v>
      </c>
      <c r="D5" s="4" t="s">
        <v>189</v>
      </c>
      <c r="E5" s="14" t="s">
        <v>190</v>
      </c>
      <c r="F5" s="12" t="s">
        <v>187</v>
      </c>
      <c r="G5" s="4" t="s">
        <v>196</v>
      </c>
    </row>
    <row r="6" spans="1:10" x14ac:dyDescent="0.2">
      <c r="A6" s="38" t="s">
        <v>160</v>
      </c>
      <c r="B6" s="50">
        <v>10</v>
      </c>
      <c r="C6" s="51">
        <v>2.86</v>
      </c>
      <c r="D6" s="6">
        <v>8</v>
      </c>
      <c r="E6" s="17">
        <v>2.2799999999999998</v>
      </c>
      <c r="F6" s="6"/>
      <c r="G6" s="6"/>
      <c r="J6" s="125"/>
    </row>
    <row r="7" spans="1:10" x14ac:dyDescent="0.2">
      <c r="A7" s="38" t="s">
        <v>159</v>
      </c>
      <c r="B7" s="49">
        <v>16</v>
      </c>
      <c r="C7" s="28">
        <v>4.57</v>
      </c>
      <c r="D7" s="6">
        <v>12</v>
      </c>
      <c r="E7" s="17">
        <v>3.43</v>
      </c>
      <c r="F7" s="6"/>
      <c r="G7" s="6"/>
    </row>
    <row r="8" spans="1:10" x14ac:dyDescent="0.2">
      <c r="A8" s="38" t="s">
        <v>158</v>
      </c>
      <c r="B8" s="49">
        <v>50</v>
      </c>
      <c r="C8" s="28">
        <v>14.28</v>
      </c>
      <c r="D8" s="6">
        <v>20</v>
      </c>
      <c r="E8" s="17">
        <v>5.71</v>
      </c>
      <c r="F8" s="6"/>
      <c r="G8" s="6"/>
    </row>
    <row r="9" spans="1:10" x14ac:dyDescent="0.2">
      <c r="A9" s="38" t="s">
        <v>157</v>
      </c>
      <c r="B9" s="49">
        <v>60</v>
      </c>
      <c r="C9" s="28">
        <v>17.14</v>
      </c>
      <c r="D9" s="6">
        <v>30</v>
      </c>
      <c r="E9" s="17">
        <v>8.57</v>
      </c>
      <c r="F9" s="6"/>
      <c r="G9" s="6"/>
    </row>
    <row r="10" spans="1:10" x14ac:dyDescent="0.2">
      <c r="A10" s="38" t="s">
        <v>156</v>
      </c>
      <c r="B10" s="49">
        <v>28</v>
      </c>
      <c r="C10" s="28">
        <v>8</v>
      </c>
      <c r="D10" s="6">
        <v>17</v>
      </c>
      <c r="E10" s="17">
        <v>4.8</v>
      </c>
      <c r="F10" s="6"/>
      <c r="G10" s="6"/>
    </row>
    <row r="11" spans="1:10" x14ac:dyDescent="0.2">
      <c r="A11" s="38" t="s">
        <v>155</v>
      </c>
      <c r="B11" s="49">
        <v>15</v>
      </c>
      <c r="C11" s="28">
        <v>4.29</v>
      </c>
      <c r="D11" s="6">
        <v>9</v>
      </c>
      <c r="E11" s="17">
        <v>2.5</v>
      </c>
      <c r="F11" s="6"/>
      <c r="G11" s="6"/>
    </row>
    <row r="12" spans="1:10" x14ac:dyDescent="0.2">
      <c r="A12" s="38" t="s">
        <v>154</v>
      </c>
      <c r="B12" s="49">
        <v>7</v>
      </c>
      <c r="C12" s="28">
        <v>2</v>
      </c>
      <c r="D12" s="6">
        <v>5</v>
      </c>
      <c r="E12" s="17">
        <v>1.4</v>
      </c>
      <c r="F12" s="6"/>
      <c r="G12" s="6"/>
    </row>
    <row r="13" spans="1:10" x14ac:dyDescent="0.2">
      <c r="A13" s="38" t="s">
        <v>153</v>
      </c>
      <c r="B13" s="49">
        <v>9</v>
      </c>
      <c r="C13" s="28">
        <v>2.6</v>
      </c>
      <c r="D13" s="6">
        <v>5</v>
      </c>
      <c r="E13" s="17">
        <v>1.4</v>
      </c>
      <c r="F13" s="6"/>
      <c r="G13" s="6"/>
    </row>
    <row r="14" spans="1:10" x14ac:dyDescent="0.2">
      <c r="A14" s="38" t="s">
        <v>146</v>
      </c>
      <c r="B14" s="49">
        <v>9</v>
      </c>
      <c r="C14" s="28">
        <v>2.6</v>
      </c>
      <c r="D14" s="6">
        <v>5</v>
      </c>
      <c r="E14" s="17">
        <v>1.5</v>
      </c>
      <c r="F14" s="6"/>
      <c r="G14" s="6"/>
    </row>
    <row r="15" spans="1:10" x14ac:dyDescent="0.2">
      <c r="A15" s="38" t="s">
        <v>147</v>
      </c>
      <c r="B15" s="49">
        <v>19</v>
      </c>
      <c r="C15" s="28">
        <v>5.43</v>
      </c>
      <c r="D15" s="6">
        <v>12</v>
      </c>
      <c r="E15" s="17">
        <v>3.43</v>
      </c>
      <c r="F15" s="6" t="s">
        <v>197</v>
      </c>
      <c r="G15" s="52" t="s">
        <v>200</v>
      </c>
    </row>
    <row r="16" spans="1:10" x14ac:dyDescent="0.2">
      <c r="A16" s="38" t="s">
        <v>148</v>
      </c>
      <c r="B16" s="49">
        <v>30</v>
      </c>
      <c r="C16" s="28">
        <v>8.57</v>
      </c>
      <c r="D16" s="6">
        <v>16</v>
      </c>
      <c r="E16" s="38">
        <v>4.57</v>
      </c>
      <c r="F16" s="6" t="s">
        <v>198</v>
      </c>
      <c r="G16" s="6" t="s">
        <v>199</v>
      </c>
    </row>
    <row r="17" spans="1:7" x14ac:dyDescent="0.2">
      <c r="A17" s="38" t="s">
        <v>149</v>
      </c>
      <c r="B17" s="49">
        <v>39</v>
      </c>
      <c r="C17" s="28">
        <f>(B17/350)*100</f>
        <v>11.142857142857142</v>
      </c>
      <c r="D17" s="6">
        <v>21</v>
      </c>
      <c r="E17" s="127">
        <f>(D17/350)*100</f>
        <v>6</v>
      </c>
      <c r="F17" s="128" t="s">
        <v>265</v>
      </c>
      <c r="G17" s="6" t="s">
        <v>268</v>
      </c>
    </row>
    <row r="18" spans="1:7" x14ac:dyDescent="0.2">
      <c r="A18" s="38" t="s">
        <v>192</v>
      </c>
      <c r="B18" s="49">
        <v>20</v>
      </c>
      <c r="C18" s="28">
        <f>(B18/350)*100</f>
        <v>5.7142857142857144</v>
      </c>
      <c r="D18" s="6">
        <v>12</v>
      </c>
      <c r="E18" s="127">
        <f>(D18/350)*100</f>
        <v>3.4285714285714288</v>
      </c>
      <c r="F18" s="128" t="s">
        <v>266</v>
      </c>
      <c r="G18" s="126" t="s">
        <v>269</v>
      </c>
    </row>
    <row r="19" spans="1:7" x14ac:dyDescent="0.2">
      <c r="A19" s="38" t="s">
        <v>151</v>
      </c>
      <c r="B19" s="60">
        <v>2</v>
      </c>
      <c r="C19" s="28">
        <f>(B19/350)*100</f>
        <v>0.5714285714285714</v>
      </c>
      <c r="D19" s="6">
        <v>3</v>
      </c>
      <c r="E19" s="127">
        <f>(D19/350)*100</f>
        <v>0.85714285714285721</v>
      </c>
      <c r="F19" s="129" t="s">
        <v>267</v>
      </c>
      <c r="G19" s="126" t="s">
        <v>270</v>
      </c>
    </row>
    <row r="20" spans="1:7" x14ac:dyDescent="0.2">
      <c r="A20" s="133" t="s">
        <v>152</v>
      </c>
      <c r="B20" s="60"/>
      <c r="C20" s="28"/>
      <c r="D20" s="8"/>
    </row>
    <row r="21" spans="1:7" x14ac:dyDescent="0.2">
      <c r="A21" s="133" t="s">
        <v>301</v>
      </c>
      <c r="B21" s="60"/>
      <c r="C21" s="28"/>
      <c r="D21" s="8"/>
    </row>
    <row r="22" spans="1:7" x14ac:dyDescent="0.2">
      <c r="A22" s="7" t="s">
        <v>306</v>
      </c>
      <c r="B22" s="60"/>
      <c r="C22" s="28"/>
    </row>
    <row r="23" spans="1:7" x14ac:dyDescent="0.2">
      <c r="A23" s="7" t="s">
        <v>356</v>
      </c>
      <c r="B23" s="60"/>
      <c r="C23" s="28"/>
    </row>
    <row r="24" spans="1:7" x14ac:dyDescent="0.2">
      <c r="A24" s="7" t="s">
        <v>357</v>
      </c>
      <c r="B24" s="60"/>
      <c r="C24" s="28"/>
    </row>
    <row r="25" spans="1:7" x14ac:dyDescent="0.2">
      <c r="A25" s="7" t="s">
        <v>456</v>
      </c>
      <c r="B25" s="60"/>
      <c r="C25" s="28"/>
    </row>
    <row r="26" spans="1:7" x14ac:dyDescent="0.2">
      <c r="A26" s="133" t="s">
        <v>490</v>
      </c>
      <c r="B26" s="60"/>
      <c r="C26" s="28"/>
    </row>
    <row r="27" spans="1:7" x14ac:dyDescent="0.2">
      <c r="A27" s="7" t="s">
        <v>512</v>
      </c>
      <c r="B27" s="60"/>
      <c r="C27" s="28"/>
    </row>
    <row r="28" spans="1:7" x14ac:dyDescent="0.2">
      <c r="A28" s="7" t="s">
        <v>513</v>
      </c>
      <c r="B28" s="60"/>
      <c r="C28" s="28"/>
    </row>
    <row r="29" spans="1:7" x14ac:dyDescent="0.2">
      <c r="A29" s="7"/>
    </row>
  </sheetData>
  <phoneticPr fontId="0" type="noConversion"/>
  <printOptions horizontalCentered="1" gridLines="1"/>
  <pageMargins left="0.47" right="0.4" top="1.1299999999999999" bottom="0.98425196850393704" header="0.51181102362204722" footer="0.51181102362204722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8"/>
  <sheetViews>
    <sheetView workbookViewId="0">
      <pane ySplit="3" topLeftCell="A34" activePane="bottomLeft" state="frozenSplit"/>
      <selection pane="bottomLeft" activeCell="G9" sqref="G9"/>
    </sheetView>
  </sheetViews>
  <sheetFormatPr defaultRowHeight="12.75" x14ac:dyDescent="0.2"/>
  <cols>
    <col min="2" max="2" width="17.140625" customWidth="1"/>
    <col min="3" max="3" width="19.140625" customWidth="1"/>
    <col min="5" max="5" width="11.5703125" customWidth="1"/>
    <col min="6" max="6" width="12.140625" customWidth="1"/>
    <col min="7" max="7" width="11.140625" customWidth="1"/>
    <col min="21" max="21" width="10.42578125" customWidth="1"/>
  </cols>
  <sheetData>
    <row r="1" spans="1:23" ht="16.5" thickBot="1" x14ac:dyDescent="0.3">
      <c r="A1" s="333" t="s">
        <v>0</v>
      </c>
      <c r="B1" s="96"/>
      <c r="C1" s="96"/>
      <c r="D1" s="96"/>
      <c r="E1" s="96"/>
      <c r="F1" s="96"/>
      <c r="G1" s="97"/>
      <c r="H1" s="96"/>
      <c r="I1" s="97"/>
      <c r="J1" s="24"/>
    </row>
    <row r="2" spans="1:23" x14ac:dyDescent="0.2">
      <c r="A2" s="37" t="s">
        <v>1</v>
      </c>
    </row>
    <row r="3" spans="1:23" x14ac:dyDescent="0.2">
      <c r="A3" s="106" t="s">
        <v>307</v>
      </c>
    </row>
    <row r="4" spans="1:23" ht="13.5" thickBot="1" x14ac:dyDescent="0.25"/>
    <row r="5" spans="1:23" ht="13.5" thickBot="1" x14ac:dyDescent="0.25">
      <c r="A5" s="103" t="s">
        <v>2</v>
      </c>
      <c r="B5" s="105"/>
    </row>
    <row r="6" spans="1:23" ht="13.5" thickBot="1" x14ac:dyDescent="0.25">
      <c r="E6" t="s">
        <v>3</v>
      </c>
    </row>
    <row r="7" spans="1:23" ht="13.5" thickBot="1" x14ac:dyDescent="0.25">
      <c r="A7" s="3"/>
      <c r="B7" s="4" t="s">
        <v>499</v>
      </c>
      <c r="C7" s="4" t="s">
        <v>215</v>
      </c>
      <c r="D7" s="4" t="s">
        <v>5</v>
      </c>
      <c r="E7" s="4" t="s">
        <v>497</v>
      </c>
      <c r="F7" s="4" t="s">
        <v>498</v>
      </c>
      <c r="R7" t="s">
        <v>377</v>
      </c>
      <c r="S7" t="s">
        <v>378</v>
      </c>
      <c r="U7" s="613" t="s">
        <v>703</v>
      </c>
      <c r="V7" s="257" t="s">
        <v>395</v>
      </c>
      <c r="W7" s="256" t="s">
        <v>396</v>
      </c>
    </row>
    <row r="8" spans="1:23" x14ac:dyDescent="0.2">
      <c r="A8" s="20" t="s">
        <v>6</v>
      </c>
      <c r="B8" s="7" t="s">
        <v>615</v>
      </c>
      <c r="C8" s="21">
        <v>17.846399999999999</v>
      </c>
      <c r="D8" s="6">
        <v>506</v>
      </c>
      <c r="E8" s="9">
        <v>16.724399999999999</v>
      </c>
      <c r="F8" s="9">
        <v>18.968499999999999</v>
      </c>
      <c r="G8" s="223" t="s">
        <v>344</v>
      </c>
      <c r="H8" s="11"/>
      <c r="Q8" s="7">
        <v>1987</v>
      </c>
      <c r="R8" s="11">
        <f>C8-E8</f>
        <v>1.1219999999999999</v>
      </c>
      <c r="S8" s="11">
        <f>F8-C8</f>
        <v>1.1220999999999997</v>
      </c>
      <c r="U8" s="250" t="s">
        <v>131</v>
      </c>
      <c r="V8" s="252">
        <f>AVERAGE(C8:C34)</f>
        <v>14.921554814814813</v>
      </c>
      <c r="W8" s="254">
        <f>AVERAGE(C40:C66)</f>
        <v>15.376777777777777</v>
      </c>
    </row>
    <row r="9" spans="1:23" x14ac:dyDescent="0.2">
      <c r="A9" s="20" t="s">
        <v>7</v>
      </c>
      <c r="B9" s="7" t="s">
        <v>616</v>
      </c>
      <c r="C9" s="21">
        <v>18.100760000000001</v>
      </c>
      <c r="D9" s="6">
        <v>489</v>
      </c>
      <c r="E9" s="9">
        <v>16.8902</v>
      </c>
      <c r="F9" s="9">
        <v>19.311299999999999</v>
      </c>
      <c r="G9" s="223" t="s">
        <v>345</v>
      </c>
      <c r="H9" s="11"/>
      <c r="Q9" s="7">
        <v>1988</v>
      </c>
      <c r="R9" s="11">
        <f t="shared" ref="R9:R27" si="0">C9-E9</f>
        <v>1.210560000000001</v>
      </c>
      <c r="S9" s="11">
        <f t="shared" ref="S9:S27" si="1">F9-C9</f>
        <v>1.2105399999999982</v>
      </c>
      <c r="U9" s="250" t="s">
        <v>390</v>
      </c>
      <c r="V9" s="252">
        <f>STDEV(C8:C34)</f>
        <v>2.2821785536486092</v>
      </c>
      <c r="W9" s="254">
        <f>STDEV(C40:C66)</f>
        <v>4.1303558067978514</v>
      </c>
    </row>
    <row r="10" spans="1:23" ht="13.5" thickBot="1" x14ac:dyDescent="0.25">
      <c r="A10" s="20" t="s">
        <v>404</v>
      </c>
      <c r="B10" s="7" t="s">
        <v>617</v>
      </c>
      <c r="C10" s="21">
        <v>15.32216</v>
      </c>
      <c r="D10" s="6">
        <v>593</v>
      </c>
      <c r="E10" s="9">
        <v>14.399290000000001</v>
      </c>
      <c r="F10" s="9">
        <v>16.245000000000001</v>
      </c>
      <c r="G10" s="223" t="s">
        <v>346</v>
      </c>
      <c r="H10" s="11"/>
      <c r="Q10" s="7">
        <v>1989</v>
      </c>
      <c r="R10" s="11">
        <f t="shared" si="0"/>
        <v>0.92286999999999964</v>
      </c>
      <c r="S10" s="11">
        <f t="shared" si="1"/>
        <v>0.92284000000000077</v>
      </c>
      <c r="U10" s="251" t="s">
        <v>393</v>
      </c>
      <c r="V10" s="253">
        <f>V9/V8</f>
        <v>0.15294509064047107</v>
      </c>
      <c r="W10" s="255">
        <f>W9/W8</f>
        <v>0.26860996929844183</v>
      </c>
    </row>
    <row r="11" spans="1:23" x14ac:dyDescent="0.2">
      <c r="A11" s="20" t="s">
        <v>8</v>
      </c>
      <c r="B11" s="7" t="s">
        <v>618</v>
      </c>
      <c r="C11" s="21">
        <v>17.082899999999999</v>
      </c>
      <c r="D11" s="6">
        <v>477</v>
      </c>
      <c r="E11" s="9">
        <v>16.088529999999999</v>
      </c>
      <c r="F11" s="9">
        <v>18.077300000000001</v>
      </c>
      <c r="G11" s="223" t="s">
        <v>347</v>
      </c>
      <c r="H11" s="11"/>
      <c r="Q11" s="7">
        <v>1990</v>
      </c>
      <c r="R11" s="11">
        <f t="shared" si="0"/>
        <v>0.99436999999999998</v>
      </c>
      <c r="S11" s="11">
        <f t="shared" si="1"/>
        <v>0.99440000000000239</v>
      </c>
    </row>
    <row r="12" spans="1:23" x14ac:dyDescent="0.2">
      <c r="A12" s="20"/>
      <c r="B12" s="7" t="s">
        <v>619</v>
      </c>
      <c r="C12" s="21">
        <v>15.9328</v>
      </c>
      <c r="D12" s="6">
        <v>529</v>
      </c>
      <c r="E12" s="9">
        <v>14.835290000000001</v>
      </c>
      <c r="F12" s="9">
        <v>17.03031</v>
      </c>
      <c r="G12" s="223" t="s">
        <v>348</v>
      </c>
      <c r="H12" s="11"/>
      <c r="Q12" s="7">
        <v>1991</v>
      </c>
      <c r="R12" s="11">
        <f t="shared" si="0"/>
        <v>1.0975099999999998</v>
      </c>
      <c r="S12" s="11">
        <f t="shared" si="1"/>
        <v>1.0975099999999998</v>
      </c>
    </row>
    <row r="13" spans="1:23" x14ac:dyDescent="0.2">
      <c r="A13" s="20"/>
      <c r="B13" s="7" t="s">
        <v>620</v>
      </c>
      <c r="C13" s="21">
        <v>14.747389999999999</v>
      </c>
      <c r="D13" s="6">
        <v>510</v>
      </c>
      <c r="E13" s="9">
        <v>13.898</v>
      </c>
      <c r="F13" s="9">
        <v>15.596780000000001</v>
      </c>
      <c r="G13" s="223" t="s">
        <v>349</v>
      </c>
      <c r="H13" s="11"/>
      <c r="Q13" s="7">
        <v>1992</v>
      </c>
      <c r="R13" s="11">
        <f t="shared" si="0"/>
        <v>0.84938999999999965</v>
      </c>
      <c r="S13" s="11">
        <f t="shared" si="1"/>
        <v>0.84939000000000142</v>
      </c>
    </row>
    <row r="14" spans="1:23" x14ac:dyDescent="0.2">
      <c r="A14" s="20"/>
      <c r="B14" s="7" t="s">
        <v>621</v>
      </c>
      <c r="C14" s="21">
        <v>12.38185</v>
      </c>
      <c r="D14" s="6">
        <v>573</v>
      </c>
      <c r="E14" s="9">
        <v>11.788399999999999</v>
      </c>
      <c r="F14" s="9">
        <v>12.975300000000001</v>
      </c>
      <c r="G14" s="223" t="s">
        <v>350</v>
      </c>
      <c r="H14" s="11"/>
      <c r="Q14" s="7">
        <v>1993</v>
      </c>
      <c r="R14" s="11">
        <f t="shared" si="0"/>
        <v>0.5934500000000007</v>
      </c>
      <c r="S14" s="11">
        <f t="shared" si="1"/>
        <v>0.5934500000000007</v>
      </c>
    </row>
    <row r="15" spans="1:23" x14ac:dyDescent="0.2">
      <c r="A15" s="20"/>
      <c r="B15" s="7" t="s">
        <v>622</v>
      </c>
      <c r="C15" s="21">
        <v>12.5664</v>
      </c>
      <c r="D15" s="6">
        <v>504</v>
      </c>
      <c r="E15" s="9">
        <v>11.802020000000001</v>
      </c>
      <c r="F15" s="9">
        <v>13.3308</v>
      </c>
      <c r="G15" s="223" t="s">
        <v>351</v>
      </c>
      <c r="H15" s="11"/>
      <c r="Q15" s="7">
        <v>1994</v>
      </c>
      <c r="R15" s="11">
        <f t="shared" si="0"/>
        <v>0.76437999999999917</v>
      </c>
      <c r="S15" s="11">
        <f t="shared" si="1"/>
        <v>0.76440000000000019</v>
      </c>
    </row>
    <row r="16" spans="1:23" x14ac:dyDescent="0.2">
      <c r="A16" s="20"/>
      <c r="B16" s="7" t="s">
        <v>623</v>
      </c>
      <c r="C16" s="21">
        <v>12.31132</v>
      </c>
      <c r="D16" s="6">
        <v>589</v>
      </c>
      <c r="E16" s="9">
        <v>11.586499999999999</v>
      </c>
      <c r="F16" s="9">
        <v>13.036149999999999</v>
      </c>
      <c r="G16" s="223" t="s">
        <v>352</v>
      </c>
      <c r="H16" s="11"/>
      <c r="Q16" s="7">
        <v>1995</v>
      </c>
      <c r="R16" s="11">
        <f t="shared" si="0"/>
        <v>0.72482000000000113</v>
      </c>
      <c r="S16" s="11">
        <f t="shared" si="1"/>
        <v>0.72482999999999898</v>
      </c>
    </row>
    <row r="17" spans="1:19" x14ac:dyDescent="0.2">
      <c r="A17" s="20"/>
      <c r="B17" s="7" t="s">
        <v>624</v>
      </c>
      <c r="C17" s="9">
        <v>12.145</v>
      </c>
      <c r="D17" s="6">
        <v>394</v>
      </c>
      <c r="E17" s="9">
        <v>11.146000000000001</v>
      </c>
      <c r="F17" s="9">
        <v>13.143000000000001</v>
      </c>
      <c r="G17" s="223"/>
      <c r="Q17" s="7">
        <v>1996</v>
      </c>
      <c r="R17" s="11">
        <f t="shared" si="0"/>
        <v>0.99899999999999878</v>
      </c>
      <c r="S17" s="11">
        <f t="shared" si="1"/>
        <v>0.99800000000000111</v>
      </c>
    </row>
    <row r="18" spans="1:19" x14ac:dyDescent="0.2">
      <c r="B18" s="7" t="s">
        <v>625</v>
      </c>
      <c r="C18" s="9">
        <v>11.58</v>
      </c>
      <c r="D18" s="6">
        <v>395</v>
      </c>
      <c r="E18" s="9">
        <v>10.75</v>
      </c>
      <c r="F18" s="9">
        <v>12.51</v>
      </c>
      <c r="G18" s="40" t="s">
        <v>235</v>
      </c>
      <c r="Q18" s="7">
        <v>1997</v>
      </c>
      <c r="R18" s="11">
        <f t="shared" si="0"/>
        <v>0.83000000000000007</v>
      </c>
      <c r="S18" s="11">
        <f t="shared" si="1"/>
        <v>0.92999999999999972</v>
      </c>
    </row>
    <row r="19" spans="1:19" x14ac:dyDescent="0.2">
      <c r="B19" s="7" t="s">
        <v>626</v>
      </c>
      <c r="C19" s="9">
        <v>12.54</v>
      </c>
      <c r="D19" s="6">
        <v>403</v>
      </c>
      <c r="E19" s="9">
        <v>11.52</v>
      </c>
      <c r="F19" s="9">
        <v>13.62</v>
      </c>
      <c r="G19" s="40" t="s">
        <v>235</v>
      </c>
      <c r="Q19" s="7">
        <v>1998</v>
      </c>
      <c r="R19" s="11">
        <f t="shared" si="0"/>
        <v>1.0199999999999996</v>
      </c>
      <c r="S19" s="11">
        <f t="shared" si="1"/>
        <v>1.08</v>
      </c>
    </row>
    <row r="20" spans="1:19" x14ac:dyDescent="0.2">
      <c r="B20" s="7" t="s">
        <v>627</v>
      </c>
      <c r="C20" s="9">
        <v>15.85</v>
      </c>
      <c r="D20" s="6">
        <v>418</v>
      </c>
      <c r="E20" s="9">
        <v>14.84</v>
      </c>
      <c r="F20" s="9">
        <v>16.899999999999999</v>
      </c>
      <c r="G20" s="40" t="s">
        <v>235</v>
      </c>
      <c r="Q20" s="7">
        <v>1999</v>
      </c>
      <c r="R20" s="11">
        <f t="shared" si="0"/>
        <v>1.0099999999999998</v>
      </c>
      <c r="S20" s="11">
        <f t="shared" si="1"/>
        <v>1.0499999999999989</v>
      </c>
    </row>
    <row r="21" spans="1:19" x14ac:dyDescent="0.2">
      <c r="B21" s="7" t="s">
        <v>628</v>
      </c>
      <c r="C21" s="9">
        <v>12.53</v>
      </c>
      <c r="D21" s="6">
        <v>435</v>
      </c>
      <c r="E21" s="9">
        <v>11.61</v>
      </c>
      <c r="F21" s="9">
        <v>13.53</v>
      </c>
      <c r="G21" s="40" t="s">
        <v>235</v>
      </c>
      <c r="Q21" s="7">
        <v>2000</v>
      </c>
      <c r="R21" s="11">
        <f t="shared" si="0"/>
        <v>0.91999999999999993</v>
      </c>
      <c r="S21" s="11">
        <f t="shared" si="1"/>
        <v>1</v>
      </c>
    </row>
    <row r="22" spans="1:19" x14ac:dyDescent="0.2">
      <c r="B22" s="7" t="s">
        <v>629</v>
      </c>
      <c r="C22" s="9">
        <v>12.72</v>
      </c>
      <c r="D22" s="6">
        <v>433</v>
      </c>
      <c r="E22" s="9">
        <v>11.82</v>
      </c>
      <c r="F22" s="9">
        <v>13.64</v>
      </c>
      <c r="G22" s="40" t="s">
        <v>235</v>
      </c>
      <c r="Q22" s="7">
        <v>2001</v>
      </c>
      <c r="R22" s="11">
        <f t="shared" si="0"/>
        <v>0.90000000000000036</v>
      </c>
      <c r="S22" s="11">
        <f t="shared" si="1"/>
        <v>0.91999999999999993</v>
      </c>
    </row>
    <row r="23" spans="1:19" x14ac:dyDescent="0.2">
      <c r="B23" s="7" t="s">
        <v>630</v>
      </c>
      <c r="C23" s="9">
        <v>15.41</v>
      </c>
      <c r="D23" s="6">
        <v>466</v>
      </c>
      <c r="E23" s="9">
        <v>14.41</v>
      </c>
      <c r="F23" s="9">
        <v>16.45</v>
      </c>
      <c r="G23" s="40" t="s">
        <v>235</v>
      </c>
      <c r="Q23" s="7">
        <v>2002</v>
      </c>
      <c r="R23" s="11">
        <f t="shared" si="0"/>
        <v>1</v>
      </c>
      <c r="S23" s="11">
        <f t="shared" si="1"/>
        <v>1.0399999999999991</v>
      </c>
    </row>
    <row r="24" spans="1:19" x14ac:dyDescent="0.2">
      <c r="A24" s="22"/>
      <c r="B24" s="7" t="s">
        <v>631</v>
      </c>
      <c r="C24" s="23">
        <v>16.03</v>
      </c>
      <c r="D24" s="23">
        <v>429</v>
      </c>
      <c r="E24" s="23">
        <v>15.13</v>
      </c>
      <c r="F24" s="23">
        <v>16.940000000000001</v>
      </c>
      <c r="G24" s="40" t="s">
        <v>235</v>
      </c>
      <c r="Q24" s="23">
        <v>2003</v>
      </c>
      <c r="R24" s="11">
        <f t="shared" si="0"/>
        <v>0.90000000000000036</v>
      </c>
      <c r="S24" s="11">
        <f t="shared" si="1"/>
        <v>0.91000000000000014</v>
      </c>
    </row>
    <row r="25" spans="1:19" x14ac:dyDescent="0.2">
      <c r="A25" s="22"/>
      <c r="B25" s="7" t="s">
        <v>632</v>
      </c>
      <c r="C25" s="23">
        <v>16.489999999999998</v>
      </c>
      <c r="D25" s="23">
        <v>406</v>
      </c>
      <c r="E25" s="53">
        <v>15.4</v>
      </c>
      <c r="F25" s="23">
        <v>17.66</v>
      </c>
      <c r="G25" s="40" t="s">
        <v>235</v>
      </c>
      <c r="Q25" s="23">
        <v>2004</v>
      </c>
      <c r="R25" s="11">
        <f t="shared" si="0"/>
        <v>1.0899999999999981</v>
      </c>
      <c r="S25" s="11">
        <f t="shared" si="1"/>
        <v>1.1700000000000017</v>
      </c>
    </row>
    <row r="26" spans="1:19" x14ac:dyDescent="0.2">
      <c r="A26" s="22"/>
      <c r="B26" s="7" t="s">
        <v>633</v>
      </c>
      <c r="C26" s="23">
        <v>14.82</v>
      </c>
      <c r="D26" s="23">
        <v>390</v>
      </c>
      <c r="E26" s="23">
        <v>14.16</v>
      </c>
      <c r="F26" s="53">
        <v>15.5</v>
      </c>
      <c r="G26" s="40" t="s">
        <v>235</v>
      </c>
      <c r="Q26" s="23">
        <v>2005</v>
      </c>
      <c r="R26" s="11">
        <f t="shared" si="0"/>
        <v>0.66000000000000014</v>
      </c>
      <c r="S26" s="11">
        <f t="shared" si="1"/>
        <v>0.67999999999999972</v>
      </c>
    </row>
    <row r="27" spans="1:19" x14ac:dyDescent="0.2">
      <c r="B27" s="7" t="s">
        <v>634</v>
      </c>
      <c r="C27" s="262">
        <v>18.71</v>
      </c>
      <c r="D27" s="262">
        <v>408</v>
      </c>
      <c r="E27" s="127">
        <v>17.48</v>
      </c>
      <c r="F27" s="127">
        <v>19.989999999999998</v>
      </c>
      <c r="G27" s="40" t="s">
        <v>235</v>
      </c>
      <c r="Q27" s="23">
        <v>2006</v>
      </c>
      <c r="R27" s="11">
        <f t="shared" si="0"/>
        <v>1.2300000000000004</v>
      </c>
      <c r="S27" s="11">
        <f t="shared" si="1"/>
        <v>1.2799999999999976</v>
      </c>
    </row>
    <row r="28" spans="1:19" x14ac:dyDescent="0.2">
      <c r="B28" s="7" t="s">
        <v>635</v>
      </c>
      <c r="C28" s="262">
        <v>16.420000000000002</v>
      </c>
      <c r="D28" s="262">
        <v>405</v>
      </c>
      <c r="E28" s="262">
        <v>15.71</v>
      </c>
      <c r="F28" s="127">
        <v>17.16</v>
      </c>
      <c r="G28" s="40" t="s">
        <v>235</v>
      </c>
      <c r="Q28" s="23">
        <v>2007</v>
      </c>
      <c r="R28" s="11">
        <f>C28-E28</f>
        <v>0.71000000000000085</v>
      </c>
      <c r="S28" s="11">
        <f>F28-C28</f>
        <v>0.73999999999999844</v>
      </c>
    </row>
    <row r="29" spans="1:19" x14ac:dyDescent="0.2">
      <c r="B29" s="92" t="s">
        <v>636</v>
      </c>
      <c r="C29" s="220">
        <v>15.28</v>
      </c>
      <c r="D29" s="220">
        <v>382</v>
      </c>
      <c r="E29" s="220">
        <v>14.54</v>
      </c>
      <c r="F29" s="562">
        <v>16.010000000000002</v>
      </c>
      <c r="G29" s="40" t="s">
        <v>235</v>
      </c>
      <c r="Q29" s="23">
        <v>2008</v>
      </c>
      <c r="R29" s="11">
        <f>C29-E29</f>
        <v>0.74000000000000021</v>
      </c>
      <c r="S29" s="11">
        <f>F29-C29</f>
        <v>0.7300000000000022</v>
      </c>
    </row>
    <row r="30" spans="1:19" x14ac:dyDescent="0.2">
      <c r="B30" s="262" t="s">
        <v>637</v>
      </c>
      <c r="C30" s="9">
        <v>15.535</v>
      </c>
      <c r="D30" s="7">
        <v>391</v>
      </c>
      <c r="E30" s="9">
        <v>14.515000000000001</v>
      </c>
      <c r="F30" s="9">
        <v>16.59</v>
      </c>
      <c r="G30" s="40" t="s">
        <v>235</v>
      </c>
      <c r="Q30" s="23">
        <v>2011</v>
      </c>
      <c r="R30" s="11">
        <f t="shared" ref="R30:R35" si="2">C30-E30</f>
        <v>1.0199999999999996</v>
      </c>
      <c r="S30" s="11">
        <f t="shared" ref="S30:S35" si="3">F30-C30</f>
        <v>1.0549999999999997</v>
      </c>
    </row>
    <row r="31" spans="1:19" x14ac:dyDescent="0.2">
      <c r="B31" s="262" t="s">
        <v>638</v>
      </c>
      <c r="C31" s="9">
        <v>18.440000000000001</v>
      </c>
      <c r="D31" s="7">
        <v>268</v>
      </c>
      <c r="E31" s="9">
        <v>17.170000000000002</v>
      </c>
      <c r="F31" s="9">
        <v>19.77</v>
      </c>
      <c r="G31" s="40" t="s">
        <v>235</v>
      </c>
      <c r="Q31" s="23">
        <v>2012</v>
      </c>
      <c r="R31" s="11">
        <f t="shared" si="2"/>
        <v>1.2699999999999996</v>
      </c>
      <c r="S31" s="11">
        <f t="shared" si="3"/>
        <v>1.3299999999999983</v>
      </c>
    </row>
    <row r="32" spans="1:19" x14ac:dyDescent="0.2">
      <c r="B32" s="262" t="s">
        <v>639</v>
      </c>
      <c r="C32" s="9">
        <v>17.68</v>
      </c>
      <c r="D32" s="7">
        <v>235</v>
      </c>
      <c r="E32" s="9">
        <v>16.399999999999999</v>
      </c>
      <c r="F32" s="9">
        <v>18.989999999999998</v>
      </c>
      <c r="G32" s="40" t="s">
        <v>235</v>
      </c>
      <c r="Q32" s="23">
        <v>2013</v>
      </c>
      <c r="R32" s="11">
        <f t="shared" si="2"/>
        <v>1.2800000000000011</v>
      </c>
      <c r="S32" s="11">
        <f t="shared" si="3"/>
        <v>1.3099999999999987</v>
      </c>
    </row>
    <row r="33" spans="1:19" x14ac:dyDescent="0.2">
      <c r="B33" s="262" t="s">
        <v>665</v>
      </c>
      <c r="C33" s="9">
        <v>12.59</v>
      </c>
      <c r="D33" s="7">
        <v>225</v>
      </c>
      <c r="E33" s="9">
        <v>11.61</v>
      </c>
      <c r="F33" s="9">
        <v>13.59</v>
      </c>
      <c r="G33" s="40" t="s">
        <v>235</v>
      </c>
      <c r="Q33" s="23">
        <v>2014</v>
      </c>
      <c r="R33" s="11">
        <f t="shared" si="2"/>
        <v>0.98000000000000043</v>
      </c>
      <c r="S33" s="11">
        <f t="shared" si="3"/>
        <v>1</v>
      </c>
    </row>
    <row r="34" spans="1:19" x14ac:dyDescent="0.2">
      <c r="B34" s="262" t="s">
        <v>702</v>
      </c>
      <c r="C34" s="9">
        <v>11.82</v>
      </c>
      <c r="D34" s="7">
        <v>185</v>
      </c>
      <c r="E34" s="9">
        <v>10.54</v>
      </c>
      <c r="F34" s="9">
        <v>12.75</v>
      </c>
      <c r="G34" s="40" t="s">
        <v>235</v>
      </c>
      <c r="Q34" s="23">
        <v>2015</v>
      </c>
      <c r="R34" s="11">
        <f t="shared" si="2"/>
        <v>1.2800000000000011</v>
      </c>
      <c r="S34" s="11">
        <f t="shared" si="3"/>
        <v>0.92999999999999972</v>
      </c>
    </row>
    <row r="35" spans="1:19" x14ac:dyDescent="0.2">
      <c r="B35" s="262" t="s">
        <v>705</v>
      </c>
      <c r="C35" s="9">
        <v>12.93</v>
      </c>
      <c r="D35" s="7">
        <v>243</v>
      </c>
      <c r="E35" s="9">
        <v>12.11</v>
      </c>
      <c r="F35" s="9">
        <v>13.8</v>
      </c>
      <c r="G35" s="40" t="s">
        <v>235</v>
      </c>
      <c r="Q35" s="23">
        <v>2016</v>
      </c>
      <c r="R35" s="11">
        <f t="shared" si="2"/>
        <v>0.82000000000000028</v>
      </c>
      <c r="S35" s="11">
        <f t="shared" si="3"/>
        <v>0.87000000000000099</v>
      </c>
    </row>
    <row r="36" spans="1:19" ht="13.5" thickBot="1" x14ac:dyDescent="0.25">
      <c r="B36" s="262"/>
      <c r="C36" s="619" t="s">
        <v>551</v>
      </c>
      <c r="D36" s="618">
        <f>AVERAGE(D8:D35)</f>
        <v>417.17857142857144</v>
      </c>
      <c r="R36" s="11"/>
      <c r="S36" s="11"/>
    </row>
    <row r="37" spans="1:19" ht="13.5" thickBot="1" x14ac:dyDescent="0.25">
      <c r="A37" s="100" t="s">
        <v>9</v>
      </c>
      <c r="B37" s="102"/>
      <c r="R37" s="11"/>
      <c r="S37" s="11"/>
    </row>
    <row r="38" spans="1:19" x14ac:dyDescent="0.2">
      <c r="A38" s="5"/>
      <c r="E38" t="s">
        <v>3</v>
      </c>
      <c r="R38" s="11"/>
      <c r="S38" s="11"/>
    </row>
    <row r="39" spans="1:19" ht="13.5" thickBot="1" x14ac:dyDescent="0.25">
      <c r="A39" s="3"/>
      <c r="B39" s="4" t="s">
        <v>499</v>
      </c>
      <c r="C39" s="4" t="s">
        <v>215</v>
      </c>
      <c r="D39" s="4" t="s">
        <v>5</v>
      </c>
      <c r="E39" s="4" t="s">
        <v>495</v>
      </c>
      <c r="F39" s="4" t="s">
        <v>496</v>
      </c>
      <c r="R39" s="11"/>
      <c r="S39" s="11"/>
    </row>
    <row r="40" spans="1:19" x14ac:dyDescent="0.2">
      <c r="A40" s="20" t="s">
        <v>6</v>
      </c>
      <c r="B40" s="7">
        <v>1987</v>
      </c>
      <c r="C40" s="21">
        <v>12.377090000000001</v>
      </c>
      <c r="D40" s="6">
        <v>268</v>
      </c>
      <c r="E40" s="9">
        <v>11.41827</v>
      </c>
      <c r="F40" s="9">
        <v>13.335900000000001</v>
      </c>
      <c r="G40" s="223" t="s">
        <v>344</v>
      </c>
      <c r="H40" s="11"/>
      <c r="Q40" s="7">
        <v>1987</v>
      </c>
      <c r="R40" s="11">
        <f t="shared" ref="R40:R61" si="4">C40-E40</f>
        <v>0.95882000000000112</v>
      </c>
      <c r="S40" s="11">
        <f t="shared" ref="S40:S61" si="5">F40-C40</f>
        <v>0.95880999999999972</v>
      </c>
    </row>
    <row r="41" spans="1:19" x14ac:dyDescent="0.2">
      <c r="A41" s="20" t="s">
        <v>7</v>
      </c>
      <c r="B41" s="7">
        <v>1988</v>
      </c>
      <c r="C41" s="21">
        <v>12.6861</v>
      </c>
      <c r="D41" s="6">
        <v>162</v>
      </c>
      <c r="E41" s="9">
        <v>11.40823</v>
      </c>
      <c r="F41" s="9">
        <v>13.963990000000001</v>
      </c>
      <c r="G41" s="223" t="s">
        <v>345</v>
      </c>
      <c r="H41" s="11"/>
      <c r="Q41" s="7">
        <v>1988</v>
      </c>
      <c r="R41" s="11">
        <f t="shared" si="4"/>
        <v>1.2778700000000001</v>
      </c>
      <c r="S41" s="11">
        <f t="shared" si="5"/>
        <v>1.2778900000000011</v>
      </c>
    </row>
    <row r="42" spans="1:19" x14ac:dyDescent="0.2">
      <c r="A42" s="20" t="s">
        <v>404</v>
      </c>
      <c r="B42" s="7">
        <v>1989</v>
      </c>
      <c r="C42" s="21">
        <v>17.024190000000001</v>
      </c>
      <c r="D42" s="6">
        <v>129</v>
      </c>
      <c r="E42" s="9">
        <v>15.59909</v>
      </c>
      <c r="F42" s="9">
        <v>18.449200000000001</v>
      </c>
      <c r="G42" s="223" t="s">
        <v>346</v>
      </c>
      <c r="H42" s="11"/>
      <c r="Q42" s="7">
        <v>1989</v>
      </c>
      <c r="R42" s="11">
        <f t="shared" si="4"/>
        <v>1.4251000000000005</v>
      </c>
      <c r="S42" s="11">
        <f t="shared" si="5"/>
        <v>1.4250100000000003</v>
      </c>
    </row>
    <row r="43" spans="1:19" x14ac:dyDescent="0.2">
      <c r="A43" s="20" t="s">
        <v>8</v>
      </c>
      <c r="B43" s="7">
        <v>1990</v>
      </c>
      <c r="C43" s="21">
        <v>14.6563</v>
      </c>
      <c r="D43" s="6">
        <v>233</v>
      </c>
      <c r="E43" s="9">
        <v>13.36223</v>
      </c>
      <c r="F43" s="9">
        <v>15.950390000000001</v>
      </c>
      <c r="G43" s="223" t="s">
        <v>347</v>
      </c>
      <c r="H43" s="11"/>
      <c r="Q43" s="7">
        <v>1990</v>
      </c>
      <c r="R43" s="11">
        <f t="shared" si="4"/>
        <v>1.2940699999999996</v>
      </c>
      <c r="S43" s="11">
        <f t="shared" si="5"/>
        <v>1.2940900000000006</v>
      </c>
    </row>
    <row r="44" spans="1:19" x14ac:dyDescent="0.2">
      <c r="A44" s="20"/>
      <c r="B44" s="7">
        <v>1991</v>
      </c>
      <c r="C44" s="21">
        <v>16.801939999999998</v>
      </c>
      <c r="D44" s="6">
        <v>206</v>
      </c>
      <c r="E44" s="9">
        <v>15.376200000000001</v>
      </c>
      <c r="F44" s="9">
        <v>18.227599999999999</v>
      </c>
      <c r="G44" s="223" t="s">
        <v>348</v>
      </c>
      <c r="H44" s="11"/>
      <c r="Q44" s="7">
        <v>1991</v>
      </c>
      <c r="R44" s="11">
        <f t="shared" si="4"/>
        <v>1.4257399999999976</v>
      </c>
      <c r="S44" s="11">
        <f t="shared" si="5"/>
        <v>1.4256600000000006</v>
      </c>
    </row>
    <row r="45" spans="1:19" x14ac:dyDescent="0.2">
      <c r="A45" s="20"/>
      <c r="B45" s="7">
        <v>1992</v>
      </c>
      <c r="C45" s="21">
        <v>25.54355</v>
      </c>
      <c r="D45" s="6">
        <v>200</v>
      </c>
      <c r="E45" s="9">
        <v>23.755400000000002</v>
      </c>
      <c r="F45" s="9">
        <v>27.331700000000001</v>
      </c>
      <c r="G45" s="223" t="s">
        <v>349</v>
      </c>
      <c r="H45" s="11"/>
      <c r="Q45" s="7">
        <v>1992</v>
      </c>
      <c r="R45" s="11">
        <f t="shared" si="4"/>
        <v>1.7881499999999981</v>
      </c>
      <c r="S45" s="11">
        <f t="shared" si="5"/>
        <v>1.7881500000000017</v>
      </c>
    </row>
    <row r="46" spans="1:19" x14ac:dyDescent="0.2">
      <c r="A46" s="20"/>
      <c r="B46" s="7">
        <v>1993</v>
      </c>
      <c r="C46" s="21">
        <v>20.099460000000001</v>
      </c>
      <c r="D46" s="6">
        <v>241</v>
      </c>
      <c r="E46" s="9">
        <v>18.922260000000001</v>
      </c>
      <c r="F46" s="9">
        <v>21.276599999999998</v>
      </c>
      <c r="G46" s="223" t="s">
        <v>350</v>
      </c>
      <c r="H46" s="11"/>
      <c r="Q46" s="7">
        <v>1993</v>
      </c>
      <c r="R46" s="11">
        <f t="shared" si="4"/>
        <v>1.1771999999999991</v>
      </c>
      <c r="S46" s="11">
        <f t="shared" si="5"/>
        <v>1.1771399999999979</v>
      </c>
    </row>
    <row r="47" spans="1:19" x14ac:dyDescent="0.2">
      <c r="A47" s="20"/>
      <c r="B47" s="7">
        <v>1994</v>
      </c>
      <c r="C47" s="21">
        <v>20.172899999999998</v>
      </c>
      <c r="D47" s="6">
        <v>291</v>
      </c>
      <c r="E47" s="9">
        <v>19.18336</v>
      </c>
      <c r="F47" s="9">
        <v>21.162479999999999</v>
      </c>
      <c r="G47" s="223" t="s">
        <v>351</v>
      </c>
      <c r="H47" s="11"/>
      <c r="Q47" s="7">
        <v>1994</v>
      </c>
      <c r="R47" s="11">
        <f t="shared" si="4"/>
        <v>0.98953999999999809</v>
      </c>
      <c r="S47" s="11">
        <f t="shared" si="5"/>
        <v>0.98958000000000013</v>
      </c>
    </row>
    <row r="48" spans="1:19" x14ac:dyDescent="0.2">
      <c r="A48" s="20"/>
      <c r="B48" s="7">
        <v>1995</v>
      </c>
      <c r="C48" s="21">
        <v>14.94247</v>
      </c>
      <c r="D48" s="6">
        <v>544</v>
      </c>
      <c r="E48" s="9">
        <v>14.11378</v>
      </c>
      <c r="F48" s="9">
        <v>15.77117</v>
      </c>
      <c r="G48" s="223" t="s">
        <v>352</v>
      </c>
      <c r="H48" s="11"/>
      <c r="Q48" s="7">
        <v>1995</v>
      </c>
      <c r="R48" s="11">
        <f t="shared" si="4"/>
        <v>0.82868999999999993</v>
      </c>
      <c r="S48" s="11">
        <f t="shared" si="5"/>
        <v>0.82869999999999955</v>
      </c>
    </row>
    <row r="49" spans="1:19" x14ac:dyDescent="0.2">
      <c r="A49" s="20"/>
      <c r="B49" s="7">
        <v>1996</v>
      </c>
      <c r="C49" s="9">
        <v>11.584</v>
      </c>
      <c r="D49" s="6">
        <v>343</v>
      </c>
      <c r="E49" s="9">
        <v>11.055</v>
      </c>
      <c r="F49" s="9">
        <v>12.113</v>
      </c>
      <c r="G49" s="223"/>
      <c r="Q49" s="7">
        <v>1996</v>
      </c>
      <c r="R49" s="11">
        <f t="shared" si="4"/>
        <v>0.52899999999999991</v>
      </c>
      <c r="S49" s="11">
        <f t="shared" si="5"/>
        <v>0.52899999999999991</v>
      </c>
    </row>
    <row r="50" spans="1:19" x14ac:dyDescent="0.2">
      <c r="A50" s="20"/>
      <c r="B50" s="7">
        <v>1997</v>
      </c>
      <c r="C50" s="9">
        <v>12.53</v>
      </c>
      <c r="D50" s="6">
        <v>415</v>
      </c>
      <c r="E50" s="9">
        <v>11.95</v>
      </c>
      <c r="F50" s="9">
        <v>13.12</v>
      </c>
      <c r="G50" s="40" t="s">
        <v>235</v>
      </c>
      <c r="Q50" s="7">
        <v>1997</v>
      </c>
      <c r="R50" s="11">
        <f t="shared" si="4"/>
        <v>0.58000000000000007</v>
      </c>
      <c r="S50" s="11">
        <f t="shared" si="5"/>
        <v>0.58999999999999986</v>
      </c>
    </row>
    <row r="51" spans="1:19" x14ac:dyDescent="0.2">
      <c r="B51" s="7">
        <v>1998</v>
      </c>
      <c r="C51" s="9">
        <v>8.66</v>
      </c>
      <c r="D51" s="6">
        <v>418</v>
      </c>
      <c r="E51" s="9">
        <v>8.17</v>
      </c>
      <c r="F51" s="9">
        <v>9.18</v>
      </c>
      <c r="G51" s="40" t="s">
        <v>235</v>
      </c>
      <c r="Q51" s="7">
        <v>1998</v>
      </c>
      <c r="R51" s="11">
        <f t="shared" si="4"/>
        <v>0.49000000000000021</v>
      </c>
      <c r="S51" s="11">
        <f t="shared" si="5"/>
        <v>0.51999999999999957</v>
      </c>
    </row>
    <row r="52" spans="1:19" x14ac:dyDescent="0.2">
      <c r="B52" s="7">
        <v>1999</v>
      </c>
      <c r="C52" s="9">
        <v>12.37</v>
      </c>
      <c r="D52" s="6">
        <v>395</v>
      </c>
      <c r="E52" s="9">
        <v>11.77</v>
      </c>
      <c r="F52" s="9">
        <v>12.97</v>
      </c>
      <c r="G52" s="40" t="s">
        <v>235</v>
      </c>
      <c r="Q52" s="7">
        <v>1999</v>
      </c>
      <c r="R52" s="11">
        <f t="shared" si="4"/>
        <v>0.59999999999999964</v>
      </c>
      <c r="S52" s="11">
        <f t="shared" si="5"/>
        <v>0.60000000000000142</v>
      </c>
    </row>
    <row r="53" spans="1:19" x14ac:dyDescent="0.2">
      <c r="B53" s="7">
        <v>2000</v>
      </c>
      <c r="C53" s="9">
        <v>17.43</v>
      </c>
      <c r="D53" s="6">
        <v>477</v>
      </c>
      <c r="E53" s="9">
        <v>16.739999999999998</v>
      </c>
      <c r="F53" s="9">
        <v>18.170000000000002</v>
      </c>
      <c r="G53" s="40" t="s">
        <v>235</v>
      </c>
      <c r="Q53" s="7">
        <v>2000</v>
      </c>
      <c r="R53" s="11">
        <f t="shared" si="4"/>
        <v>0.69000000000000128</v>
      </c>
      <c r="S53" s="11">
        <f t="shared" si="5"/>
        <v>0.74000000000000199</v>
      </c>
    </row>
    <row r="54" spans="1:19" x14ac:dyDescent="0.2">
      <c r="B54" s="7">
        <v>2001</v>
      </c>
      <c r="C54" s="9">
        <v>17.93</v>
      </c>
      <c r="D54" s="6">
        <v>433</v>
      </c>
      <c r="E54" s="9">
        <v>17.2</v>
      </c>
      <c r="F54" s="9">
        <v>18.64</v>
      </c>
      <c r="G54" s="40" t="s">
        <v>235</v>
      </c>
      <c r="Q54" s="7">
        <v>2001</v>
      </c>
      <c r="R54" s="11">
        <f t="shared" si="4"/>
        <v>0.73000000000000043</v>
      </c>
      <c r="S54" s="11">
        <f t="shared" si="5"/>
        <v>0.71000000000000085</v>
      </c>
    </row>
    <row r="55" spans="1:19" x14ac:dyDescent="0.2">
      <c r="B55" s="7">
        <v>2002</v>
      </c>
      <c r="C55" s="9">
        <v>15.79</v>
      </c>
      <c r="D55" s="6">
        <v>406</v>
      </c>
      <c r="E55" s="9">
        <v>15.01</v>
      </c>
      <c r="F55" s="9">
        <v>16.59</v>
      </c>
      <c r="G55" s="40" t="s">
        <v>235</v>
      </c>
      <c r="Q55" s="7">
        <v>2002</v>
      </c>
      <c r="R55" s="11">
        <f t="shared" si="4"/>
        <v>0.77999999999999936</v>
      </c>
      <c r="S55" s="11">
        <f t="shared" si="5"/>
        <v>0.80000000000000071</v>
      </c>
    </row>
    <row r="56" spans="1:19" x14ac:dyDescent="0.2">
      <c r="A56" s="22"/>
      <c r="B56" s="23">
        <v>2003</v>
      </c>
      <c r="C56" s="23">
        <v>13.07</v>
      </c>
      <c r="D56" s="23">
        <v>290</v>
      </c>
      <c r="E56" s="23">
        <v>12.56</v>
      </c>
      <c r="F56" s="23">
        <v>13.62</v>
      </c>
      <c r="G56" s="40" t="s">
        <v>235</v>
      </c>
      <c r="Q56" s="23">
        <v>2003</v>
      </c>
      <c r="R56" s="11">
        <f t="shared" si="4"/>
        <v>0.50999999999999979</v>
      </c>
      <c r="S56" s="11">
        <f t="shared" si="5"/>
        <v>0.54999999999999893</v>
      </c>
    </row>
    <row r="57" spans="1:19" x14ac:dyDescent="0.2">
      <c r="A57" s="22"/>
      <c r="B57" s="23">
        <v>2004</v>
      </c>
      <c r="C57" s="23">
        <v>11.28</v>
      </c>
      <c r="D57" s="23">
        <v>401</v>
      </c>
      <c r="E57" s="23">
        <v>10.81</v>
      </c>
      <c r="F57" s="23">
        <v>11.76</v>
      </c>
      <c r="G57" s="40" t="s">
        <v>235</v>
      </c>
      <c r="Q57" s="23">
        <v>2004</v>
      </c>
      <c r="R57" s="11">
        <f t="shared" si="4"/>
        <v>0.46999999999999886</v>
      </c>
      <c r="S57" s="11">
        <f t="shared" si="5"/>
        <v>0.48000000000000043</v>
      </c>
    </row>
    <row r="58" spans="1:19" x14ac:dyDescent="0.2">
      <c r="A58" s="22"/>
      <c r="B58" s="23">
        <v>2005</v>
      </c>
      <c r="C58" s="23">
        <v>18.350000000000001</v>
      </c>
      <c r="D58" s="23">
        <v>371</v>
      </c>
      <c r="E58" s="53">
        <v>17.600000000000001</v>
      </c>
      <c r="F58" s="23">
        <v>19.170000000000002</v>
      </c>
      <c r="G58" s="40" t="s">
        <v>235</v>
      </c>
      <c r="Q58" s="23">
        <v>2005</v>
      </c>
      <c r="R58" s="11">
        <f t="shared" si="4"/>
        <v>0.75</v>
      </c>
      <c r="S58" s="11">
        <f t="shared" si="5"/>
        <v>0.82000000000000028</v>
      </c>
    </row>
    <row r="59" spans="1:19" x14ac:dyDescent="0.2">
      <c r="B59" s="262">
        <v>2006</v>
      </c>
      <c r="C59" s="262">
        <v>14.98</v>
      </c>
      <c r="D59" s="262">
        <v>430</v>
      </c>
      <c r="E59" s="127">
        <v>14.3</v>
      </c>
      <c r="F59" s="262">
        <v>15.71</v>
      </c>
      <c r="G59" s="40" t="s">
        <v>235</v>
      </c>
      <c r="Q59" s="262">
        <v>2006</v>
      </c>
      <c r="R59" s="11">
        <f t="shared" si="4"/>
        <v>0.67999999999999972</v>
      </c>
      <c r="S59" s="11">
        <f t="shared" si="5"/>
        <v>0.73000000000000043</v>
      </c>
    </row>
    <row r="60" spans="1:19" x14ac:dyDescent="0.2">
      <c r="B60" s="262">
        <v>2007</v>
      </c>
      <c r="C60" s="262">
        <v>21.63</v>
      </c>
      <c r="D60" s="262">
        <v>333</v>
      </c>
      <c r="E60" s="127">
        <v>20.99</v>
      </c>
      <c r="F60" s="262">
        <v>22.26</v>
      </c>
      <c r="Q60" s="262">
        <v>2007</v>
      </c>
      <c r="R60" s="11">
        <f t="shared" si="4"/>
        <v>0.64000000000000057</v>
      </c>
      <c r="S60" s="11">
        <f t="shared" si="5"/>
        <v>0.63000000000000256</v>
      </c>
    </row>
    <row r="61" spans="1:19" x14ac:dyDescent="0.2">
      <c r="B61" s="220">
        <v>2008</v>
      </c>
      <c r="C61" s="220">
        <v>20.62</v>
      </c>
      <c r="D61" s="220">
        <v>381</v>
      </c>
      <c r="E61" s="562">
        <v>19.95</v>
      </c>
      <c r="F61" s="220">
        <v>21.32</v>
      </c>
      <c r="Q61" s="23">
        <v>2008</v>
      </c>
      <c r="R61" s="11">
        <f t="shared" si="4"/>
        <v>0.67000000000000171</v>
      </c>
      <c r="S61" s="11">
        <f t="shared" si="5"/>
        <v>0.69999999999999929</v>
      </c>
    </row>
    <row r="62" spans="1:19" x14ac:dyDescent="0.2">
      <c r="B62" s="262">
        <v>2011</v>
      </c>
      <c r="C62" s="262">
        <v>14.555</v>
      </c>
      <c r="D62" s="262">
        <v>444</v>
      </c>
      <c r="E62" s="262">
        <v>13.504999999999999</v>
      </c>
      <c r="F62" s="127">
        <v>15.645</v>
      </c>
      <c r="Q62" s="23">
        <v>2011</v>
      </c>
      <c r="R62" s="11">
        <f t="shared" ref="R62:R63" si="6">C62-E62</f>
        <v>1.0500000000000007</v>
      </c>
      <c r="S62" s="11">
        <f t="shared" ref="S62:S63" si="7">F62-C62</f>
        <v>1.0899999999999999</v>
      </c>
    </row>
    <row r="63" spans="1:19" x14ac:dyDescent="0.2">
      <c r="B63" s="262">
        <v>2012</v>
      </c>
      <c r="C63" s="262">
        <v>16.02</v>
      </c>
      <c r="D63" s="262">
        <v>222</v>
      </c>
      <c r="E63" s="262">
        <v>15.03</v>
      </c>
      <c r="F63" s="127">
        <v>17.04</v>
      </c>
      <c r="Q63" s="23">
        <v>2012</v>
      </c>
      <c r="R63" s="11">
        <f t="shared" si="6"/>
        <v>0.99000000000000021</v>
      </c>
      <c r="S63" s="11">
        <f t="shared" si="7"/>
        <v>1.0199999999999996</v>
      </c>
    </row>
    <row r="64" spans="1:19" x14ac:dyDescent="0.2">
      <c r="B64" s="262">
        <v>2013</v>
      </c>
      <c r="C64" s="262">
        <v>15.77</v>
      </c>
      <c r="D64" s="262">
        <v>229</v>
      </c>
      <c r="E64" s="262">
        <v>14.87</v>
      </c>
      <c r="F64" s="127">
        <v>16.66</v>
      </c>
      <c r="Q64" s="23">
        <v>2013</v>
      </c>
      <c r="R64" s="11">
        <f t="shared" ref="R64:R67" si="8">C64-E64</f>
        <v>0.90000000000000036</v>
      </c>
      <c r="S64" s="11">
        <f t="shared" ref="S64:S67" si="9">F64-C64</f>
        <v>0.89000000000000057</v>
      </c>
    </row>
    <row r="65" spans="2:19" x14ac:dyDescent="0.2">
      <c r="B65" s="262">
        <v>2014</v>
      </c>
      <c r="C65" s="262">
        <v>7.01</v>
      </c>
      <c r="D65" s="262">
        <v>230</v>
      </c>
      <c r="E65" s="262">
        <v>6.33</v>
      </c>
      <c r="F65" s="127">
        <v>7.72</v>
      </c>
      <c r="Q65" s="23">
        <v>2014</v>
      </c>
      <c r="R65" s="11">
        <f t="shared" si="8"/>
        <v>0.67999999999999972</v>
      </c>
      <c r="S65" s="11">
        <f t="shared" si="9"/>
        <v>0.71</v>
      </c>
    </row>
    <row r="66" spans="2:19" x14ac:dyDescent="0.2">
      <c r="B66" s="262">
        <v>2015</v>
      </c>
      <c r="C66" s="262">
        <v>11.29</v>
      </c>
      <c r="D66" s="262">
        <v>199</v>
      </c>
      <c r="E66" s="262">
        <v>10.43</v>
      </c>
      <c r="F66" s="127">
        <v>12.17</v>
      </c>
      <c r="Q66" s="23">
        <v>2015</v>
      </c>
      <c r="R66" s="11">
        <f t="shared" si="8"/>
        <v>0.85999999999999943</v>
      </c>
      <c r="S66" s="11">
        <f t="shared" si="9"/>
        <v>0.88000000000000078</v>
      </c>
    </row>
    <row r="67" spans="2:19" x14ac:dyDescent="0.2">
      <c r="B67" s="262">
        <v>2016</v>
      </c>
      <c r="C67" s="262">
        <v>15.86</v>
      </c>
      <c r="D67" s="262">
        <v>239</v>
      </c>
      <c r="E67" s="262">
        <v>15.09</v>
      </c>
      <c r="F67" s="127">
        <v>16.64</v>
      </c>
      <c r="Q67" s="23">
        <v>2016</v>
      </c>
      <c r="R67" s="11">
        <f t="shared" si="8"/>
        <v>0.76999999999999957</v>
      </c>
      <c r="S67" s="11">
        <f t="shared" si="9"/>
        <v>0.78000000000000114</v>
      </c>
    </row>
    <row r="68" spans="2:19" x14ac:dyDescent="0.2">
      <c r="C68" s="619" t="s">
        <v>551</v>
      </c>
      <c r="D68" s="618">
        <f>AVERAGE(D40:D67)</f>
        <v>318.92857142857144</v>
      </c>
      <c r="Q68" s="262"/>
      <c r="R68" s="11"/>
      <c r="S68" s="11"/>
    </row>
  </sheetData>
  <phoneticPr fontId="0" type="noConversion"/>
  <printOptions gridLines="1"/>
  <pageMargins left="0.75" right="0.75" top="1" bottom="1" header="0.5" footer="0.5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 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6"/>
  <sheetViews>
    <sheetView topLeftCell="C1" zoomScaleNormal="100" workbookViewId="0">
      <pane ySplit="5" topLeftCell="A6" activePane="bottomLeft" state="frozenSplit"/>
      <selection pane="bottomLeft" activeCell="AA27" sqref="AA27"/>
    </sheetView>
  </sheetViews>
  <sheetFormatPr defaultRowHeight="12.75" x14ac:dyDescent="0.2"/>
  <cols>
    <col min="1" max="1" width="7.28515625" customWidth="1"/>
    <col min="2" max="2" width="12.5703125" customWidth="1"/>
    <col min="6" max="6" width="12.140625" customWidth="1"/>
    <col min="10" max="11" width="9.140625" style="7"/>
    <col min="12" max="12" width="11.42578125" customWidth="1"/>
  </cols>
  <sheetData>
    <row r="1" spans="1:12" ht="16.5" thickBot="1" x14ac:dyDescent="0.3">
      <c r="A1" s="322" t="s">
        <v>428</v>
      </c>
      <c r="B1" s="96"/>
      <c r="C1" s="96"/>
      <c r="D1" s="96"/>
      <c r="E1" s="97"/>
      <c r="F1" s="96"/>
      <c r="G1" s="97"/>
    </row>
    <row r="2" spans="1:12" x14ac:dyDescent="0.2">
      <c r="A2" s="37" t="s">
        <v>453</v>
      </c>
    </row>
    <row r="3" spans="1:12" x14ac:dyDescent="0.2">
      <c r="A3" s="37" t="s">
        <v>454</v>
      </c>
    </row>
    <row r="5" spans="1:12" ht="54" customHeight="1" x14ac:dyDescent="0.2">
      <c r="A5" s="276" t="s">
        <v>75</v>
      </c>
      <c r="B5" s="275" t="s">
        <v>421</v>
      </c>
      <c r="C5" s="275" t="s">
        <v>420</v>
      </c>
      <c r="D5" s="275" t="s">
        <v>422</v>
      </c>
      <c r="E5" s="275" t="s">
        <v>423</v>
      </c>
      <c r="F5" s="275" t="s">
        <v>424</v>
      </c>
      <c r="G5" s="275" t="s">
        <v>425</v>
      </c>
      <c r="H5" s="275" t="s">
        <v>426</v>
      </c>
      <c r="I5" s="283" t="s">
        <v>427</v>
      </c>
      <c r="J5" s="284" t="s">
        <v>429</v>
      </c>
      <c r="K5" s="285" t="s">
        <v>430</v>
      </c>
      <c r="L5" s="406" t="s">
        <v>539</v>
      </c>
    </row>
    <row r="6" spans="1:12" x14ac:dyDescent="0.2">
      <c r="A6" s="274" t="s">
        <v>431</v>
      </c>
      <c r="B6" s="277">
        <v>561</v>
      </c>
      <c r="C6" s="277">
        <v>810</v>
      </c>
      <c r="D6" s="277">
        <v>1765</v>
      </c>
      <c r="E6" s="277">
        <v>53</v>
      </c>
      <c r="F6" s="278">
        <v>2.7025000000000001</v>
      </c>
      <c r="G6" s="278">
        <v>0.45169999999999999</v>
      </c>
      <c r="H6" s="278">
        <v>1.82</v>
      </c>
      <c r="I6" s="278">
        <v>3.59</v>
      </c>
      <c r="J6" s="9">
        <f>F6-H6</f>
        <v>0.88250000000000006</v>
      </c>
      <c r="K6" s="9">
        <f>I6-F6</f>
        <v>0.88749999999999973</v>
      </c>
      <c r="L6" s="258">
        <f>F7/F6</f>
        <v>1.559185938945421</v>
      </c>
    </row>
    <row r="7" spans="1:12" x14ac:dyDescent="0.2">
      <c r="A7" s="274" t="s">
        <v>432</v>
      </c>
      <c r="B7" s="277">
        <v>609</v>
      </c>
      <c r="C7" s="277">
        <v>747</v>
      </c>
      <c r="D7" s="277">
        <v>2128</v>
      </c>
      <c r="E7" s="277">
        <v>95</v>
      </c>
      <c r="F7" s="278">
        <v>4.2137000000000002</v>
      </c>
      <c r="G7" s="278">
        <v>0.54490000000000005</v>
      </c>
      <c r="H7" s="278">
        <v>3.14</v>
      </c>
      <c r="I7" s="278">
        <v>5.28</v>
      </c>
      <c r="J7" s="9">
        <f t="shared" ref="J7:J26" si="0">F7-H7</f>
        <v>1.0737000000000001</v>
      </c>
      <c r="K7" s="9">
        <f t="shared" ref="K7:K26" si="1">I7-F7</f>
        <v>1.0663</v>
      </c>
      <c r="L7" s="258">
        <f t="shared" ref="L7:L36" si="2">F8/F7</f>
        <v>1.8345159835773786</v>
      </c>
    </row>
    <row r="8" spans="1:12" x14ac:dyDescent="0.2">
      <c r="A8" s="274" t="s">
        <v>433</v>
      </c>
      <c r="B8" s="277">
        <v>225</v>
      </c>
      <c r="C8" s="277">
        <v>278</v>
      </c>
      <c r="D8" s="277">
        <v>780.5</v>
      </c>
      <c r="E8" s="277">
        <v>69</v>
      </c>
      <c r="F8" s="278">
        <v>7.7301000000000002</v>
      </c>
      <c r="G8" s="278">
        <v>1.4408000000000001</v>
      </c>
      <c r="H8" s="278">
        <v>4.8899999999999997</v>
      </c>
      <c r="I8" s="278">
        <v>10.57</v>
      </c>
      <c r="J8" s="9">
        <f t="shared" si="0"/>
        <v>2.8401000000000005</v>
      </c>
      <c r="K8" s="9">
        <f t="shared" si="1"/>
        <v>2.8399000000000001</v>
      </c>
      <c r="L8" s="258">
        <f t="shared" si="2"/>
        <v>2.3976533291936715</v>
      </c>
    </row>
    <row r="9" spans="1:12" x14ac:dyDescent="0.2">
      <c r="A9" s="274" t="s">
        <v>434</v>
      </c>
      <c r="B9" s="277">
        <v>378</v>
      </c>
      <c r="C9" s="277">
        <v>418</v>
      </c>
      <c r="D9" s="277">
        <v>1307.5</v>
      </c>
      <c r="E9" s="277">
        <v>262</v>
      </c>
      <c r="F9" s="278">
        <v>18.534099999999999</v>
      </c>
      <c r="G9" s="278">
        <v>2.1739999999999999</v>
      </c>
      <c r="H9" s="278">
        <v>14.26</v>
      </c>
      <c r="I9" s="278">
        <v>22.81</v>
      </c>
      <c r="J9" s="9">
        <f t="shared" si="0"/>
        <v>4.2740999999999989</v>
      </c>
      <c r="K9" s="9">
        <f t="shared" si="1"/>
        <v>4.2759</v>
      </c>
      <c r="L9" s="258">
        <f t="shared" si="2"/>
        <v>1.0951273598394311</v>
      </c>
    </row>
    <row r="10" spans="1:12" x14ac:dyDescent="0.2">
      <c r="A10" s="274" t="s">
        <v>435</v>
      </c>
      <c r="B10" s="277">
        <v>368</v>
      </c>
      <c r="C10" s="277">
        <v>386</v>
      </c>
      <c r="D10" s="277">
        <v>1177.5</v>
      </c>
      <c r="E10" s="277">
        <v>253</v>
      </c>
      <c r="F10" s="278">
        <v>20.2972</v>
      </c>
      <c r="G10" s="278">
        <v>2.8464</v>
      </c>
      <c r="H10" s="278">
        <v>14.7</v>
      </c>
      <c r="I10" s="278">
        <v>25.89</v>
      </c>
      <c r="J10" s="9">
        <f t="shared" si="0"/>
        <v>5.5972000000000008</v>
      </c>
      <c r="K10" s="9">
        <f t="shared" si="1"/>
        <v>5.5928000000000004</v>
      </c>
      <c r="L10" s="405">
        <f t="shared" si="2"/>
        <v>0.19233687405159333</v>
      </c>
    </row>
    <row r="11" spans="1:12" x14ac:dyDescent="0.2">
      <c r="A11" s="274" t="s">
        <v>436</v>
      </c>
      <c r="B11" s="277">
        <v>277</v>
      </c>
      <c r="C11" s="277">
        <v>374</v>
      </c>
      <c r="D11" s="277">
        <v>888</v>
      </c>
      <c r="E11" s="277">
        <v>42</v>
      </c>
      <c r="F11" s="278">
        <v>3.9039000000000001</v>
      </c>
      <c r="G11" s="278">
        <v>0.91410000000000002</v>
      </c>
      <c r="H11" s="278">
        <v>2.1</v>
      </c>
      <c r="I11" s="278">
        <v>5.7</v>
      </c>
      <c r="J11" s="9">
        <f t="shared" si="0"/>
        <v>1.8039000000000001</v>
      </c>
      <c r="K11" s="9">
        <f t="shared" si="1"/>
        <v>1.7961</v>
      </c>
      <c r="L11" s="405">
        <f t="shared" si="2"/>
        <v>0.15051615051615053</v>
      </c>
    </row>
    <row r="12" spans="1:12" x14ac:dyDescent="0.2">
      <c r="A12" s="274" t="s">
        <v>437</v>
      </c>
      <c r="B12" s="277">
        <v>286</v>
      </c>
      <c r="C12" s="277">
        <v>401</v>
      </c>
      <c r="D12" s="277">
        <v>978.5</v>
      </c>
      <c r="E12" s="277">
        <v>10</v>
      </c>
      <c r="F12" s="278">
        <v>0.58760000000000001</v>
      </c>
      <c r="G12" s="278">
        <v>0.25559999999999999</v>
      </c>
      <c r="H12" s="278">
        <v>0.08</v>
      </c>
      <c r="I12" s="278">
        <v>1.0900000000000001</v>
      </c>
      <c r="J12" s="9">
        <f t="shared" si="0"/>
        <v>0.50760000000000005</v>
      </c>
      <c r="K12" s="9">
        <f t="shared" si="1"/>
        <v>0.50240000000000007</v>
      </c>
      <c r="L12" s="405">
        <f t="shared" si="2"/>
        <v>11.789482641252553</v>
      </c>
    </row>
    <row r="13" spans="1:12" x14ac:dyDescent="0.2">
      <c r="A13" s="274" t="s">
        <v>438</v>
      </c>
      <c r="B13" s="277">
        <v>244</v>
      </c>
      <c r="C13" s="277">
        <v>267</v>
      </c>
      <c r="D13" s="277">
        <v>779.5</v>
      </c>
      <c r="E13" s="277">
        <v>66</v>
      </c>
      <c r="F13" s="278">
        <v>6.9275000000000002</v>
      </c>
      <c r="G13" s="278">
        <v>1.6296999999999999</v>
      </c>
      <c r="H13" s="278">
        <v>3.72</v>
      </c>
      <c r="I13" s="278">
        <v>10.130000000000001</v>
      </c>
      <c r="J13" s="9">
        <f t="shared" si="0"/>
        <v>3.2075</v>
      </c>
      <c r="K13" s="9">
        <f t="shared" si="1"/>
        <v>3.2025000000000006</v>
      </c>
      <c r="L13" s="258">
        <f t="shared" si="2"/>
        <v>2.5133742331288342</v>
      </c>
    </row>
    <row r="14" spans="1:12" x14ac:dyDescent="0.2">
      <c r="A14" s="274" t="s">
        <v>439</v>
      </c>
      <c r="B14" s="277">
        <v>204</v>
      </c>
      <c r="C14" s="277">
        <v>269</v>
      </c>
      <c r="D14" s="277">
        <v>649</v>
      </c>
      <c r="E14" s="277">
        <v>129</v>
      </c>
      <c r="F14" s="278">
        <v>17.4114</v>
      </c>
      <c r="G14" s="278">
        <v>2.9662000000000002</v>
      </c>
      <c r="H14" s="278">
        <v>11.57</v>
      </c>
      <c r="I14" s="278">
        <v>23.25</v>
      </c>
      <c r="J14" s="9">
        <f t="shared" si="0"/>
        <v>5.8414000000000001</v>
      </c>
      <c r="K14" s="9">
        <f t="shared" si="1"/>
        <v>5.8385999999999996</v>
      </c>
      <c r="L14" s="258">
        <f t="shared" si="2"/>
        <v>1.9284262035218305</v>
      </c>
    </row>
    <row r="15" spans="1:12" x14ac:dyDescent="0.2">
      <c r="A15" s="274" t="s">
        <v>440</v>
      </c>
      <c r="B15" s="277">
        <v>133</v>
      </c>
      <c r="C15" s="277">
        <v>133</v>
      </c>
      <c r="D15" s="277">
        <v>411</v>
      </c>
      <c r="E15" s="277">
        <v>138</v>
      </c>
      <c r="F15" s="278">
        <v>33.576599999999999</v>
      </c>
      <c r="G15" s="278">
        <v>5.9669999999999996</v>
      </c>
      <c r="H15" s="278">
        <v>21.79</v>
      </c>
      <c r="I15" s="278">
        <v>45.37</v>
      </c>
      <c r="J15" s="9">
        <f t="shared" si="0"/>
        <v>11.7866</v>
      </c>
      <c r="K15" s="9">
        <f t="shared" si="1"/>
        <v>11.793399999999998</v>
      </c>
      <c r="L15" s="258">
        <f t="shared" si="2"/>
        <v>1.1744190894849389</v>
      </c>
    </row>
    <row r="16" spans="1:12" x14ac:dyDescent="0.2">
      <c r="A16" s="274" t="s">
        <v>441</v>
      </c>
      <c r="B16" s="277">
        <v>120</v>
      </c>
      <c r="C16" s="277">
        <v>120</v>
      </c>
      <c r="D16" s="277">
        <v>388</v>
      </c>
      <c r="E16" s="277">
        <v>153</v>
      </c>
      <c r="F16" s="278">
        <v>39.433</v>
      </c>
      <c r="G16" s="278">
        <v>6.6787000000000001</v>
      </c>
      <c r="H16" s="278">
        <v>26.24</v>
      </c>
      <c r="I16" s="278">
        <v>52.63</v>
      </c>
      <c r="J16" s="9">
        <f t="shared" si="0"/>
        <v>13.193000000000001</v>
      </c>
      <c r="K16" s="9">
        <f t="shared" si="1"/>
        <v>13.197000000000003</v>
      </c>
      <c r="L16" s="405">
        <f t="shared" si="2"/>
        <v>0.86385768265158636</v>
      </c>
    </row>
    <row r="17" spans="1:14" x14ac:dyDescent="0.2">
      <c r="A17" s="274" t="s">
        <v>442</v>
      </c>
      <c r="B17" s="277">
        <v>105</v>
      </c>
      <c r="C17" s="277">
        <v>197</v>
      </c>
      <c r="D17" s="277">
        <v>349.5</v>
      </c>
      <c r="E17" s="277">
        <v>166</v>
      </c>
      <c r="F17" s="278">
        <v>34.064500000000002</v>
      </c>
      <c r="G17" s="278">
        <v>6.0674000000000001</v>
      </c>
      <c r="H17" s="278">
        <v>22.08</v>
      </c>
      <c r="I17" s="278">
        <v>46.05</v>
      </c>
      <c r="J17" s="9">
        <f t="shared" si="0"/>
        <v>11.984500000000004</v>
      </c>
      <c r="K17" s="9">
        <f t="shared" si="1"/>
        <v>11.985499999999995</v>
      </c>
      <c r="L17" s="405">
        <f t="shared" si="2"/>
        <v>1.2234496323151667</v>
      </c>
    </row>
    <row r="18" spans="1:14" x14ac:dyDescent="0.2">
      <c r="A18" s="274" t="s">
        <v>443</v>
      </c>
      <c r="B18" s="277">
        <v>135</v>
      </c>
      <c r="C18" s="277">
        <v>168</v>
      </c>
      <c r="D18" s="277">
        <v>435.5</v>
      </c>
      <c r="E18" s="277">
        <v>233</v>
      </c>
      <c r="F18" s="278">
        <v>41.676200000000001</v>
      </c>
      <c r="G18" s="278">
        <v>7.0830000000000002</v>
      </c>
      <c r="H18" s="278">
        <v>27.68</v>
      </c>
      <c r="I18" s="278">
        <v>55.67</v>
      </c>
      <c r="J18" s="9">
        <f t="shared" si="0"/>
        <v>13.996200000000002</v>
      </c>
      <c r="K18" s="9">
        <f t="shared" si="1"/>
        <v>13.9938</v>
      </c>
      <c r="L18" s="405">
        <f t="shared" si="2"/>
        <v>5.8940114501801984E-2</v>
      </c>
    </row>
    <row r="19" spans="1:14" x14ac:dyDescent="0.2">
      <c r="A19" s="274" t="s">
        <v>444</v>
      </c>
      <c r="B19" s="277">
        <v>229</v>
      </c>
      <c r="C19" s="277">
        <v>372</v>
      </c>
      <c r="D19" s="277">
        <v>821</v>
      </c>
      <c r="E19" s="277">
        <v>31</v>
      </c>
      <c r="F19" s="278">
        <v>2.4563999999999999</v>
      </c>
      <c r="G19" s="278">
        <v>0.65769999999999995</v>
      </c>
      <c r="H19" s="278">
        <v>1.1599999999999999</v>
      </c>
      <c r="I19" s="278">
        <v>3.75</v>
      </c>
      <c r="J19" s="9">
        <f t="shared" si="0"/>
        <v>1.2964</v>
      </c>
      <c r="K19" s="9">
        <f t="shared" si="1"/>
        <v>1.2936000000000001</v>
      </c>
      <c r="L19" s="405">
        <f t="shared" si="2"/>
        <v>5.3506350757205672</v>
      </c>
    </row>
    <row r="20" spans="1:14" x14ac:dyDescent="0.2">
      <c r="A20" s="279" t="s">
        <v>445</v>
      </c>
      <c r="B20" s="277">
        <v>120</v>
      </c>
      <c r="C20" s="277">
        <v>255</v>
      </c>
      <c r="D20" s="277">
        <v>421</v>
      </c>
      <c r="E20" s="277">
        <v>117</v>
      </c>
      <c r="F20" s="278">
        <v>13.1433</v>
      </c>
      <c r="G20" s="278">
        <v>3.5426000000000002</v>
      </c>
      <c r="H20" s="278">
        <v>6.14</v>
      </c>
      <c r="I20" s="278">
        <v>20.14</v>
      </c>
      <c r="J20" s="9">
        <f t="shared" si="0"/>
        <v>7.0033000000000003</v>
      </c>
      <c r="K20" s="9">
        <f t="shared" si="1"/>
        <v>6.9967000000000006</v>
      </c>
      <c r="L20" s="405">
        <f t="shared" si="2"/>
        <v>0.45443686136662786</v>
      </c>
    </row>
    <row r="21" spans="1:14" x14ac:dyDescent="0.2">
      <c r="A21" s="279" t="s">
        <v>446</v>
      </c>
      <c r="B21" s="277">
        <v>133</v>
      </c>
      <c r="C21" s="277">
        <v>311</v>
      </c>
      <c r="D21" s="277">
        <v>466</v>
      </c>
      <c r="E21" s="277">
        <v>68</v>
      </c>
      <c r="F21" s="278">
        <v>5.9728000000000003</v>
      </c>
      <c r="G21" s="278">
        <v>1.1203000000000001</v>
      </c>
      <c r="H21" s="278">
        <v>3.76</v>
      </c>
      <c r="I21" s="278">
        <v>8.19</v>
      </c>
      <c r="J21" s="9">
        <f t="shared" si="0"/>
        <v>2.2128000000000005</v>
      </c>
      <c r="K21" s="9">
        <f t="shared" si="1"/>
        <v>2.2171999999999992</v>
      </c>
      <c r="L21" s="405">
        <f t="shared" si="2"/>
        <v>0.74452518081971608</v>
      </c>
    </row>
    <row r="22" spans="1:14" x14ac:dyDescent="0.2">
      <c r="A22" s="279" t="s">
        <v>447</v>
      </c>
      <c r="B22" s="277">
        <v>132</v>
      </c>
      <c r="C22" s="277">
        <v>274</v>
      </c>
      <c r="D22" s="277">
        <v>446</v>
      </c>
      <c r="E22" s="277">
        <v>39</v>
      </c>
      <c r="F22" s="278">
        <v>4.4469000000000003</v>
      </c>
      <c r="G22" s="278">
        <v>1.2181</v>
      </c>
      <c r="H22" s="278">
        <v>2.04</v>
      </c>
      <c r="I22" s="278">
        <v>6.85</v>
      </c>
      <c r="J22" s="9">
        <f t="shared" si="0"/>
        <v>2.4069000000000003</v>
      </c>
      <c r="K22" s="9">
        <f t="shared" si="1"/>
        <v>2.4030999999999993</v>
      </c>
      <c r="L22" s="258">
        <f t="shared" si="2"/>
        <v>1.3706177337021295</v>
      </c>
    </row>
    <row r="23" spans="1:14" x14ac:dyDescent="0.2">
      <c r="A23" s="279" t="s">
        <v>448</v>
      </c>
      <c r="B23" s="277">
        <v>140</v>
      </c>
      <c r="C23" s="277">
        <v>289</v>
      </c>
      <c r="D23" s="277">
        <v>484</v>
      </c>
      <c r="E23" s="277">
        <v>58</v>
      </c>
      <c r="F23" s="278">
        <v>6.0949999999999998</v>
      </c>
      <c r="G23" s="278">
        <v>1.2091000000000001</v>
      </c>
      <c r="H23" s="278">
        <v>3.71</v>
      </c>
      <c r="I23" s="278">
        <v>8.48</v>
      </c>
      <c r="J23" s="9">
        <f t="shared" si="0"/>
        <v>2.3849999999999998</v>
      </c>
      <c r="K23" s="9">
        <f t="shared" si="1"/>
        <v>2.3850000000000007</v>
      </c>
      <c r="L23" s="258">
        <f t="shared" si="2"/>
        <v>1.6079901558654637</v>
      </c>
    </row>
    <row r="24" spans="1:14" x14ac:dyDescent="0.2">
      <c r="A24" s="279" t="s">
        <v>449</v>
      </c>
      <c r="B24" s="277">
        <v>86</v>
      </c>
      <c r="C24" s="277">
        <v>135</v>
      </c>
      <c r="D24" s="277">
        <v>301</v>
      </c>
      <c r="E24" s="277">
        <v>47</v>
      </c>
      <c r="F24" s="278">
        <v>9.8007000000000009</v>
      </c>
      <c r="G24" s="278">
        <v>2.6057000000000001</v>
      </c>
      <c r="H24" s="278">
        <v>4.63</v>
      </c>
      <c r="I24" s="278">
        <v>14.97</v>
      </c>
      <c r="J24" s="9">
        <f t="shared" si="0"/>
        <v>5.170700000000001</v>
      </c>
      <c r="K24" s="9">
        <f t="shared" si="1"/>
        <v>5.1692999999999998</v>
      </c>
      <c r="L24" s="258">
        <f t="shared" si="2"/>
        <v>1.6280469762363912</v>
      </c>
    </row>
    <row r="25" spans="1:14" x14ac:dyDescent="0.2">
      <c r="A25" s="1" t="s">
        <v>475</v>
      </c>
      <c r="B25" s="323">
        <v>152</v>
      </c>
      <c r="C25" s="323">
        <v>248</v>
      </c>
      <c r="D25" s="323">
        <v>539</v>
      </c>
      <c r="E25" s="323">
        <v>139</v>
      </c>
      <c r="F25" s="324">
        <v>15.956</v>
      </c>
      <c r="G25" s="324">
        <v>2.8570000000000002</v>
      </c>
      <c r="H25" s="324">
        <v>10.31</v>
      </c>
      <c r="I25" s="324">
        <v>21.6</v>
      </c>
      <c r="J25" s="9">
        <f t="shared" si="0"/>
        <v>5.645999999999999</v>
      </c>
      <c r="K25" s="9">
        <f t="shared" si="1"/>
        <v>5.6440000000000019</v>
      </c>
      <c r="L25" s="258">
        <f t="shared" si="2"/>
        <v>1.1958510904988719</v>
      </c>
    </row>
    <row r="26" spans="1:14" x14ac:dyDescent="0.2">
      <c r="A26" s="1" t="s">
        <v>489</v>
      </c>
      <c r="B26" s="323">
        <v>107</v>
      </c>
      <c r="C26" s="323">
        <v>211</v>
      </c>
      <c r="D26" s="323">
        <v>352</v>
      </c>
      <c r="E26" s="323">
        <v>125</v>
      </c>
      <c r="F26" s="324">
        <v>19.081</v>
      </c>
      <c r="G26" s="324">
        <v>3.05</v>
      </c>
      <c r="H26" s="324">
        <v>13.05</v>
      </c>
      <c r="I26" s="324">
        <v>25.11</v>
      </c>
      <c r="J26" s="9">
        <f t="shared" si="0"/>
        <v>6.0309999999999988</v>
      </c>
      <c r="K26" s="9">
        <f t="shared" si="1"/>
        <v>6.0289999999999999</v>
      </c>
      <c r="L26" s="405">
        <f t="shared" si="2"/>
        <v>0.41454850374718311</v>
      </c>
    </row>
    <row r="27" spans="1:14" x14ac:dyDescent="0.2">
      <c r="A27" s="1" t="s">
        <v>503</v>
      </c>
      <c r="B27" s="370">
        <v>102</v>
      </c>
      <c r="C27" s="370">
        <v>185</v>
      </c>
      <c r="D27" s="370">
        <v>303</v>
      </c>
      <c r="E27" s="370">
        <v>53</v>
      </c>
      <c r="F27" s="370">
        <v>7.91</v>
      </c>
      <c r="G27" s="370">
        <v>1.87</v>
      </c>
      <c r="H27" s="370">
        <v>4.05</v>
      </c>
      <c r="I27" s="370">
        <v>11.47</v>
      </c>
      <c r="J27" s="9">
        <f>F27-H27</f>
        <v>3.8600000000000003</v>
      </c>
      <c r="K27" s="9">
        <f>I27-F27</f>
        <v>3.5600000000000005</v>
      </c>
      <c r="L27" s="405">
        <f t="shared" si="2"/>
        <v>1.0780025284450061</v>
      </c>
    </row>
    <row r="28" spans="1:14" x14ac:dyDescent="0.2">
      <c r="A28" s="1" t="s">
        <v>511</v>
      </c>
      <c r="B28" s="401">
        <v>94</v>
      </c>
      <c r="C28" s="401">
        <v>121</v>
      </c>
      <c r="D28" s="401">
        <v>326</v>
      </c>
      <c r="E28" s="401">
        <v>32</v>
      </c>
      <c r="F28" s="402">
        <v>8.5269999999999992</v>
      </c>
      <c r="G28" s="402">
        <v>2.528</v>
      </c>
      <c r="H28" s="402">
        <v>3.51</v>
      </c>
      <c r="I28" s="402">
        <v>13.54</v>
      </c>
      <c r="J28" s="127">
        <f>F28-H28</f>
        <v>5.0169999999999995</v>
      </c>
      <c r="K28" s="9">
        <f>I28-F28</f>
        <v>5.0129999999999999</v>
      </c>
      <c r="L28" s="405">
        <f t="shared" si="2"/>
        <v>0.18517649818224466</v>
      </c>
    </row>
    <row r="29" spans="1:14" x14ac:dyDescent="0.2">
      <c r="A29" s="497" t="s">
        <v>563</v>
      </c>
      <c r="B29" s="401">
        <v>84</v>
      </c>
      <c r="C29" s="401">
        <v>160</v>
      </c>
      <c r="D29" s="401">
        <v>285</v>
      </c>
      <c r="E29" s="401">
        <v>9</v>
      </c>
      <c r="F29" s="402">
        <v>1.579</v>
      </c>
      <c r="G29" s="402">
        <v>0.63200000000000001</v>
      </c>
      <c r="H29" s="402">
        <v>0.33</v>
      </c>
      <c r="I29" s="402">
        <v>2.83</v>
      </c>
      <c r="J29" s="127">
        <f>F29-H29</f>
        <v>1.2489999999999999</v>
      </c>
      <c r="K29" s="9">
        <f>I29-F29</f>
        <v>1.2510000000000001</v>
      </c>
      <c r="L29" s="405">
        <f t="shared" si="2"/>
        <v>1.7081063964534515</v>
      </c>
    </row>
    <row r="30" spans="1:14" ht="15" x14ac:dyDescent="0.25">
      <c r="A30" s="497" t="s">
        <v>588</v>
      </c>
      <c r="B30" s="545">
        <v>78</v>
      </c>
      <c r="C30" s="545">
        <v>156</v>
      </c>
      <c r="D30" s="545">
        <v>241</v>
      </c>
      <c r="E30" s="545">
        <v>13</v>
      </c>
      <c r="F30" s="517">
        <v>2.6970999999999998</v>
      </c>
      <c r="G30" s="546">
        <v>0.92849999999999999</v>
      </c>
      <c r="H30" s="546">
        <v>0.85</v>
      </c>
      <c r="I30" s="546">
        <v>4.54</v>
      </c>
      <c r="J30" s="127">
        <f t="shared" ref="J30:J36" si="3">F30-H30</f>
        <v>1.8470999999999997</v>
      </c>
      <c r="K30" s="9">
        <f t="shared" ref="K30:K36" si="4">I30-F30</f>
        <v>1.8429000000000002</v>
      </c>
      <c r="L30" s="405">
        <f t="shared" si="2"/>
        <v>2.2876422824515221</v>
      </c>
      <c r="M30" s="544">
        <v>0.85</v>
      </c>
      <c r="N30" s="544">
        <v>4.54</v>
      </c>
    </row>
    <row r="31" spans="1:14" x14ac:dyDescent="0.2">
      <c r="A31" s="497" t="s">
        <v>592</v>
      </c>
      <c r="B31" s="401">
        <v>47</v>
      </c>
      <c r="C31" s="401">
        <v>84</v>
      </c>
      <c r="D31" s="401">
        <v>235</v>
      </c>
      <c r="E31" s="401">
        <v>25</v>
      </c>
      <c r="F31" s="402">
        <v>6.17</v>
      </c>
      <c r="G31" s="402">
        <v>1.5669999999999999</v>
      </c>
      <c r="H31" s="402">
        <v>3.02</v>
      </c>
      <c r="I31" s="402">
        <v>9.33</v>
      </c>
      <c r="J31" s="127">
        <f t="shared" si="3"/>
        <v>3.15</v>
      </c>
      <c r="K31" s="9">
        <f t="shared" si="4"/>
        <v>3.16</v>
      </c>
      <c r="L31" s="405">
        <f t="shared" si="2"/>
        <v>1.6207455429497568</v>
      </c>
    </row>
    <row r="32" spans="1:14" x14ac:dyDescent="0.2">
      <c r="A32" s="569" t="s">
        <v>640</v>
      </c>
      <c r="B32" s="401">
        <v>20</v>
      </c>
      <c r="C32" s="401">
        <v>40</v>
      </c>
      <c r="D32" s="401">
        <v>100</v>
      </c>
      <c r="E32" s="401">
        <v>20</v>
      </c>
      <c r="F32" s="402">
        <v>10</v>
      </c>
      <c r="G32" s="402">
        <v>3.839</v>
      </c>
      <c r="H32" s="402">
        <v>1.97</v>
      </c>
      <c r="I32" s="402">
        <v>18.03</v>
      </c>
      <c r="J32" s="127">
        <f t="shared" si="3"/>
        <v>8.0299999999999994</v>
      </c>
      <c r="K32" s="9">
        <f t="shared" si="4"/>
        <v>8.0300000000000011</v>
      </c>
      <c r="L32" s="405">
        <f t="shared" si="2"/>
        <v>3.4584999999999999</v>
      </c>
    </row>
    <row r="33" spans="1:12" x14ac:dyDescent="0.2">
      <c r="A33" s="569" t="s">
        <v>668</v>
      </c>
      <c r="B33" s="401">
        <v>57</v>
      </c>
      <c r="C33" s="401">
        <v>62</v>
      </c>
      <c r="D33" s="401">
        <v>253</v>
      </c>
      <c r="E33" s="401">
        <v>91</v>
      </c>
      <c r="F33" s="402">
        <v>34.585000000000001</v>
      </c>
      <c r="G33" s="402">
        <v>6.35</v>
      </c>
      <c r="H33" s="402">
        <v>21.89</v>
      </c>
      <c r="I33" s="402">
        <v>47.28</v>
      </c>
      <c r="J33" s="7">
        <f t="shared" si="3"/>
        <v>12.695</v>
      </c>
      <c r="K33" s="7">
        <f t="shared" si="4"/>
        <v>12.695</v>
      </c>
      <c r="L33" s="405">
        <f t="shared" si="2"/>
        <v>0.55341911233193586</v>
      </c>
    </row>
    <row r="34" spans="1:12" x14ac:dyDescent="0.2">
      <c r="A34" s="569" t="s">
        <v>677</v>
      </c>
      <c r="B34" s="401">
        <v>40</v>
      </c>
      <c r="C34" s="401">
        <v>59</v>
      </c>
      <c r="D34" s="614">
        <v>177.6</v>
      </c>
      <c r="E34" s="401">
        <v>48</v>
      </c>
      <c r="F34" s="402">
        <v>19.14</v>
      </c>
      <c r="G34" s="402">
        <v>4.1689999999999996</v>
      </c>
      <c r="H34" s="402">
        <v>10.71</v>
      </c>
      <c r="I34" s="402">
        <v>27.58</v>
      </c>
      <c r="J34" s="7">
        <f t="shared" si="3"/>
        <v>8.43</v>
      </c>
      <c r="K34" s="7">
        <f t="shared" si="4"/>
        <v>8.4399999999999977</v>
      </c>
      <c r="L34" s="405">
        <f t="shared" si="2"/>
        <v>0.84519331243469165</v>
      </c>
    </row>
    <row r="35" spans="1:12" x14ac:dyDescent="0.2">
      <c r="A35" s="569" t="s">
        <v>708</v>
      </c>
      <c r="B35" s="401">
        <v>54</v>
      </c>
      <c r="C35" s="401">
        <v>69</v>
      </c>
      <c r="D35" s="401">
        <v>238</v>
      </c>
      <c r="E35" s="401">
        <v>50</v>
      </c>
      <c r="F35" s="402">
        <v>16.177</v>
      </c>
      <c r="G35" s="402">
        <v>4.4770000000000003</v>
      </c>
      <c r="H35" s="402">
        <v>7.22</v>
      </c>
      <c r="I35" s="402">
        <v>25.13</v>
      </c>
      <c r="J35" s="7">
        <f t="shared" si="3"/>
        <v>8.9570000000000007</v>
      </c>
      <c r="K35" s="7">
        <f t="shared" si="4"/>
        <v>8.9529999999999994</v>
      </c>
      <c r="L35" s="405">
        <f t="shared" si="2"/>
        <v>0.95394696173579774</v>
      </c>
    </row>
    <row r="36" spans="1:12" x14ac:dyDescent="0.2">
      <c r="A36" s="569" t="s">
        <v>719</v>
      </c>
      <c r="B36" s="401">
        <v>44</v>
      </c>
      <c r="C36" s="401">
        <v>44</v>
      </c>
      <c r="D36" s="401">
        <v>194.4</v>
      </c>
      <c r="E36" s="401">
        <v>15</v>
      </c>
      <c r="F36" s="402">
        <v>15.432</v>
      </c>
      <c r="G36" s="402">
        <v>4.3730000000000002</v>
      </c>
      <c r="H36" s="402">
        <v>6.61</v>
      </c>
      <c r="I36" s="402">
        <v>24.25</v>
      </c>
      <c r="J36" s="7">
        <f t="shared" si="3"/>
        <v>8.8219999999999992</v>
      </c>
      <c r="K36" s="7">
        <f t="shared" si="4"/>
        <v>8.8179999999999996</v>
      </c>
      <c r="L36" s="405">
        <f t="shared" si="2"/>
        <v>0</v>
      </c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51"/>
  <sheetViews>
    <sheetView zoomScale="75" zoomScaleNormal="75" workbookViewId="0">
      <pane ySplit="5" topLeftCell="A18" activePane="bottomLeft" state="frozenSplit"/>
      <selection pane="bottomLeft" activeCell="D50" sqref="D50"/>
    </sheetView>
  </sheetViews>
  <sheetFormatPr defaultRowHeight="12.75" x14ac:dyDescent="0.2"/>
  <cols>
    <col min="1" max="1" width="7.28515625" customWidth="1"/>
    <col min="2" max="2" width="12.5703125" customWidth="1"/>
    <col min="12" max="12" width="10.7109375" customWidth="1"/>
    <col min="14" max="14" width="11.7109375" customWidth="1"/>
    <col min="15" max="15" width="12.42578125" customWidth="1"/>
    <col min="16" max="16" width="12.85546875" customWidth="1"/>
    <col min="17" max="17" width="9.85546875" customWidth="1"/>
    <col min="18" max="18" width="10.140625" customWidth="1"/>
    <col min="19" max="19" width="5.5703125" customWidth="1"/>
    <col min="22" max="22" width="5.5703125" customWidth="1"/>
  </cols>
  <sheetData>
    <row r="1" spans="1:23" ht="16.5" thickBot="1" x14ac:dyDescent="0.3">
      <c r="A1" s="322" t="s">
        <v>450</v>
      </c>
      <c r="B1" s="96"/>
      <c r="C1" s="96"/>
      <c r="D1" s="96"/>
      <c r="E1" s="97"/>
      <c r="F1" s="97"/>
    </row>
    <row r="2" spans="1:23" x14ac:dyDescent="0.2">
      <c r="A2" s="37" t="s">
        <v>453</v>
      </c>
    </row>
    <row r="3" spans="1:23" x14ac:dyDescent="0.2">
      <c r="A3" s="37" t="s">
        <v>454</v>
      </c>
      <c r="N3" s="529" t="s">
        <v>603</v>
      </c>
      <c r="O3" s="529" t="s">
        <v>604</v>
      </c>
      <c r="P3" s="532">
        <f>MAX(F6:F30)</f>
        <v>82.414000000000001</v>
      </c>
      <c r="Q3" s="532"/>
      <c r="R3" s="532"/>
    </row>
    <row r="4" spans="1:23" ht="13.5" thickBot="1" x14ac:dyDescent="0.25"/>
    <row r="5" spans="1:23" ht="64.5" thickBot="1" x14ac:dyDescent="0.25">
      <c r="A5" s="276" t="s">
        <v>75</v>
      </c>
      <c r="B5" s="275" t="s">
        <v>421</v>
      </c>
      <c r="C5" s="275" t="s">
        <v>420</v>
      </c>
      <c r="D5" s="275" t="s">
        <v>422</v>
      </c>
      <c r="E5" s="275" t="s">
        <v>423</v>
      </c>
      <c r="F5" s="275" t="s">
        <v>424</v>
      </c>
      <c r="G5" s="275" t="s">
        <v>425</v>
      </c>
      <c r="H5" s="275" t="s">
        <v>426</v>
      </c>
      <c r="I5" s="283" t="s">
        <v>427</v>
      </c>
      <c r="J5" s="284" t="s">
        <v>429</v>
      </c>
      <c r="K5" s="530" t="s">
        <v>430</v>
      </c>
      <c r="L5" s="531" t="s">
        <v>539</v>
      </c>
      <c r="M5" s="523" t="s">
        <v>595</v>
      </c>
      <c r="N5" s="535" t="s">
        <v>600</v>
      </c>
      <c r="O5" s="535" t="s">
        <v>601</v>
      </c>
      <c r="P5" s="535" t="s">
        <v>602</v>
      </c>
      <c r="Q5" s="536" t="s">
        <v>429</v>
      </c>
      <c r="R5" s="537" t="s">
        <v>430</v>
      </c>
    </row>
    <row r="6" spans="1:23" x14ac:dyDescent="0.2">
      <c r="A6" s="274" t="s">
        <v>431</v>
      </c>
      <c r="B6" s="281">
        <v>561</v>
      </c>
      <c r="C6" s="281">
        <v>810</v>
      </c>
      <c r="D6" s="281">
        <v>1765</v>
      </c>
      <c r="E6" s="281">
        <v>163</v>
      </c>
      <c r="F6" s="525">
        <v>7.9177999999999997</v>
      </c>
      <c r="G6" s="282">
        <v>0.87419999999999998</v>
      </c>
      <c r="H6" s="282">
        <v>6.2</v>
      </c>
      <c r="I6" s="282">
        <v>9.6300000000000008</v>
      </c>
      <c r="J6" s="9">
        <f>F6-H6</f>
        <v>1.7177999999999995</v>
      </c>
      <c r="K6" s="9">
        <f>I6-F6</f>
        <v>1.7122000000000011</v>
      </c>
      <c r="L6" s="408">
        <f>F7/F6</f>
        <v>1.7498421278638008</v>
      </c>
      <c r="M6">
        <f t="shared" ref="M6:M11" si="0">LOG(F6)</f>
        <v>0.89860452747511743</v>
      </c>
      <c r="N6" s="534">
        <f t="shared" ref="N6:N29" si="1">F6/$P$3</f>
        <v>9.6073482660712986E-2</v>
      </c>
      <c r="O6" s="533">
        <f>H6/$P$3</f>
        <v>7.5229936661246874E-2</v>
      </c>
      <c r="P6" s="533">
        <f>I6/$P$3</f>
        <v>0.11684907903996894</v>
      </c>
      <c r="Q6" s="533">
        <f>N6-O6</f>
        <v>2.0843545999466112E-2</v>
      </c>
      <c r="R6" s="533">
        <f>P6-N6</f>
        <v>2.0775596379255953E-2</v>
      </c>
      <c r="S6" s="522"/>
      <c r="T6" s="524" t="s">
        <v>292</v>
      </c>
      <c r="U6">
        <f>10^0.2707</f>
        <v>1.8650908866069338</v>
      </c>
      <c r="V6" s="20" t="s">
        <v>596</v>
      </c>
      <c r="W6" s="20" t="s">
        <v>597</v>
      </c>
    </row>
    <row r="7" spans="1:23" x14ac:dyDescent="0.2">
      <c r="A7" s="274" t="s">
        <v>432</v>
      </c>
      <c r="B7" s="281">
        <v>609</v>
      </c>
      <c r="C7" s="281">
        <v>747</v>
      </c>
      <c r="D7" s="281">
        <v>2128</v>
      </c>
      <c r="E7" s="281">
        <v>306</v>
      </c>
      <c r="F7" s="525">
        <v>13.854900000000001</v>
      </c>
      <c r="G7" s="282">
        <v>1.2083999999999999</v>
      </c>
      <c r="H7" s="282">
        <v>11.48</v>
      </c>
      <c r="I7" s="282">
        <v>16.23</v>
      </c>
      <c r="J7" s="9">
        <f t="shared" ref="J7:J26" si="2">F7-H7</f>
        <v>2.3749000000000002</v>
      </c>
      <c r="K7" s="9">
        <f t="shared" ref="K7:K26" si="3">I7-F7</f>
        <v>2.3750999999999998</v>
      </c>
      <c r="L7" s="408">
        <f t="shared" ref="L7:L35" si="4">F8/F7</f>
        <v>1.6167709618979567</v>
      </c>
      <c r="M7">
        <f t="shared" si="0"/>
        <v>1.1416033955383214</v>
      </c>
      <c r="N7" s="534">
        <f t="shared" si="1"/>
        <v>0.16811342733030796</v>
      </c>
      <c r="O7" s="533">
        <f t="shared" ref="O7:O36" si="5">H7/$P$3</f>
        <v>0.13929672143082486</v>
      </c>
      <c r="P7" s="533">
        <f t="shared" ref="P7:P36" si="6">I7/$P$3</f>
        <v>0.19693256000194143</v>
      </c>
      <c r="Q7" s="533">
        <f t="shared" ref="Q7:Q36" si="7">N7-O7</f>
        <v>2.8816705899483097E-2</v>
      </c>
      <c r="R7" s="533">
        <f t="shared" ref="R7:R36" si="8">P7-N7</f>
        <v>2.8819132671633468E-2</v>
      </c>
      <c r="T7" s="524"/>
    </row>
    <row r="8" spans="1:23" x14ac:dyDescent="0.2">
      <c r="A8" s="274" t="s">
        <v>433</v>
      </c>
      <c r="B8" s="281">
        <v>225</v>
      </c>
      <c r="C8" s="281">
        <v>278</v>
      </c>
      <c r="D8" s="281">
        <v>780.5</v>
      </c>
      <c r="E8" s="281">
        <v>197</v>
      </c>
      <c r="F8" s="525">
        <v>22.400200000000002</v>
      </c>
      <c r="G8" s="282">
        <v>2.3847999999999998</v>
      </c>
      <c r="H8" s="282">
        <v>17.71</v>
      </c>
      <c r="I8" s="282">
        <v>27.09</v>
      </c>
      <c r="J8" s="9">
        <f t="shared" si="2"/>
        <v>4.6902000000000008</v>
      </c>
      <c r="K8" s="9">
        <f t="shared" si="3"/>
        <v>4.6897999999999982</v>
      </c>
      <c r="L8" s="408">
        <f t="shared" si="4"/>
        <v>2.4056838778225194</v>
      </c>
      <c r="M8">
        <f t="shared" si="0"/>
        <v>1.3502518959461549</v>
      </c>
      <c r="N8" s="534">
        <f t="shared" si="1"/>
        <v>0.27180090761278425</v>
      </c>
      <c r="O8" s="533">
        <f t="shared" si="5"/>
        <v>0.21489067391462616</v>
      </c>
      <c r="P8" s="533">
        <f t="shared" si="6"/>
        <v>0.32870628776664157</v>
      </c>
      <c r="Q8" s="533">
        <f t="shared" si="7"/>
        <v>5.6910233698158091E-2</v>
      </c>
      <c r="R8" s="533">
        <f t="shared" si="8"/>
        <v>5.6905380153857321E-2</v>
      </c>
      <c r="T8" s="524" t="s">
        <v>594</v>
      </c>
      <c r="U8">
        <f>(10^0.297)-U6</f>
        <v>0.11643613919816453</v>
      </c>
    </row>
    <row r="9" spans="1:23" x14ac:dyDescent="0.2">
      <c r="A9" s="274" t="s">
        <v>434</v>
      </c>
      <c r="B9" s="281">
        <v>378</v>
      </c>
      <c r="C9" s="281">
        <v>418</v>
      </c>
      <c r="D9" s="281">
        <v>1307.5</v>
      </c>
      <c r="E9" s="281">
        <v>749</v>
      </c>
      <c r="F9" s="525">
        <v>53.887799999999999</v>
      </c>
      <c r="G9" s="282">
        <v>4.1262999999999996</v>
      </c>
      <c r="H9" s="282">
        <v>45.78</v>
      </c>
      <c r="I9" s="282">
        <v>62</v>
      </c>
      <c r="J9" s="9">
        <f t="shared" si="2"/>
        <v>8.1077999999999975</v>
      </c>
      <c r="K9" s="9">
        <f t="shared" si="3"/>
        <v>8.1122000000000014</v>
      </c>
      <c r="L9" s="407">
        <f t="shared" si="4"/>
        <v>0.66427280386284093</v>
      </c>
      <c r="M9">
        <f t="shared" si="0"/>
        <v>1.7314904536393865</v>
      </c>
      <c r="N9" s="534">
        <f t="shared" si="1"/>
        <v>0.65386706142160311</v>
      </c>
      <c r="O9" s="533">
        <f t="shared" si="5"/>
        <v>0.55548814521804546</v>
      </c>
      <c r="P9" s="533">
        <f t="shared" si="6"/>
        <v>0.75229936661246877</v>
      </c>
      <c r="Q9" s="533">
        <f t="shared" si="7"/>
        <v>9.8378916203557654E-2</v>
      </c>
      <c r="R9" s="533">
        <f t="shared" si="8"/>
        <v>9.8432305190865654E-2</v>
      </c>
      <c r="T9" s="205"/>
    </row>
    <row r="10" spans="1:23" x14ac:dyDescent="0.2">
      <c r="A10" s="274" t="s">
        <v>435</v>
      </c>
      <c r="B10" s="281">
        <v>368</v>
      </c>
      <c r="C10" s="281">
        <v>386</v>
      </c>
      <c r="D10" s="281">
        <v>1177.5</v>
      </c>
      <c r="E10" s="281">
        <v>436</v>
      </c>
      <c r="F10" s="525">
        <v>35.796199999999999</v>
      </c>
      <c r="G10" s="282">
        <v>2.8344</v>
      </c>
      <c r="H10" s="282">
        <v>30.23</v>
      </c>
      <c r="I10" s="282">
        <v>41.37</v>
      </c>
      <c r="J10" s="9">
        <f t="shared" si="2"/>
        <v>5.5661999999999985</v>
      </c>
      <c r="K10" s="9">
        <f t="shared" si="3"/>
        <v>5.5737999999999985</v>
      </c>
      <c r="L10" s="407">
        <f t="shared" si="4"/>
        <v>0.38485369955470139</v>
      </c>
      <c r="M10">
        <f t="shared" si="0"/>
        <v>1.5538369259001819</v>
      </c>
      <c r="N10" s="534">
        <f t="shared" si="1"/>
        <v>0.43434610624408471</v>
      </c>
      <c r="O10" s="533">
        <f t="shared" si="5"/>
        <v>0.3668066105273376</v>
      </c>
      <c r="P10" s="533">
        <f t="shared" si="6"/>
        <v>0.50197781930254559</v>
      </c>
      <c r="Q10" s="533">
        <f t="shared" si="7"/>
        <v>6.7539495716747111E-2</v>
      </c>
      <c r="R10" s="533">
        <f t="shared" si="8"/>
        <v>6.7631713058460885E-2</v>
      </c>
      <c r="T10" s="205"/>
    </row>
    <row r="11" spans="1:23" x14ac:dyDescent="0.2">
      <c r="A11" s="274" t="s">
        <v>436</v>
      </c>
      <c r="B11" s="281">
        <v>277</v>
      </c>
      <c r="C11" s="281">
        <v>374</v>
      </c>
      <c r="D11" s="281">
        <v>888</v>
      </c>
      <c r="E11" s="281">
        <v>149</v>
      </c>
      <c r="F11" s="525">
        <v>13.776300000000001</v>
      </c>
      <c r="G11" s="282">
        <v>1.6721999999999999</v>
      </c>
      <c r="H11" s="282">
        <v>10.49</v>
      </c>
      <c r="I11" s="282">
        <v>17.07</v>
      </c>
      <c r="J11" s="9">
        <f t="shared" si="2"/>
        <v>3.2863000000000007</v>
      </c>
      <c r="K11" s="9">
        <f t="shared" si="3"/>
        <v>3.2936999999999994</v>
      </c>
      <c r="L11" s="407">
        <f t="shared" si="4"/>
        <v>0.33196867083324255</v>
      </c>
      <c r="M11">
        <f t="shared" si="0"/>
        <v>1.1391325916390473</v>
      </c>
      <c r="N11" s="534">
        <f t="shared" si="1"/>
        <v>0.16715970587521539</v>
      </c>
      <c r="O11" s="533">
        <f t="shared" si="5"/>
        <v>0.12728419928652898</v>
      </c>
      <c r="P11" s="533">
        <f t="shared" si="6"/>
        <v>0.20712500303346518</v>
      </c>
      <c r="Q11" s="533">
        <f t="shared" si="7"/>
        <v>3.987550658868641E-2</v>
      </c>
      <c r="R11" s="533">
        <f t="shared" si="8"/>
        <v>3.9965297158249785E-2</v>
      </c>
      <c r="T11" s="205"/>
    </row>
    <row r="12" spans="1:23" x14ac:dyDescent="0.2">
      <c r="A12" s="274" t="s">
        <v>437</v>
      </c>
      <c r="B12" s="281">
        <v>286</v>
      </c>
      <c r="C12" s="281">
        <v>401</v>
      </c>
      <c r="D12" s="281">
        <v>978.5</v>
      </c>
      <c r="E12" s="281">
        <v>54</v>
      </c>
      <c r="F12" s="525">
        <v>4.5732999999999997</v>
      </c>
      <c r="G12" s="282">
        <v>0.96989999999999998</v>
      </c>
      <c r="H12" s="282">
        <v>2.66</v>
      </c>
      <c r="I12" s="282">
        <v>6.48</v>
      </c>
      <c r="J12" s="9">
        <f t="shared" si="2"/>
        <v>1.9132999999999996</v>
      </c>
      <c r="K12" s="9">
        <f t="shared" si="3"/>
        <v>1.9067000000000007</v>
      </c>
      <c r="L12" s="408">
        <f t="shared" si="4"/>
        <v>2.3002208470907224</v>
      </c>
      <c r="M12">
        <f>LOG(F12)</f>
        <v>0.66022969122785891</v>
      </c>
      <c r="N12" s="534">
        <f t="shared" si="1"/>
        <v>5.5491785376271016E-2</v>
      </c>
      <c r="O12" s="533">
        <f t="shared" si="5"/>
        <v>3.227606959982527E-2</v>
      </c>
      <c r="P12" s="533">
        <f t="shared" si="6"/>
        <v>7.862741767175481E-2</v>
      </c>
      <c r="Q12" s="533">
        <f t="shared" si="7"/>
        <v>2.3215715776445746E-2</v>
      </c>
      <c r="R12" s="533">
        <f t="shared" si="8"/>
        <v>2.3135632295483793E-2</v>
      </c>
      <c r="S12" s="522"/>
      <c r="T12" s="524" t="s">
        <v>292</v>
      </c>
      <c r="U12">
        <f>10^0.2478</f>
        <v>1.7692939806872792</v>
      </c>
      <c r="V12" s="20" t="s">
        <v>596</v>
      </c>
      <c r="W12" s="20" t="s">
        <v>598</v>
      </c>
    </row>
    <row r="13" spans="1:23" x14ac:dyDescent="0.2">
      <c r="A13" s="274" t="s">
        <v>438</v>
      </c>
      <c r="B13" s="281">
        <v>244</v>
      </c>
      <c r="C13" s="281">
        <v>267</v>
      </c>
      <c r="D13" s="281">
        <v>779.5</v>
      </c>
      <c r="E13" s="281">
        <v>86</v>
      </c>
      <c r="F13" s="525">
        <v>10.519600000000001</v>
      </c>
      <c r="G13" s="282">
        <v>2.1564999999999999</v>
      </c>
      <c r="H13" s="282">
        <v>6.28</v>
      </c>
      <c r="I13" s="282">
        <v>14.76</v>
      </c>
      <c r="J13" s="9">
        <f t="shared" si="2"/>
        <v>4.2396000000000003</v>
      </c>
      <c r="K13" s="9">
        <f t="shared" si="3"/>
        <v>4.2403999999999993</v>
      </c>
      <c r="L13" s="408">
        <f t="shared" si="4"/>
        <v>1.406137115479676</v>
      </c>
      <c r="M13">
        <f t="shared" ref="M13:M36" si="9">LOG(F13)</f>
        <v>1.0219992264056039</v>
      </c>
      <c r="N13" s="534">
        <f t="shared" si="1"/>
        <v>0.12764336156478268</v>
      </c>
      <c r="O13" s="533">
        <f t="shared" si="5"/>
        <v>7.6200645521391996E-2</v>
      </c>
      <c r="P13" s="533">
        <f t="shared" si="6"/>
        <v>0.17909578469677481</v>
      </c>
      <c r="Q13" s="533">
        <f t="shared" si="7"/>
        <v>5.1442716043390679E-2</v>
      </c>
      <c r="R13" s="533">
        <f t="shared" si="8"/>
        <v>5.1452423131992137E-2</v>
      </c>
      <c r="T13" s="524"/>
    </row>
    <row r="14" spans="1:23" x14ac:dyDescent="0.2">
      <c r="A14" s="274" t="s">
        <v>439</v>
      </c>
      <c r="B14" s="281">
        <v>204</v>
      </c>
      <c r="C14" s="281">
        <v>269</v>
      </c>
      <c r="D14" s="281">
        <v>649</v>
      </c>
      <c r="E14" s="281">
        <v>126</v>
      </c>
      <c r="F14" s="525">
        <v>14.792</v>
      </c>
      <c r="G14" s="282">
        <v>1.8681000000000001</v>
      </c>
      <c r="H14" s="282">
        <v>11.12</v>
      </c>
      <c r="I14" s="282">
        <v>18.47</v>
      </c>
      <c r="J14" s="9">
        <f t="shared" si="2"/>
        <v>3.6720000000000006</v>
      </c>
      <c r="K14" s="9">
        <f t="shared" si="3"/>
        <v>3.677999999999999</v>
      </c>
      <c r="L14" s="408">
        <f t="shared" si="4"/>
        <v>1.8422525689561924</v>
      </c>
      <c r="M14">
        <f t="shared" si="9"/>
        <v>1.1700268981511166</v>
      </c>
      <c r="N14" s="534">
        <f t="shared" si="1"/>
        <v>0.17948406824083285</v>
      </c>
      <c r="O14" s="533">
        <f t="shared" si="5"/>
        <v>0.13492853156017182</v>
      </c>
      <c r="P14" s="533">
        <f t="shared" si="6"/>
        <v>0.2241124080860048</v>
      </c>
      <c r="Q14" s="533">
        <f t="shared" si="7"/>
        <v>4.4555536680661034E-2</v>
      </c>
      <c r="R14" s="533">
        <f t="shared" si="8"/>
        <v>4.4628339845171949E-2</v>
      </c>
      <c r="T14" s="524" t="s">
        <v>594</v>
      </c>
      <c r="U14">
        <f>(10^0.2596)-U12</f>
        <v>4.8731643086984411E-2</v>
      </c>
    </row>
    <row r="15" spans="1:23" x14ac:dyDescent="0.2">
      <c r="A15" s="274" t="s">
        <v>440</v>
      </c>
      <c r="B15" s="281">
        <v>133</v>
      </c>
      <c r="C15" s="281">
        <v>133</v>
      </c>
      <c r="D15" s="281">
        <v>411</v>
      </c>
      <c r="E15" s="281">
        <v>112</v>
      </c>
      <c r="F15" s="525">
        <v>27.250599999999999</v>
      </c>
      <c r="G15" s="282">
        <v>3.8881000000000001</v>
      </c>
      <c r="H15" s="282">
        <v>19.57</v>
      </c>
      <c r="I15" s="282">
        <v>34.93</v>
      </c>
      <c r="J15" s="9">
        <f t="shared" si="2"/>
        <v>7.6805999999999983</v>
      </c>
      <c r="K15" s="9">
        <f t="shared" si="3"/>
        <v>7.6794000000000011</v>
      </c>
      <c r="L15" s="408">
        <f t="shared" si="4"/>
        <v>1.9766904214953067</v>
      </c>
      <c r="M15">
        <f t="shared" si="9"/>
        <v>1.4353760689546962</v>
      </c>
      <c r="N15" s="534">
        <f t="shared" si="1"/>
        <v>0.33065498580338287</v>
      </c>
      <c r="O15" s="533">
        <f t="shared" si="5"/>
        <v>0.23745965491300022</v>
      </c>
      <c r="P15" s="533">
        <f t="shared" si="6"/>
        <v>0.42383575606086343</v>
      </c>
      <c r="Q15" s="533">
        <f t="shared" si="7"/>
        <v>9.3195330890382649E-2</v>
      </c>
      <c r="R15" s="533">
        <f t="shared" si="8"/>
        <v>9.3180770257480561E-2</v>
      </c>
      <c r="T15" s="205"/>
    </row>
    <row r="16" spans="1:23" x14ac:dyDescent="0.2">
      <c r="A16" s="274" t="s">
        <v>441</v>
      </c>
      <c r="B16" s="281">
        <v>120</v>
      </c>
      <c r="C16" s="281">
        <v>120</v>
      </c>
      <c r="D16" s="281">
        <v>388</v>
      </c>
      <c r="E16" s="281">
        <v>209</v>
      </c>
      <c r="F16" s="525">
        <v>53.866</v>
      </c>
      <c r="G16" s="282">
        <v>6.9333999999999998</v>
      </c>
      <c r="H16" s="282">
        <v>40.17</v>
      </c>
      <c r="I16" s="282">
        <v>67.569999999999993</v>
      </c>
      <c r="J16" s="9">
        <f t="shared" si="2"/>
        <v>13.695999999999998</v>
      </c>
      <c r="K16" s="9">
        <f t="shared" si="3"/>
        <v>13.703999999999994</v>
      </c>
      <c r="L16" s="408">
        <f t="shared" si="4"/>
        <v>1.5299818067055286</v>
      </c>
      <c r="M16">
        <f t="shared" si="9"/>
        <v>1.7313147267539373</v>
      </c>
      <c r="N16" s="534">
        <f t="shared" si="1"/>
        <v>0.65360254325721356</v>
      </c>
      <c r="O16" s="533">
        <f t="shared" si="5"/>
        <v>0.48741718640036891</v>
      </c>
      <c r="P16" s="533">
        <f t="shared" si="6"/>
        <v>0.81988497100007274</v>
      </c>
      <c r="Q16" s="533">
        <f t="shared" si="7"/>
        <v>0.16618535685684466</v>
      </c>
      <c r="R16" s="533">
        <f t="shared" si="8"/>
        <v>0.16628242774285917</v>
      </c>
      <c r="T16" s="205"/>
    </row>
    <row r="17" spans="1:23" x14ac:dyDescent="0.2">
      <c r="A17" s="274" t="s">
        <v>442</v>
      </c>
      <c r="B17" s="281">
        <v>105</v>
      </c>
      <c r="C17" s="281">
        <v>197</v>
      </c>
      <c r="D17" s="281">
        <v>349.5</v>
      </c>
      <c r="E17" s="281">
        <v>386</v>
      </c>
      <c r="F17" s="525">
        <v>82.414000000000001</v>
      </c>
      <c r="G17" s="282">
        <v>8.7797000000000001</v>
      </c>
      <c r="H17" s="282">
        <v>65.069999999999993</v>
      </c>
      <c r="I17" s="282">
        <v>99.76</v>
      </c>
      <c r="J17" s="9">
        <f t="shared" si="2"/>
        <v>17.344000000000008</v>
      </c>
      <c r="K17" s="9">
        <f t="shared" si="3"/>
        <v>17.346000000000004</v>
      </c>
      <c r="L17" s="407">
        <f t="shared" si="4"/>
        <v>0.88182954352415854</v>
      </c>
      <c r="M17">
        <f t="shared" si="9"/>
        <v>1.9160009933268471</v>
      </c>
      <c r="N17" s="534">
        <f t="shared" si="1"/>
        <v>1</v>
      </c>
      <c r="O17" s="533">
        <f t="shared" si="5"/>
        <v>0.78955031912053764</v>
      </c>
      <c r="P17" s="533">
        <f t="shared" si="6"/>
        <v>1.2104739486009659</v>
      </c>
      <c r="Q17" s="533">
        <f t="shared" si="7"/>
        <v>0.21044968087946236</v>
      </c>
      <c r="R17" s="533">
        <f t="shared" si="8"/>
        <v>0.21047394860096591</v>
      </c>
      <c r="T17" s="205"/>
    </row>
    <row r="18" spans="1:23" x14ac:dyDescent="0.2">
      <c r="A18" s="274" t="s">
        <v>443</v>
      </c>
      <c r="B18" s="281">
        <v>135</v>
      </c>
      <c r="C18" s="281">
        <v>168</v>
      </c>
      <c r="D18" s="281">
        <v>435.5</v>
      </c>
      <c r="E18" s="281">
        <v>384</v>
      </c>
      <c r="F18" s="525">
        <v>72.6751</v>
      </c>
      <c r="G18" s="282">
        <v>6.3</v>
      </c>
      <c r="H18" s="282">
        <v>60.23</v>
      </c>
      <c r="I18" s="282">
        <v>85.12</v>
      </c>
      <c r="J18" s="9">
        <f t="shared" si="2"/>
        <v>12.445100000000004</v>
      </c>
      <c r="K18" s="9">
        <f t="shared" si="3"/>
        <v>12.444900000000004</v>
      </c>
      <c r="L18" s="407">
        <f t="shared" si="4"/>
        <v>3.6034350141933069E-2</v>
      </c>
      <c r="M18">
        <f t="shared" si="9"/>
        <v>1.8613856380264806</v>
      </c>
      <c r="N18" s="534">
        <f t="shared" si="1"/>
        <v>0.88182954352415854</v>
      </c>
      <c r="O18" s="533">
        <f t="shared" si="5"/>
        <v>0.73082243308175787</v>
      </c>
      <c r="P18" s="533">
        <f t="shared" si="6"/>
        <v>1.0328342271944086</v>
      </c>
      <c r="Q18" s="533">
        <f t="shared" si="7"/>
        <v>0.15100711044240067</v>
      </c>
      <c r="R18" s="533">
        <f t="shared" si="8"/>
        <v>0.15100468367025011</v>
      </c>
      <c r="T18" s="205"/>
    </row>
    <row r="19" spans="1:23" x14ac:dyDescent="0.2">
      <c r="A19" s="274" t="s">
        <v>444</v>
      </c>
      <c r="B19" s="281">
        <v>229</v>
      </c>
      <c r="C19" s="281">
        <v>372</v>
      </c>
      <c r="D19" s="281">
        <v>821</v>
      </c>
      <c r="E19" s="281">
        <v>24</v>
      </c>
      <c r="F19" s="525">
        <v>2.6187999999999998</v>
      </c>
      <c r="G19" s="282">
        <v>0.72440000000000004</v>
      </c>
      <c r="H19" s="282">
        <v>1.19</v>
      </c>
      <c r="I19" s="282">
        <v>4.04</v>
      </c>
      <c r="J19" s="9">
        <f t="shared" si="2"/>
        <v>1.4287999999999998</v>
      </c>
      <c r="K19" s="9">
        <f t="shared" si="3"/>
        <v>1.4212000000000002</v>
      </c>
      <c r="L19" s="408">
        <f t="shared" si="4"/>
        <v>1.1035206965022148</v>
      </c>
      <c r="M19">
        <f t="shared" si="9"/>
        <v>0.41810233224995896</v>
      </c>
      <c r="N19" s="534">
        <f t="shared" si="1"/>
        <v>3.177615453685053E-2</v>
      </c>
      <c r="O19" s="533">
        <f t="shared" si="5"/>
        <v>1.4439294294658674E-2</v>
      </c>
      <c r="P19" s="533">
        <f t="shared" si="6"/>
        <v>4.9020797437328609E-2</v>
      </c>
      <c r="Q19" s="533">
        <f t="shared" si="7"/>
        <v>1.7336860242191856E-2</v>
      </c>
      <c r="R19" s="533">
        <f t="shared" si="8"/>
        <v>1.7244642900478079E-2</v>
      </c>
      <c r="S19" s="522"/>
      <c r="T19" s="524" t="s">
        <v>292</v>
      </c>
      <c r="U19">
        <f>10^0.2211</f>
        <v>1.6637957093870002</v>
      </c>
      <c r="V19" s="20" t="s">
        <v>596</v>
      </c>
      <c r="W19" s="20" t="s">
        <v>599</v>
      </c>
    </row>
    <row r="20" spans="1:23" x14ac:dyDescent="0.2">
      <c r="A20" s="279" t="s">
        <v>445</v>
      </c>
      <c r="B20" s="281">
        <v>120</v>
      </c>
      <c r="C20" s="281">
        <v>255</v>
      </c>
      <c r="D20" s="281">
        <v>421</v>
      </c>
      <c r="E20" s="281">
        <v>28</v>
      </c>
      <c r="F20" s="525">
        <v>2.8898999999999999</v>
      </c>
      <c r="G20" s="282">
        <v>0.83220000000000005</v>
      </c>
      <c r="H20" s="282">
        <v>1.25</v>
      </c>
      <c r="I20" s="282">
        <v>4.53</v>
      </c>
      <c r="J20" s="9">
        <f t="shared" si="2"/>
        <v>1.6398999999999999</v>
      </c>
      <c r="K20" s="9">
        <f t="shared" si="3"/>
        <v>1.6401000000000003</v>
      </c>
      <c r="L20" s="408">
        <f t="shared" si="4"/>
        <v>1.8563964151008685</v>
      </c>
      <c r="M20">
        <f t="shared" si="9"/>
        <v>0.46088281500582734</v>
      </c>
      <c r="N20" s="534">
        <f t="shared" si="1"/>
        <v>3.5065644186667314E-2</v>
      </c>
      <c r="O20" s="533">
        <f t="shared" si="5"/>
        <v>1.5167325939767514E-2</v>
      </c>
      <c r="P20" s="533">
        <f t="shared" si="6"/>
        <v>5.4966389205717475E-2</v>
      </c>
      <c r="Q20" s="533">
        <f t="shared" si="7"/>
        <v>1.9898318246899797E-2</v>
      </c>
      <c r="R20" s="533">
        <f t="shared" si="8"/>
        <v>1.9900745019050162E-2</v>
      </c>
      <c r="T20" s="524"/>
    </row>
    <row r="21" spans="1:23" x14ac:dyDescent="0.2">
      <c r="A21" s="279" t="s">
        <v>446</v>
      </c>
      <c r="B21" s="281">
        <v>133</v>
      </c>
      <c r="C21" s="281">
        <v>311</v>
      </c>
      <c r="D21" s="281">
        <v>466</v>
      </c>
      <c r="E21" s="281">
        <v>56</v>
      </c>
      <c r="F21" s="525">
        <v>5.3647999999999998</v>
      </c>
      <c r="G21" s="282">
        <v>1.0763</v>
      </c>
      <c r="H21" s="282">
        <v>3.24</v>
      </c>
      <c r="I21" s="282">
        <v>7.49</v>
      </c>
      <c r="J21" s="9">
        <f t="shared" si="2"/>
        <v>2.1247999999999996</v>
      </c>
      <c r="K21" s="9">
        <f t="shared" si="3"/>
        <v>2.1252000000000004</v>
      </c>
      <c r="L21" s="408">
        <f t="shared" si="4"/>
        <v>1.1897368028631077</v>
      </c>
      <c r="M21">
        <f t="shared" si="9"/>
        <v>0.72955353608474482</v>
      </c>
      <c r="N21" s="534">
        <f t="shared" si="1"/>
        <v>6.509573616133181E-2</v>
      </c>
      <c r="O21" s="533">
        <f t="shared" si="5"/>
        <v>3.9313708835877405E-2</v>
      </c>
      <c r="P21" s="533">
        <f t="shared" si="6"/>
        <v>9.0882617031086951E-2</v>
      </c>
      <c r="Q21" s="533">
        <f t="shared" si="7"/>
        <v>2.5782027325454406E-2</v>
      </c>
      <c r="R21" s="533">
        <f t="shared" si="8"/>
        <v>2.5786880869755141E-2</v>
      </c>
      <c r="T21" s="524" t="s">
        <v>594</v>
      </c>
      <c r="U21">
        <f>(10^0.236)-U19</f>
        <v>5.8072865599006818E-2</v>
      </c>
    </row>
    <row r="22" spans="1:23" x14ac:dyDescent="0.2">
      <c r="A22" s="279" t="s">
        <v>447</v>
      </c>
      <c r="B22" s="281">
        <v>132</v>
      </c>
      <c r="C22" s="281">
        <v>274</v>
      </c>
      <c r="D22" s="281">
        <v>446</v>
      </c>
      <c r="E22" s="281">
        <v>52</v>
      </c>
      <c r="F22" s="525">
        <v>6.3826999999999998</v>
      </c>
      <c r="G22" s="282">
        <v>1.4721</v>
      </c>
      <c r="H22" s="282">
        <v>3.47</v>
      </c>
      <c r="I22" s="282">
        <v>9.2899999999999991</v>
      </c>
      <c r="J22" s="9">
        <f t="shared" si="2"/>
        <v>2.9126999999999996</v>
      </c>
      <c r="K22" s="9">
        <f t="shared" si="3"/>
        <v>2.9072999999999993</v>
      </c>
      <c r="L22" s="408">
        <f t="shared" si="4"/>
        <v>1.7911698810848073</v>
      </c>
      <c r="M22">
        <f t="shared" si="9"/>
        <v>0.80500443217750495</v>
      </c>
      <c r="N22" s="534">
        <f t="shared" si="1"/>
        <v>7.7446793020603297E-2</v>
      </c>
      <c r="O22" s="533">
        <f t="shared" si="5"/>
        <v>4.2104496808794627E-2</v>
      </c>
      <c r="P22" s="533">
        <f t="shared" si="6"/>
        <v>0.11272356638435216</v>
      </c>
      <c r="Q22" s="533">
        <f t="shared" si="7"/>
        <v>3.534229621180867E-2</v>
      </c>
      <c r="R22" s="533">
        <f t="shared" si="8"/>
        <v>3.5276773363748862E-2</v>
      </c>
      <c r="T22" s="20"/>
      <c r="U22" s="20"/>
    </row>
    <row r="23" spans="1:23" x14ac:dyDescent="0.2">
      <c r="A23" s="279" t="s">
        <v>448</v>
      </c>
      <c r="B23" s="281">
        <v>140</v>
      </c>
      <c r="C23" s="281">
        <v>289</v>
      </c>
      <c r="D23" s="281">
        <v>484</v>
      </c>
      <c r="E23" s="281">
        <v>106</v>
      </c>
      <c r="F23" s="525">
        <v>11.432499999999999</v>
      </c>
      <c r="G23" s="282">
        <v>1.8461000000000001</v>
      </c>
      <c r="H23" s="282">
        <v>7.78</v>
      </c>
      <c r="I23" s="282">
        <v>15.08</v>
      </c>
      <c r="J23" s="9">
        <f t="shared" si="2"/>
        <v>3.652499999999999</v>
      </c>
      <c r="K23" s="9">
        <f t="shared" si="3"/>
        <v>3.6475000000000009</v>
      </c>
      <c r="L23" s="408">
        <f t="shared" si="4"/>
        <v>1.8888869451126176</v>
      </c>
      <c r="M23">
        <f t="shared" si="9"/>
        <v>1.0581412100527194</v>
      </c>
      <c r="N23" s="534">
        <f t="shared" si="1"/>
        <v>0.13872036304511368</v>
      </c>
      <c r="O23" s="533">
        <f t="shared" si="5"/>
        <v>9.4401436649113019E-2</v>
      </c>
      <c r="P23" s="533">
        <f t="shared" si="6"/>
        <v>0.1829786201373553</v>
      </c>
      <c r="Q23" s="533">
        <f t="shared" si="7"/>
        <v>4.4318926396000657E-2</v>
      </c>
      <c r="R23" s="533">
        <f t="shared" si="8"/>
        <v>4.4258257092241626E-2</v>
      </c>
      <c r="T23" s="11"/>
      <c r="U23" s="11"/>
    </row>
    <row r="24" spans="1:23" x14ac:dyDescent="0.2">
      <c r="A24" s="279" t="s">
        <v>449</v>
      </c>
      <c r="B24" s="281">
        <v>86</v>
      </c>
      <c r="C24" s="281">
        <v>135</v>
      </c>
      <c r="D24" s="281">
        <v>301</v>
      </c>
      <c r="E24" s="281">
        <v>94</v>
      </c>
      <c r="F24" s="525">
        <v>21.5947</v>
      </c>
      <c r="G24" s="282">
        <v>3.6404000000000001</v>
      </c>
      <c r="H24" s="282">
        <v>14.37</v>
      </c>
      <c r="I24" s="282">
        <v>28.82</v>
      </c>
      <c r="J24" s="9">
        <f t="shared" si="2"/>
        <v>7.2247000000000003</v>
      </c>
      <c r="K24" s="9">
        <f t="shared" si="3"/>
        <v>7.2253000000000007</v>
      </c>
      <c r="L24" s="408">
        <f t="shared" si="4"/>
        <v>1.8228083742770218</v>
      </c>
      <c r="M24">
        <f t="shared" si="9"/>
        <v>1.3343471750772165</v>
      </c>
      <c r="N24" s="534">
        <f t="shared" si="1"/>
        <v>0.26202708277719805</v>
      </c>
      <c r="O24" s="533">
        <f t="shared" si="5"/>
        <v>0.17436357900356733</v>
      </c>
      <c r="P24" s="533">
        <f t="shared" si="6"/>
        <v>0.34969786686727983</v>
      </c>
      <c r="Q24" s="533">
        <f t="shared" si="7"/>
        <v>8.7663503773630719E-2</v>
      </c>
      <c r="R24" s="533">
        <f t="shared" si="8"/>
        <v>8.7670784090081777E-2</v>
      </c>
      <c r="T24" s="11"/>
    </row>
    <row r="25" spans="1:23" x14ac:dyDescent="0.2">
      <c r="A25" s="1" t="s">
        <v>475</v>
      </c>
      <c r="B25" s="323">
        <v>151</v>
      </c>
      <c r="C25" s="323">
        <v>248</v>
      </c>
      <c r="D25" s="323">
        <v>539</v>
      </c>
      <c r="E25" s="325">
        <v>375</v>
      </c>
      <c r="F25" s="526">
        <v>39.363</v>
      </c>
      <c r="G25" s="326">
        <v>5.4669999999999996</v>
      </c>
      <c r="H25" s="326">
        <v>28.56</v>
      </c>
      <c r="I25" s="326">
        <v>50.17</v>
      </c>
      <c r="J25" s="9">
        <f t="shared" si="2"/>
        <v>10.803000000000001</v>
      </c>
      <c r="K25" s="9">
        <f t="shared" si="3"/>
        <v>10.807000000000002</v>
      </c>
      <c r="L25" s="407">
        <f t="shared" si="4"/>
        <v>0.41259558468612656</v>
      </c>
      <c r="M25">
        <f t="shared" si="9"/>
        <v>1.5950881902114296</v>
      </c>
      <c r="N25" s="534">
        <f t="shared" si="1"/>
        <v>0.47762516077365497</v>
      </c>
      <c r="O25" s="533">
        <f t="shared" si="5"/>
        <v>0.34654306307180816</v>
      </c>
      <c r="P25" s="533">
        <f t="shared" si="6"/>
        <v>0.60875579391850898</v>
      </c>
      <c r="Q25" s="533">
        <f t="shared" si="7"/>
        <v>0.13108209770184681</v>
      </c>
      <c r="R25" s="533">
        <f t="shared" si="8"/>
        <v>0.13113063314485401</v>
      </c>
    </row>
    <row r="26" spans="1:23" x14ac:dyDescent="0.2">
      <c r="A26" s="1" t="s">
        <v>489</v>
      </c>
      <c r="B26" s="323">
        <v>107</v>
      </c>
      <c r="C26" s="323">
        <v>211</v>
      </c>
      <c r="D26" s="323">
        <v>352</v>
      </c>
      <c r="E26" s="325">
        <v>114</v>
      </c>
      <c r="F26" s="526">
        <v>16.241</v>
      </c>
      <c r="G26" s="326">
        <v>3.9159999999999999</v>
      </c>
      <c r="H26" s="326">
        <v>8.5</v>
      </c>
      <c r="I26" s="326">
        <v>23.98</v>
      </c>
      <c r="J26" s="9">
        <f t="shared" si="2"/>
        <v>7.7409999999999997</v>
      </c>
      <c r="K26" s="9">
        <f t="shared" si="3"/>
        <v>7.7390000000000008</v>
      </c>
      <c r="L26" s="407">
        <f t="shared" si="4"/>
        <v>1.3141432177821564</v>
      </c>
      <c r="M26">
        <f t="shared" si="9"/>
        <v>1.2106127663528976</v>
      </c>
      <c r="N26" s="534">
        <f t="shared" si="1"/>
        <v>0.19706603247021137</v>
      </c>
      <c r="O26" s="533">
        <f t="shared" si="5"/>
        <v>0.10313781639041911</v>
      </c>
      <c r="P26" s="533">
        <f t="shared" si="6"/>
        <v>0.29096998082850001</v>
      </c>
      <c r="Q26" s="533">
        <f t="shared" si="7"/>
        <v>9.3928216079792265E-2</v>
      </c>
      <c r="R26" s="533">
        <f t="shared" si="8"/>
        <v>9.3903948358288636E-2</v>
      </c>
    </row>
    <row r="27" spans="1:23" x14ac:dyDescent="0.2">
      <c r="A27" s="1" t="s">
        <v>503</v>
      </c>
      <c r="B27" s="370">
        <v>102</v>
      </c>
      <c r="C27" s="370">
        <v>194</v>
      </c>
      <c r="D27" s="370">
        <v>335</v>
      </c>
      <c r="E27" s="370">
        <v>129</v>
      </c>
      <c r="F27" s="527">
        <v>21.343</v>
      </c>
      <c r="G27" s="371">
        <v>3.4529999999999998</v>
      </c>
      <c r="H27" s="370">
        <v>14.52</v>
      </c>
      <c r="I27" s="370">
        <v>28.17</v>
      </c>
      <c r="J27" s="9">
        <f t="shared" ref="J27:J36" si="10">F27-H27</f>
        <v>6.8230000000000004</v>
      </c>
      <c r="K27" s="9">
        <f t="shared" ref="K27:K36" si="11">I27-F27</f>
        <v>6.8270000000000017</v>
      </c>
      <c r="L27" s="407">
        <f t="shared" si="4"/>
        <v>1.0299395586374924</v>
      </c>
      <c r="M27">
        <f t="shared" si="9"/>
        <v>1.3292554643796375</v>
      </c>
      <c r="N27" s="534">
        <f t="shared" si="1"/>
        <v>0.25897299002596647</v>
      </c>
      <c r="O27" s="533">
        <f t="shared" si="5"/>
        <v>0.17618365811633946</v>
      </c>
      <c r="P27" s="533">
        <f t="shared" si="6"/>
        <v>0.34181085737860073</v>
      </c>
      <c r="Q27" s="533">
        <f t="shared" si="7"/>
        <v>8.2789331909627006E-2</v>
      </c>
      <c r="R27" s="533">
        <f t="shared" si="8"/>
        <v>8.2837867352634265E-2</v>
      </c>
    </row>
    <row r="28" spans="1:23" x14ac:dyDescent="0.2">
      <c r="A28" s="1" t="s">
        <v>511</v>
      </c>
      <c r="B28" s="401">
        <v>94</v>
      </c>
      <c r="C28" s="401">
        <v>113</v>
      </c>
      <c r="D28" s="401">
        <v>301</v>
      </c>
      <c r="E28" s="403">
        <v>81</v>
      </c>
      <c r="F28" s="528">
        <v>21.981999999999999</v>
      </c>
      <c r="G28" s="404">
        <v>3.2240000000000002</v>
      </c>
      <c r="H28" s="404">
        <v>15.59</v>
      </c>
      <c r="I28" s="404">
        <v>28.38</v>
      </c>
      <c r="J28" s="127">
        <f t="shared" si="10"/>
        <v>6.3919999999999995</v>
      </c>
      <c r="K28" s="9">
        <f t="shared" si="11"/>
        <v>6.3979999999999997</v>
      </c>
      <c r="L28" s="407">
        <f t="shared" si="4"/>
        <v>0.72627604403602952</v>
      </c>
      <c r="M28">
        <f t="shared" si="9"/>
        <v>1.3420672035310095</v>
      </c>
      <c r="N28" s="534">
        <f t="shared" si="1"/>
        <v>0.26672652704637562</v>
      </c>
      <c r="O28" s="533">
        <f t="shared" si="5"/>
        <v>0.18916688912078045</v>
      </c>
      <c r="P28" s="533">
        <f t="shared" si="6"/>
        <v>0.34435896813648165</v>
      </c>
      <c r="Q28" s="533">
        <f t="shared" si="7"/>
        <v>7.7559637925595171E-2</v>
      </c>
      <c r="R28" s="533">
        <f t="shared" si="8"/>
        <v>7.763244109010603E-2</v>
      </c>
    </row>
    <row r="29" spans="1:23" x14ac:dyDescent="0.2">
      <c r="A29" s="446" t="s">
        <v>563</v>
      </c>
      <c r="B29" s="401">
        <v>84</v>
      </c>
      <c r="C29" s="401">
        <v>160</v>
      </c>
      <c r="D29" s="401">
        <v>285</v>
      </c>
      <c r="E29" s="403">
        <v>90</v>
      </c>
      <c r="F29" s="528">
        <v>15.965</v>
      </c>
      <c r="G29" s="404">
        <v>2.621</v>
      </c>
      <c r="H29" s="404">
        <v>10.76</v>
      </c>
      <c r="I29" s="404">
        <v>21.17</v>
      </c>
      <c r="J29" s="127">
        <f t="shared" si="10"/>
        <v>5.2050000000000001</v>
      </c>
      <c r="K29" s="9">
        <f t="shared" si="11"/>
        <v>5.2050000000000018</v>
      </c>
      <c r="L29" s="407">
        <f t="shared" si="4"/>
        <v>0.89633573441904169</v>
      </c>
      <c r="M29">
        <f t="shared" si="9"/>
        <v>1.2031689228754636</v>
      </c>
      <c r="N29" s="534">
        <f t="shared" si="1"/>
        <v>0.19371708690271069</v>
      </c>
      <c r="O29" s="533">
        <f t="shared" si="5"/>
        <v>0.13056034168951877</v>
      </c>
      <c r="P29" s="533">
        <f t="shared" si="6"/>
        <v>0.25687383211590264</v>
      </c>
      <c r="Q29" s="533">
        <f t="shared" si="7"/>
        <v>6.3156745213191923E-2</v>
      </c>
      <c r="R29" s="533">
        <f t="shared" si="8"/>
        <v>6.315674521319195E-2</v>
      </c>
    </row>
    <row r="30" spans="1:23" ht="15" x14ac:dyDescent="0.25">
      <c r="A30" s="497" t="s">
        <v>588</v>
      </c>
      <c r="B30" s="401">
        <v>78</v>
      </c>
      <c r="C30" s="401">
        <v>156</v>
      </c>
      <c r="D30" s="401">
        <v>241</v>
      </c>
      <c r="E30" s="403">
        <v>69</v>
      </c>
      <c r="F30" s="528">
        <v>14.31</v>
      </c>
      <c r="G30" s="517">
        <v>2.6890000000000001</v>
      </c>
      <c r="H30" s="545">
        <v>8.9600000000000009</v>
      </c>
      <c r="I30" s="545">
        <v>19.670000000000002</v>
      </c>
      <c r="J30" s="127">
        <f t="shared" si="10"/>
        <v>5.35</v>
      </c>
      <c r="K30" s="9">
        <f t="shared" si="11"/>
        <v>5.3600000000000012</v>
      </c>
      <c r="L30" s="407">
        <f t="shared" si="4"/>
        <v>1.3083857442348008</v>
      </c>
      <c r="M30">
        <f t="shared" si="9"/>
        <v>1.1556396337597763</v>
      </c>
      <c r="N30" s="534">
        <f t="shared" ref="N30:N36" si="12">F30/$P$3</f>
        <v>0.17363554735845851</v>
      </c>
      <c r="O30" s="533">
        <f t="shared" si="5"/>
        <v>0.10871939233625355</v>
      </c>
      <c r="P30" s="533">
        <f t="shared" si="6"/>
        <v>0.23867304098818162</v>
      </c>
      <c r="Q30" s="533">
        <f t="shared" si="7"/>
        <v>6.4916155022204963E-2</v>
      </c>
      <c r="R30" s="533">
        <f t="shared" si="8"/>
        <v>6.5037493629723109E-2</v>
      </c>
    </row>
    <row r="31" spans="1:23" x14ac:dyDescent="0.2">
      <c r="A31" s="497" t="s">
        <v>592</v>
      </c>
      <c r="B31" s="401">
        <v>47</v>
      </c>
      <c r="C31" s="401">
        <v>84</v>
      </c>
      <c r="D31" s="401">
        <v>235</v>
      </c>
      <c r="E31" s="403">
        <v>71</v>
      </c>
      <c r="F31" s="528">
        <v>18.722999999999999</v>
      </c>
      <c r="G31" s="518">
        <v>3.6070000000000002</v>
      </c>
      <c r="H31" s="518">
        <v>11.46</v>
      </c>
      <c r="I31" s="518">
        <v>25.98</v>
      </c>
      <c r="J31" s="127">
        <f t="shared" si="10"/>
        <v>7.2629999999999981</v>
      </c>
      <c r="K31" s="9">
        <f t="shared" si="11"/>
        <v>7.2570000000000014</v>
      </c>
      <c r="L31" s="407">
        <f t="shared" si="4"/>
        <v>0.88126902739945523</v>
      </c>
      <c r="M31">
        <f t="shared" si="9"/>
        <v>1.2723754373005454</v>
      </c>
      <c r="N31" s="534">
        <f t="shared" si="12"/>
        <v>0.22718227485621373</v>
      </c>
      <c r="O31" s="533">
        <f t="shared" si="5"/>
        <v>0.1390540442157886</v>
      </c>
      <c r="P31" s="533">
        <f t="shared" si="6"/>
        <v>0.31523770233212806</v>
      </c>
      <c r="Q31" s="533">
        <f t="shared" si="7"/>
        <v>8.8128230640425131E-2</v>
      </c>
      <c r="R31" s="533">
        <f t="shared" si="8"/>
        <v>8.8055427475914327E-2</v>
      </c>
    </row>
    <row r="32" spans="1:23" x14ac:dyDescent="0.2">
      <c r="A32" s="497" t="s">
        <v>640</v>
      </c>
      <c r="B32" s="401">
        <v>20</v>
      </c>
      <c r="C32" s="401">
        <v>40</v>
      </c>
      <c r="D32" s="401">
        <v>100</v>
      </c>
      <c r="E32" s="403">
        <v>35</v>
      </c>
      <c r="F32" s="528">
        <v>16.5</v>
      </c>
      <c r="G32" s="518">
        <v>3.7890000000000001</v>
      </c>
      <c r="H32" s="518">
        <v>8.57</v>
      </c>
      <c r="I32" s="518">
        <v>24.43</v>
      </c>
      <c r="J32" s="127">
        <f t="shared" si="10"/>
        <v>7.93</v>
      </c>
      <c r="K32" s="9">
        <f t="shared" si="11"/>
        <v>7.93</v>
      </c>
      <c r="L32" s="407">
        <f t="shared" si="4"/>
        <v>2.3236363636363637</v>
      </c>
      <c r="M32">
        <f t="shared" si="9"/>
        <v>1.2174839442139063</v>
      </c>
      <c r="N32" s="534">
        <f t="shared" si="12"/>
        <v>0.20020870240493119</v>
      </c>
      <c r="O32" s="533">
        <f t="shared" si="5"/>
        <v>0.10398718664304608</v>
      </c>
      <c r="P32" s="533">
        <f t="shared" si="6"/>
        <v>0.29643021816681631</v>
      </c>
      <c r="Q32" s="533">
        <f t="shared" si="7"/>
        <v>9.6221515761885104E-2</v>
      </c>
      <c r="R32" s="533">
        <f t="shared" si="8"/>
        <v>9.6221515761885118E-2</v>
      </c>
    </row>
    <row r="33" spans="1:18" x14ac:dyDescent="0.2">
      <c r="A33" s="280" t="s">
        <v>668</v>
      </c>
      <c r="B33" s="401">
        <v>57</v>
      </c>
      <c r="C33" s="401">
        <v>62</v>
      </c>
      <c r="D33" s="401">
        <v>253</v>
      </c>
      <c r="E33" s="403">
        <v>99</v>
      </c>
      <c r="F33" s="528">
        <v>38.340000000000003</v>
      </c>
      <c r="G33" s="518">
        <v>5.9370000000000003</v>
      </c>
      <c r="H33" s="518">
        <v>26.47</v>
      </c>
      <c r="I33" s="518">
        <v>50.21</v>
      </c>
      <c r="J33" s="127">
        <f t="shared" si="10"/>
        <v>11.870000000000005</v>
      </c>
      <c r="K33" s="9">
        <f t="shared" si="11"/>
        <v>11.869999999999997</v>
      </c>
      <c r="L33" s="407">
        <f t="shared" si="4"/>
        <v>0.80774647887323936</v>
      </c>
      <c r="M33">
        <f t="shared" si="9"/>
        <v>1.5836521085420439</v>
      </c>
      <c r="N33" s="534">
        <f t="shared" si="12"/>
        <v>0.46521222122454925</v>
      </c>
      <c r="O33" s="533">
        <f t="shared" si="5"/>
        <v>0.32118329410051688</v>
      </c>
      <c r="P33" s="533">
        <f t="shared" si="6"/>
        <v>0.60924114834858156</v>
      </c>
      <c r="Q33" s="533">
        <f t="shared" si="7"/>
        <v>0.14402892712403237</v>
      </c>
      <c r="R33" s="533">
        <f t="shared" si="8"/>
        <v>0.14402892712403231</v>
      </c>
    </row>
    <row r="34" spans="1:18" x14ac:dyDescent="0.2">
      <c r="A34" s="280" t="s">
        <v>677</v>
      </c>
      <c r="B34" s="401">
        <v>40</v>
      </c>
      <c r="C34" s="401">
        <v>59</v>
      </c>
      <c r="D34" s="614">
        <v>177.6</v>
      </c>
      <c r="E34" s="403">
        <v>74</v>
      </c>
      <c r="F34" s="528">
        <v>30.969000000000001</v>
      </c>
      <c r="G34" s="518">
        <v>4.6479999999999997</v>
      </c>
      <c r="H34" s="518">
        <v>21.57</v>
      </c>
      <c r="I34" s="518">
        <v>40.369999999999997</v>
      </c>
      <c r="J34" s="127">
        <f t="shared" si="10"/>
        <v>9.3990000000000009</v>
      </c>
      <c r="K34" s="9">
        <f t="shared" si="11"/>
        <v>9.4009999999999962</v>
      </c>
      <c r="L34" s="407">
        <f t="shared" si="4"/>
        <v>1.933352707546256</v>
      </c>
      <c r="M34">
        <f t="shared" si="9"/>
        <v>1.490927182060255</v>
      </c>
      <c r="N34" s="534">
        <f t="shared" si="12"/>
        <v>0.37577353362292815</v>
      </c>
      <c r="O34" s="533">
        <f t="shared" si="5"/>
        <v>0.26172737641662824</v>
      </c>
      <c r="P34" s="533">
        <f t="shared" si="6"/>
        <v>0.48984395855073165</v>
      </c>
      <c r="Q34" s="533">
        <f t="shared" si="7"/>
        <v>0.1140461572062999</v>
      </c>
      <c r="R34" s="533">
        <f t="shared" si="8"/>
        <v>0.1140704249278035</v>
      </c>
    </row>
    <row r="35" spans="1:18" x14ac:dyDescent="0.2">
      <c r="A35" s="280" t="s">
        <v>708</v>
      </c>
      <c r="B35" s="401">
        <v>54</v>
      </c>
      <c r="C35" s="401">
        <v>69</v>
      </c>
      <c r="D35" s="614">
        <v>238</v>
      </c>
      <c r="E35" s="403">
        <v>171</v>
      </c>
      <c r="F35" s="528">
        <v>59.874000000000002</v>
      </c>
      <c r="G35" s="518">
        <v>6.4240000000000004</v>
      </c>
      <c r="H35" s="518">
        <v>47.03</v>
      </c>
      <c r="I35" s="518">
        <v>72.72</v>
      </c>
      <c r="J35" s="127">
        <f t="shared" si="10"/>
        <v>12.844000000000001</v>
      </c>
      <c r="K35" s="9">
        <f t="shared" si="11"/>
        <v>12.845999999999997</v>
      </c>
      <c r="L35" s="407">
        <f t="shared" si="4"/>
        <v>0.99660954671476765</v>
      </c>
      <c r="M35">
        <f t="shared" si="9"/>
        <v>1.777238273009532</v>
      </c>
      <c r="N35" s="534">
        <f t="shared" si="12"/>
        <v>0.72650277865411217</v>
      </c>
      <c r="O35" s="533">
        <f t="shared" si="5"/>
        <v>0.57065547115781301</v>
      </c>
      <c r="P35" s="533">
        <f t="shared" si="6"/>
        <v>0.88237435387191498</v>
      </c>
      <c r="Q35" s="533">
        <f t="shared" si="7"/>
        <v>0.15584730749629916</v>
      </c>
      <c r="R35" s="533">
        <f t="shared" si="8"/>
        <v>0.15587157521780282</v>
      </c>
    </row>
    <row r="36" spans="1:18" x14ac:dyDescent="0.2">
      <c r="A36" s="280" t="s">
        <v>719</v>
      </c>
      <c r="B36" s="401">
        <v>44</v>
      </c>
      <c r="C36" s="401">
        <v>44</v>
      </c>
      <c r="D36" s="614">
        <v>194.4</v>
      </c>
      <c r="E36" s="403">
        <v>116</v>
      </c>
      <c r="F36" s="528">
        <v>59.670999999999999</v>
      </c>
      <c r="G36" s="518">
        <v>8.2319999999999993</v>
      </c>
      <c r="H36" s="518">
        <v>41.067999999999998</v>
      </c>
      <c r="I36" s="518">
        <v>76.27</v>
      </c>
      <c r="J36" s="127">
        <f t="shared" si="10"/>
        <v>18.603000000000002</v>
      </c>
      <c r="K36" s="9">
        <f t="shared" si="11"/>
        <v>16.598999999999997</v>
      </c>
      <c r="L36" s="407">
        <f>F38/F36</f>
        <v>0</v>
      </c>
      <c r="M36">
        <f t="shared" si="9"/>
        <v>1.7757633160549713</v>
      </c>
      <c r="N36" s="534">
        <f t="shared" si="12"/>
        <v>0.72403960492149388</v>
      </c>
      <c r="O36" s="533">
        <f t="shared" si="5"/>
        <v>0.49831339335549779</v>
      </c>
      <c r="P36" s="533">
        <f t="shared" si="6"/>
        <v>0.92544955954085462</v>
      </c>
      <c r="Q36" s="533">
        <f t="shared" si="7"/>
        <v>0.22572621156599609</v>
      </c>
      <c r="R36" s="533">
        <f t="shared" si="8"/>
        <v>0.20140995461936073</v>
      </c>
    </row>
    <row r="37" spans="1:18" x14ac:dyDescent="0.2">
      <c r="A37" s="280" t="s">
        <v>738</v>
      </c>
      <c r="B37" s="401"/>
      <c r="C37" s="401"/>
      <c r="D37" s="614"/>
      <c r="E37" s="403"/>
      <c r="F37" s="528"/>
      <c r="G37" s="518"/>
      <c r="H37" s="518"/>
      <c r="I37" s="518"/>
      <c r="J37" s="127"/>
      <c r="K37" s="9"/>
      <c r="L37" s="407"/>
      <c r="N37" s="534"/>
      <c r="O37" s="533"/>
      <c r="P37" s="533"/>
      <c r="Q37" s="533"/>
      <c r="R37" s="533"/>
    </row>
    <row r="38" spans="1:18" x14ac:dyDescent="0.2">
      <c r="A38" s="280"/>
    </row>
    <row r="39" spans="1:18" x14ac:dyDescent="0.2">
      <c r="A39" s="280"/>
    </row>
    <row r="40" spans="1:18" x14ac:dyDescent="0.2">
      <c r="A40" s="280"/>
    </row>
    <row r="41" spans="1:18" x14ac:dyDescent="0.2">
      <c r="A41" s="280"/>
    </row>
    <row r="42" spans="1:18" x14ac:dyDescent="0.2">
      <c r="A42" s="280"/>
    </row>
    <row r="43" spans="1:18" x14ac:dyDescent="0.2">
      <c r="A43" s="280"/>
    </row>
    <row r="44" spans="1:18" x14ac:dyDescent="0.2">
      <c r="A44" s="280"/>
    </row>
    <row r="45" spans="1:18" x14ac:dyDescent="0.2">
      <c r="A45" s="280"/>
    </row>
    <row r="46" spans="1:18" x14ac:dyDescent="0.2">
      <c r="A46" s="280"/>
    </row>
    <row r="47" spans="1:18" x14ac:dyDescent="0.2">
      <c r="A47" s="280"/>
    </row>
    <row r="48" spans="1:18" x14ac:dyDescent="0.2">
      <c r="A48" s="280"/>
    </row>
    <row r="49" spans="1:1" x14ac:dyDescent="0.2">
      <c r="A49" s="280"/>
    </row>
    <row r="50" spans="1:1" x14ac:dyDescent="0.2">
      <c r="A50" s="280"/>
    </row>
    <row r="51" spans="1:1" x14ac:dyDescent="0.2">
      <c r="A51" s="280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44"/>
  <sheetViews>
    <sheetView zoomScaleNormal="100" workbookViewId="0">
      <pane ySplit="4" topLeftCell="A6" activePane="bottomLeft" state="frozenSplit"/>
      <selection pane="bottomLeft" activeCell="L37" sqref="L37"/>
    </sheetView>
  </sheetViews>
  <sheetFormatPr defaultRowHeight="12.75" x14ac:dyDescent="0.2"/>
  <cols>
    <col min="1" max="1" width="7.28515625" customWidth="1"/>
    <col min="2" max="2" width="12.5703125" customWidth="1"/>
  </cols>
  <sheetData>
    <row r="1" spans="1:29" ht="16.5" thickBot="1" x14ac:dyDescent="0.3">
      <c r="A1" s="331" t="s">
        <v>451</v>
      </c>
      <c r="B1" s="107"/>
      <c r="C1" s="107"/>
      <c r="D1" s="107"/>
      <c r="E1" s="108"/>
      <c r="F1" s="107"/>
      <c r="G1" s="108"/>
    </row>
    <row r="2" spans="1:29" x14ac:dyDescent="0.2">
      <c r="A2" s="294" t="s">
        <v>453</v>
      </c>
      <c r="B2" s="87"/>
      <c r="C2" s="87"/>
      <c r="D2" s="87"/>
      <c r="E2" s="87"/>
    </row>
    <row r="3" spans="1:29" x14ac:dyDescent="0.2">
      <c r="A3" s="37" t="s">
        <v>454</v>
      </c>
    </row>
    <row r="4" spans="1:29" ht="40.5" customHeight="1" x14ac:dyDescent="0.2">
      <c r="A4" s="276" t="s">
        <v>75</v>
      </c>
      <c r="B4" s="275" t="s">
        <v>421</v>
      </c>
      <c r="C4" s="275" t="s">
        <v>420</v>
      </c>
      <c r="D4" s="275" t="s">
        <v>422</v>
      </c>
      <c r="E4" s="275" t="s">
        <v>423</v>
      </c>
      <c r="F4" s="275" t="s">
        <v>424</v>
      </c>
      <c r="G4" s="275" t="s">
        <v>425</v>
      </c>
      <c r="H4" s="275" t="s">
        <v>426</v>
      </c>
      <c r="I4" s="283" t="s">
        <v>427</v>
      </c>
      <c r="J4" s="284" t="s">
        <v>429</v>
      </c>
      <c r="K4" s="285" t="s">
        <v>430</v>
      </c>
    </row>
    <row r="5" spans="1:29" x14ac:dyDescent="0.2">
      <c r="A5" s="549" t="s">
        <v>431</v>
      </c>
      <c r="B5" s="288">
        <v>561</v>
      </c>
      <c r="C5" s="288">
        <v>810</v>
      </c>
      <c r="D5" s="288">
        <v>1765</v>
      </c>
      <c r="E5" s="288">
        <v>0</v>
      </c>
      <c r="F5" s="547">
        <v>0</v>
      </c>
      <c r="G5" s="289">
        <v>0</v>
      </c>
      <c r="H5" s="289">
        <v>0</v>
      </c>
      <c r="I5" s="289">
        <v>0</v>
      </c>
      <c r="J5" s="9">
        <f t="shared" ref="J5:J25" si="0">F5-H5</f>
        <v>0</v>
      </c>
      <c r="K5" s="9">
        <f t="shared" ref="K5:K25" si="1">I5-F5</f>
        <v>0</v>
      </c>
    </row>
    <row r="6" spans="1:29" x14ac:dyDescent="0.2">
      <c r="A6" s="549" t="s">
        <v>432</v>
      </c>
      <c r="B6" s="288">
        <v>609</v>
      </c>
      <c r="C6" s="288">
        <v>747</v>
      </c>
      <c r="D6" s="288">
        <v>2128</v>
      </c>
      <c r="E6" s="288">
        <v>2</v>
      </c>
      <c r="F6" s="547">
        <v>9.4E-2</v>
      </c>
      <c r="G6" s="289">
        <v>6.6400000000000001E-2</v>
      </c>
      <c r="H6" s="289">
        <v>0</v>
      </c>
      <c r="I6" s="289">
        <v>0.22</v>
      </c>
      <c r="J6" s="9">
        <f t="shared" si="0"/>
        <v>9.4E-2</v>
      </c>
      <c r="K6" s="9">
        <f t="shared" si="1"/>
        <v>0.126</v>
      </c>
    </row>
    <row r="7" spans="1:29" x14ac:dyDescent="0.2">
      <c r="A7" s="549" t="s">
        <v>433</v>
      </c>
      <c r="B7" s="288">
        <v>225</v>
      </c>
      <c r="C7" s="288">
        <v>278</v>
      </c>
      <c r="D7" s="288">
        <v>780.5</v>
      </c>
      <c r="E7" s="288">
        <v>0</v>
      </c>
      <c r="F7" s="547">
        <v>0</v>
      </c>
      <c r="G7" s="289">
        <v>0</v>
      </c>
      <c r="H7" s="289">
        <v>0</v>
      </c>
      <c r="I7" s="289">
        <v>0</v>
      </c>
      <c r="J7" s="9">
        <f t="shared" si="0"/>
        <v>0</v>
      </c>
      <c r="K7" s="9">
        <f t="shared" si="1"/>
        <v>0</v>
      </c>
      <c r="Z7" s="11">
        <f>AVERAGE(F5:F18)</f>
        <v>0.35120714285714288</v>
      </c>
      <c r="AA7" s="11">
        <f>STDEV(F6:F19)</f>
        <v>2.324911371499927</v>
      </c>
      <c r="AC7" t="s">
        <v>679</v>
      </c>
    </row>
    <row r="8" spans="1:29" x14ac:dyDescent="0.2">
      <c r="A8" s="549" t="s">
        <v>434</v>
      </c>
      <c r="B8" s="288">
        <v>378</v>
      </c>
      <c r="C8" s="288">
        <v>418</v>
      </c>
      <c r="D8" s="288">
        <v>1307.5</v>
      </c>
      <c r="E8" s="288">
        <v>0</v>
      </c>
      <c r="F8" s="547">
        <v>0</v>
      </c>
      <c r="G8" s="289">
        <v>0</v>
      </c>
      <c r="H8" s="289">
        <v>0</v>
      </c>
      <c r="I8" s="289">
        <v>0</v>
      </c>
      <c r="J8" s="9">
        <f t="shared" si="0"/>
        <v>0</v>
      </c>
      <c r="K8" s="9">
        <f t="shared" si="1"/>
        <v>0</v>
      </c>
      <c r="Z8" s="11">
        <f>AVERAGE(F19:F33)</f>
        <v>22.744146666666666</v>
      </c>
      <c r="AA8" s="11">
        <f>STDEV(F20:F33)</f>
        <v>12.940779636108855</v>
      </c>
      <c r="AC8" t="s">
        <v>680</v>
      </c>
    </row>
    <row r="9" spans="1:29" x14ac:dyDescent="0.2">
      <c r="A9" s="549" t="s">
        <v>435</v>
      </c>
      <c r="B9" s="288">
        <v>368</v>
      </c>
      <c r="C9" s="288">
        <v>386</v>
      </c>
      <c r="D9" s="288">
        <v>1177.5</v>
      </c>
      <c r="E9" s="288">
        <v>3</v>
      </c>
      <c r="F9" s="547">
        <v>0.25480000000000003</v>
      </c>
      <c r="G9" s="289">
        <v>0.14710000000000001</v>
      </c>
      <c r="H9" s="289">
        <v>0</v>
      </c>
      <c r="I9" s="289">
        <v>0.54</v>
      </c>
      <c r="J9" s="9">
        <f t="shared" si="0"/>
        <v>0.25480000000000003</v>
      </c>
      <c r="K9" s="9">
        <f t="shared" si="1"/>
        <v>0.28520000000000001</v>
      </c>
    </row>
    <row r="10" spans="1:29" x14ac:dyDescent="0.2">
      <c r="A10" s="549" t="s">
        <v>436</v>
      </c>
      <c r="B10" s="288">
        <v>277</v>
      </c>
      <c r="C10" s="288">
        <v>374</v>
      </c>
      <c r="D10" s="288">
        <v>888</v>
      </c>
      <c r="E10" s="288">
        <v>1</v>
      </c>
      <c r="F10" s="547">
        <v>0.11260000000000001</v>
      </c>
      <c r="G10" s="289">
        <v>0.1124</v>
      </c>
      <c r="H10" s="289">
        <v>0</v>
      </c>
      <c r="I10" s="289">
        <v>0.33</v>
      </c>
      <c r="J10" s="9">
        <f t="shared" si="0"/>
        <v>0.11260000000000001</v>
      </c>
      <c r="K10" s="9">
        <f t="shared" si="1"/>
        <v>0.21740000000000001</v>
      </c>
      <c r="Z10" s="602">
        <f>Z8/Z7</f>
        <v>64.759920546143562</v>
      </c>
    </row>
    <row r="11" spans="1:29" x14ac:dyDescent="0.2">
      <c r="A11" s="549" t="s">
        <v>437</v>
      </c>
      <c r="B11" s="288">
        <v>286</v>
      </c>
      <c r="C11" s="288">
        <v>401</v>
      </c>
      <c r="D11" s="288">
        <v>978.5</v>
      </c>
      <c r="E11" s="288">
        <v>7</v>
      </c>
      <c r="F11" s="547">
        <v>0.56210000000000004</v>
      </c>
      <c r="G11" s="289">
        <v>0.21879999999999999</v>
      </c>
      <c r="H11" s="289">
        <v>0.13</v>
      </c>
      <c r="I11" s="289">
        <v>0.99</v>
      </c>
      <c r="J11" s="9">
        <f t="shared" si="0"/>
        <v>0.43210000000000004</v>
      </c>
      <c r="K11" s="9">
        <f t="shared" si="1"/>
        <v>0.42789999999999995</v>
      </c>
      <c r="Z11" s="602"/>
    </row>
    <row r="12" spans="1:29" x14ac:dyDescent="0.2">
      <c r="A12" s="549" t="s">
        <v>438</v>
      </c>
      <c r="B12" s="288">
        <v>244</v>
      </c>
      <c r="C12" s="288">
        <v>267</v>
      </c>
      <c r="D12" s="288">
        <v>779.5</v>
      </c>
      <c r="E12" s="288">
        <v>17</v>
      </c>
      <c r="F12" s="547">
        <v>1.9242999999999999</v>
      </c>
      <c r="G12" s="289">
        <v>0.62960000000000005</v>
      </c>
      <c r="H12" s="289">
        <v>0.69</v>
      </c>
      <c r="I12" s="289">
        <v>3.16</v>
      </c>
      <c r="J12" s="9">
        <f t="shared" si="0"/>
        <v>1.2343</v>
      </c>
      <c r="K12" s="9">
        <f t="shared" si="1"/>
        <v>1.2357000000000002</v>
      </c>
    </row>
    <row r="13" spans="1:29" x14ac:dyDescent="0.2">
      <c r="A13" s="549" t="s">
        <v>439</v>
      </c>
      <c r="B13" s="288">
        <v>204</v>
      </c>
      <c r="C13" s="288">
        <v>269</v>
      </c>
      <c r="D13" s="288">
        <v>649</v>
      </c>
      <c r="E13" s="288">
        <v>0</v>
      </c>
      <c r="F13" s="547">
        <v>0</v>
      </c>
      <c r="G13" s="289">
        <v>0</v>
      </c>
      <c r="H13" s="289">
        <v>0</v>
      </c>
      <c r="I13" s="289">
        <v>0</v>
      </c>
      <c r="J13" s="9">
        <f t="shared" si="0"/>
        <v>0</v>
      </c>
      <c r="K13" s="9">
        <f t="shared" si="1"/>
        <v>0</v>
      </c>
    </row>
    <row r="14" spans="1:29" x14ac:dyDescent="0.2">
      <c r="A14" s="549" t="s">
        <v>440</v>
      </c>
      <c r="B14" s="288">
        <v>133</v>
      </c>
      <c r="C14" s="288">
        <v>133</v>
      </c>
      <c r="D14" s="288">
        <v>411</v>
      </c>
      <c r="E14" s="288">
        <v>0</v>
      </c>
      <c r="F14" s="547">
        <v>0</v>
      </c>
      <c r="G14" s="289">
        <v>0</v>
      </c>
      <c r="H14" s="289">
        <v>0</v>
      </c>
      <c r="I14" s="289">
        <v>0</v>
      </c>
      <c r="J14" s="9">
        <f t="shared" si="0"/>
        <v>0</v>
      </c>
      <c r="K14" s="9">
        <f t="shared" si="1"/>
        <v>0</v>
      </c>
    </row>
    <row r="15" spans="1:29" x14ac:dyDescent="0.2">
      <c r="A15" s="549" t="s">
        <v>441</v>
      </c>
      <c r="B15" s="288">
        <v>120</v>
      </c>
      <c r="C15" s="288">
        <v>120</v>
      </c>
      <c r="D15" s="288">
        <v>388</v>
      </c>
      <c r="E15" s="288">
        <v>0</v>
      </c>
      <c r="F15" s="547">
        <v>0</v>
      </c>
      <c r="G15" s="289">
        <v>0</v>
      </c>
      <c r="H15" s="289">
        <v>0</v>
      </c>
      <c r="I15" s="289">
        <v>0</v>
      </c>
      <c r="J15" s="9">
        <f t="shared" si="0"/>
        <v>0</v>
      </c>
      <c r="K15" s="9">
        <f t="shared" si="1"/>
        <v>0</v>
      </c>
    </row>
    <row r="16" spans="1:29" x14ac:dyDescent="0.2">
      <c r="A16" s="549" t="s">
        <v>442</v>
      </c>
      <c r="B16" s="288">
        <v>105</v>
      </c>
      <c r="C16" s="288">
        <v>197</v>
      </c>
      <c r="D16" s="288">
        <v>349.5</v>
      </c>
      <c r="E16" s="288">
        <v>0</v>
      </c>
      <c r="F16" s="547">
        <v>0</v>
      </c>
      <c r="G16" s="289">
        <v>0</v>
      </c>
      <c r="H16" s="289">
        <v>0</v>
      </c>
      <c r="I16" s="289">
        <v>0</v>
      </c>
      <c r="J16" s="9">
        <f t="shared" si="0"/>
        <v>0</v>
      </c>
      <c r="K16" s="9">
        <f t="shared" si="1"/>
        <v>0</v>
      </c>
    </row>
    <row r="17" spans="1:11" x14ac:dyDescent="0.2">
      <c r="A17" s="549" t="s">
        <v>443</v>
      </c>
      <c r="B17" s="288">
        <v>135</v>
      </c>
      <c r="C17" s="288">
        <v>168</v>
      </c>
      <c r="D17" s="288">
        <v>435.5</v>
      </c>
      <c r="E17" s="288">
        <v>0</v>
      </c>
      <c r="F17" s="547">
        <v>0</v>
      </c>
      <c r="G17" s="289">
        <v>0</v>
      </c>
      <c r="H17" s="289">
        <v>0</v>
      </c>
      <c r="I17" s="289">
        <v>0</v>
      </c>
      <c r="J17" s="9">
        <f t="shared" si="0"/>
        <v>0</v>
      </c>
      <c r="K17" s="9">
        <f t="shared" si="1"/>
        <v>0</v>
      </c>
    </row>
    <row r="18" spans="1:11" x14ac:dyDescent="0.2">
      <c r="A18" s="549" t="s">
        <v>444</v>
      </c>
      <c r="B18" s="288">
        <v>229</v>
      </c>
      <c r="C18" s="288">
        <v>372</v>
      </c>
      <c r="D18" s="288">
        <v>821</v>
      </c>
      <c r="E18" s="288">
        <v>23</v>
      </c>
      <c r="F18" s="547">
        <v>1.9691000000000001</v>
      </c>
      <c r="G18" s="289">
        <v>0.53300000000000003</v>
      </c>
      <c r="H18" s="289">
        <v>0.92</v>
      </c>
      <c r="I18" s="289">
        <v>3.02</v>
      </c>
      <c r="J18" s="9">
        <f t="shared" si="0"/>
        <v>1.0491000000000001</v>
      </c>
      <c r="K18" s="9">
        <f t="shared" si="1"/>
        <v>1.0508999999999999</v>
      </c>
    </row>
    <row r="19" spans="1:11" x14ac:dyDescent="0.2">
      <c r="A19" s="550" t="s">
        <v>445</v>
      </c>
      <c r="B19" s="288">
        <v>120</v>
      </c>
      <c r="C19" s="288">
        <v>255</v>
      </c>
      <c r="D19" s="288">
        <v>421</v>
      </c>
      <c r="E19" s="288">
        <v>77</v>
      </c>
      <c r="F19" s="547">
        <v>8.6896000000000004</v>
      </c>
      <c r="G19" s="289">
        <v>1.6707000000000001</v>
      </c>
      <c r="H19" s="289">
        <v>5.39</v>
      </c>
      <c r="I19" s="289">
        <v>11.99</v>
      </c>
      <c r="J19" s="9">
        <f t="shared" si="0"/>
        <v>3.2996000000000008</v>
      </c>
      <c r="K19" s="9">
        <f t="shared" si="1"/>
        <v>3.3003999999999998</v>
      </c>
    </row>
    <row r="20" spans="1:11" x14ac:dyDescent="0.2">
      <c r="A20" s="550" t="s">
        <v>446</v>
      </c>
      <c r="B20" s="288">
        <v>133</v>
      </c>
      <c r="C20" s="288">
        <v>311</v>
      </c>
      <c r="D20" s="288">
        <v>466</v>
      </c>
      <c r="E20" s="288">
        <v>176</v>
      </c>
      <c r="F20" s="547">
        <v>17.060099999999998</v>
      </c>
      <c r="G20" s="289">
        <v>2.9590000000000001</v>
      </c>
      <c r="H20" s="289">
        <v>11.21</v>
      </c>
      <c r="I20" s="289">
        <v>22.91</v>
      </c>
      <c r="J20" s="9">
        <f t="shared" si="0"/>
        <v>5.8500999999999976</v>
      </c>
      <c r="K20" s="9">
        <f t="shared" si="1"/>
        <v>5.8499000000000017</v>
      </c>
    </row>
    <row r="21" spans="1:11" x14ac:dyDescent="0.2">
      <c r="A21" s="550" t="s">
        <v>447</v>
      </c>
      <c r="B21" s="288">
        <v>132</v>
      </c>
      <c r="C21" s="288">
        <v>274</v>
      </c>
      <c r="D21" s="288">
        <v>446</v>
      </c>
      <c r="E21" s="288">
        <v>139</v>
      </c>
      <c r="F21" s="547">
        <v>16.031400000000001</v>
      </c>
      <c r="G21" s="289">
        <v>2.3332999999999999</v>
      </c>
      <c r="H21" s="289">
        <v>11.42</v>
      </c>
      <c r="I21" s="289">
        <v>20.64</v>
      </c>
      <c r="J21" s="9">
        <f t="shared" si="0"/>
        <v>4.6114000000000015</v>
      </c>
      <c r="K21" s="9">
        <f t="shared" si="1"/>
        <v>4.6085999999999991</v>
      </c>
    </row>
    <row r="22" spans="1:11" x14ac:dyDescent="0.2">
      <c r="A22" s="550" t="s">
        <v>448</v>
      </c>
      <c r="B22" s="288">
        <v>140</v>
      </c>
      <c r="C22" s="288">
        <v>289</v>
      </c>
      <c r="D22" s="288">
        <v>484</v>
      </c>
      <c r="E22" s="288">
        <v>156</v>
      </c>
      <c r="F22" s="547">
        <v>14.875999999999999</v>
      </c>
      <c r="G22" s="289">
        <v>2.6263000000000001</v>
      </c>
      <c r="H22" s="289">
        <v>9.69</v>
      </c>
      <c r="I22" s="289">
        <v>20.07</v>
      </c>
      <c r="J22" s="9">
        <f t="shared" si="0"/>
        <v>5.1859999999999999</v>
      </c>
      <c r="K22" s="9">
        <f t="shared" si="1"/>
        <v>5.1940000000000008</v>
      </c>
    </row>
    <row r="23" spans="1:11" x14ac:dyDescent="0.2">
      <c r="A23" s="550" t="s">
        <v>449</v>
      </c>
      <c r="B23" s="288">
        <v>86</v>
      </c>
      <c r="C23" s="288">
        <v>135</v>
      </c>
      <c r="D23" s="288">
        <v>301</v>
      </c>
      <c r="E23" s="288">
        <v>29</v>
      </c>
      <c r="F23" s="547">
        <v>6.3122999999999996</v>
      </c>
      <c r="G23" s="289">
        <v>2.2353000000000001</v>
      </c>
      <c r="H23" s="289">
        <v>1.88</v>
      </c>
      <c r="I23" s="289">
        <v>10.75</v>
      </c>
      <c r="J23" s="9">
        <f t="shared" si="0"/>
        <v>4.4322999999999997</v>
      </c>
      <c r="K23" s="9">
        <f t="shared" si="1"/>
        <v>4.4377000000000004</v>
      </c>
    </row>
    <row r="24" spans="1:11" x14ac:dyDescent="0.2">
      <c r="A24" s="551" t="s">
        <v>475</v>
      </c>
      <c r="B24" s="323">
        <v>152</v>
      </c>
      <c r="C24" s="323">
        <v>250</v>
      </c>
      <c r="D24" s="323">
        <v>542</v>
      </c>
      <c r="E24" s="327">
        <v>249</v>
      </c>
      <c r="F24" s="548">
        <v>31.273</v>
      </c>
      <c r="G24" s="328">
        <v>5.2629999999999999</v>
      </c>
      <c r="H24" s="328">
        <v>20.89</v>
      </c>
      <c r="I24" s="328">
        <v>41.65</v>
      </c>
      <c r="J24" s="9">
        <f t="shared" si="0"/>
        <v>10.382999999999999</v>
      </c>
      <c r="K24" s="9">
        <f t="shared" si="1"/>
        <v>10.376999999999999</v>
      </c>
    </row>
    <row r="25" spans="1:11" x14ac:dyDescent="0.2">
      <c r="A25" s="552" t="s">
        <v>489</v>
      </c>
      <c r="B25" s="288">
        <v>107</v>
      </c>
      <c r="C25" s="288">
        <v>211</v>
      </c>
      <c r="D25" s="288">
        <v>352</v>
      </c>
      <c r="E25" s="288">
        <v>145</v>
      </c>
      <c r="F25" s="547">
        <v>22.254000000000001</v>
      </c>
      <c r="G25" s="289">
        <v>4.6900000000000004</v>
      </c>
      <c r="H25" s="288">
        <v>12.99</v>
      </c>
      <c r="I25" s="288">
        <v>31.52</v>
      </c>
      <c r="J25" s="9">
        <f t="shared" si="0"/>
        <v>9.2640000000000011</v>
      </c>
      <c r="K25" s="9">
        <f t="shared" si="1"/>
        <v>9.2659999999999982</v>
      </c>
    </row>
    <row r="26" spans="1:11" x14ac:dyDescent="0.2">
      <c r="A26" s="551" t="s">
        <v>503</v>
      </c>
      <c r="B26" s="370">
        <v>102</v>
      </c>
      <c r="C26" s="370">
        <v>194</v>
      </c>
      <c r="D26" s="370">
        <v>335</v>
      </c>
      <c r="E26" s="370">
        <v>86</v>
      </c>
      <c r="F26" s="527">
        <v>13.483000000000001</v>
      </c>
      <c r="G26" s="371">
        <v>2.7679999999999998</v>
      </c>
      <c r="H26" s="370">
        <v>8.01</v>
      </c>
      <c r="I26" s="370">
        <v>18.95</v>
      </c>
      <c r="J26" s="9">
        <f t="shared" ref="J26:J35" si="2">F26-H26</f>
        <v>5.4730000000000008</v>
      </c>
      <c r="K26" s="9">
        <f t="shared" ref="K26:K35" si="3">I26-F26</f>
        <v>5.4669999999999987</v>
      </c>
    </row>
    <row r="27" spans="1:11" x14ac:dyDescent="0.2">
      <c r="A27" s="551" t="s">
        <v>511</v>
      </c>
      <c r="B27" s="401">
        <v>94</v>
      </c>
      <c r="C27" s="401">
        <v>113</v>
      </c>
      <c r="D27" s="401">
        <v>301</v>
      </c>
      <c r="E27" s="288">
        <v>174</v>
      </c>
      <c r="F27" s="547">
        <v>47.841000000000001</v>
      </c>
      <c r="G27" s="289">
        <v>7.6980000000000004</v>
      </c>
      <c r="H27" s="288">
        <v>32.57</v>
      </c>
      <c r="I27" s="288">
        <v>63.11</v>
      </c>
      <c r="J27" s="127">
        <f t="shared" si="2"/>
        <v>15.271000000000001</v>
      </c>
      <c r="K27" s="9">
        <f t="shared" si="3"/>
        <v>15.268999999999998</v>
      </c>
    </row>
    <row r="28" spans="1:11" x14ac:dyDescent="0.2">
      <c r="A28" s="551" t="s">
        <v>563</v>
      </c>
      <c r="B28" s="288">
        <v>84</v>
      </c>
      <c r="C28" s="288">
        <v>160</v>
      </c>
      <c r="D28" s="288">
        <v>285</v>
      </c>
      <c r="E28" s="288">
        <v>178</v>
      </c>
      <c r="F28" s="547">
        <v>44.561</v>
      </c>
      <c r="G28" s="289">
        <v>17.215</v>
      </c>
      <c r="H28" s="288">
        <v>10.41</v>
      </c>
      <c r="I28" s="288">
        <v>78.72</v>
      </c>
      <c r="J28" s="127">
        <f t="shared" si="2"/>
        <v>34.150999999999996</v>
      </c>
      <c r="K28" s="9">
        <f t="shared" si="3"/>
        <v>34.158999999999999</v>
      </c>
    </row>
    <row r="29" spans="1:11" x14ac:dyDescent="0.2">
      <c r="A29" s="551" t="s">
        <v>588</v>
      </c>
      <c r="B29" s="288">
        <v>78</v>
      </c>
      <c r="C29" s="288">
        <v>156</v>
      </c>
      <c r="D29" s="288">
        <v>241</v>
      </c>
      <c r="E29" s="288">
        <v>87</v>
      </c>
      <c r="F29" s="547">
        <v>18.049800000000001</v>
      </c>
      <c r="G29" s="289">
        <v>4.0726000000000004</v>
      </c>
      <c r="H29" s="288">
        <v>9.9499999999999993</v>
      </c>
      <c r="I29" s="289">
        <v>26.2</v>
      </c>
      <c r="J29" s="127">
        <f t="shared" si="2"/>
        <v>8.0998000000000019</v>
      </c>
      <c r="K29" s="9">
        <f t="shared" si="3"/>
        <v>8.1501999999999981</v>
      </c>
    </row>
    <row r="30" spans="1:11" x14ac:dyDescent="0.2">
      <c r="A30" s="551" t="s">
        <v>592</v>
      </c>
      <c r="B30" s="288">
        <v>47</v>
      </c>
      <c r="C30" s="288">
        <v>84</v>
      </c>
      <c r="D30" s="288">
        <v>235</v>
      </c>
      <c r="E30" s="288">
        <v>147</v>
      </c>
      <c r="F30" s="547">
        <v>37.021000000000001</v>
      </c>
      <c r="G30" s="288">
        <v>7.08</v>
      </c>
      <c r="H30" s="288">
        <v>22.77</v>
      </c>
      <c r="I30" s="288">
        <v>51.27</v>
      </c>
      <c r="J30" s="127">
        <f t="shared" si="2"/>
        <v>14.251000000000001</v>
      </c>
      <c r="K30" s="9">
        <f t="shared" si="3"/>
        <v>14.249000000000002</v>
      </c>
    </row>
    <row r="31" spans="1:11" x14ac:dyDescent="0.2">
      <c r="A31" s="570" t="s">
        <v>640</v>
      </c>
      <c r="B31" s="288">
        <v>20</v>
      </c>
      <c r="C31" s="288">
        <v>40</v>
      </c>
      <c r="D31" s="288">
        <v>100</v>
      </c>
      <c r="E31" s="288">
        <v>50</v>
      </c>
      <c r="F31" s="547">
        <v>25</v>
      </c>
      <c r="G31" s="289">
        <v>9.3610000000000007</v>
      </c>
      <c r="H31" s="288">
        <v>5.41</v>
      </c>
      <c r="I31" s="288">
        <v>44.59</v>
      </c>
      <c r="J31" s="7">
        <f t="shared" si="2"/>
        <v>19.59</v>
      </c>
      <c r="K31" s="7">
        <f t="shared" si="3"/>
        <v>19.590000000000003</v>
      </c>
    </row>
    <row r="32" spans="1:11" x14ac:dyDescent="0.2">
      <c r="A32" s="570" t="s">
        <v>668</v>
      </c>
      <c r="B32" s="288">
        <v>57</v>
      </c>
      <c r="C32" s="288">
        <v>62</v>
      </c>
      <c r="D32" s="288">
        <v>253</v>
      </c>
      <c r="E32" s="288">
        <v>79</v>
      </c>
      <c r="F32" s="582">
        <v>30.83</v>
      </c>
      <c r="G32" s="289">
        <v>7.2249999999999996</v>
      </c>
      <c r="H32" s="288">
        <v>16.38</v>
      </c>
      <c r="I32" s="288">
        <v>45.28</v>
      </c>
      <c r="J32" s="127">
        <f t="shared" si="2"/>
        <v>14.45</v>
      </c>
      <c r="K32" s="9">
        <f t="shared" si="3"/>
        <v>14.450000000000003</v>
      </c>
    </row>
    <row r="33" spans="1:11" x14ac:dyDescent="0.2">
      <c r="A33" s="570" t="s">
        <v>677</v>
      </c>
      <c r="B33" s="288">
        <v>40</v>
      </c>
      <c r="C33" s="288">
        <v>59</v>
      </c>
      <c r="D33" s="615">
        <v>177.6</v>
      </c>
      <c r="E33" s="288">
        <v>18</v>
      </c>
      <c r="F33" s="582">
        <v>7.88</v>
      </c>
      <c r="G33" s="289">
        <v>2.8069999999999999</v>
      </c>
      <c r="H33" s="289">
        <v>2.2000000000000002</v>
      </c>
      <c r="I33" s="288">
        <v>13.56</v>
      </c>
      <c r="J33" s="7">
        <f t="shared" si="2"/>
        <v>5.68</v>
      </c>
      <c r="K33" s="7">
        <f t="shared" si="3"/>
        <v>5.6800000000000006</v>
      </c>
    </row>
    <row r="34" spans="1:11" x14ac:dyDescent="0.2">
      <c r="A34" s="570" t="s">
        <v>708</v>
      </c>
      <c r="B34" s="288">
        <v>54</v>
      </c>
      <c r="C34" s="288">
        <v>69</v>
      </c>
      <c r="D34" s="288">
        <v>238</v>
      </c>
      <c r="E34" s="288">
        <v>13</v>
      </c>
      <c r="F34" s="547">
        <v>4.6219999999999999</v>
      </c>
      <c r="G34" s="289">
        <v>1.4590000000000001</v>
      </c>
      <c r="H34" s="289">
        <v>1.7</v>
      </c>
      <c r="I34" s="288">
        <v>7.54</v>
      </c>
      <c r="J34" s="127">
        <f t="shared" si="2"/>
        <v>2.9219999999999997</v>
      </c>
      <c r="K34" s="9">
        <f t="shared" si="3"/>
        <v>2.9180000000000001</v>
      </c>
    </row>
    <row r="35" spans="1:11" x14ac:dyDescent="0.2">
      <c r="A35" s="570" t="s">
        <v>719</v>
      </c>
      <c r="B35" s="288">
        <v>44</v>
      </c>
      <c r="C35" s="288">
        <v>44</v>
      </c>
      <c r="D35" s="288">
        <v>194.4</v>
      </c>
      <c r="E35" s="288">
        <v>1</v>
      </c>
      <c r="F35" s="547">
        <v>0.51400000000000001</v>
      </c>
      <c r="G35" s="289">
        <v>0.51300000000000001</v>
      </c>
      <c r="H35" s="289">
        <v>0</v>
      </c>
      <c r="I35" s="288">
        <v>1.55</v>
      </c>
      <c r="J35" s="7">
        <f t="shared" si="2"/>
        <v>0.51400000000000001</v>
      </c>
      <c r="K35" s="7">
        <f t="shared" si="3"/>
        <v>1.036</v>
      </c>
    </row>
    <row r="36" spans="1:11" x14ac:dyDescent="0.2">
      <c r="A36" s="286"/>
      <c r="B36" s="287"/>
      <c r="C36" s="287"/>
      <c r="D36" s="287"/>
      <c r="E36" s="287"/>
      <c r="F36" s="287"/>
      <c r="G36" s="287"/>
      <c r="H36" s="287"/>
      <c r="I36" s="287"/>
    </row>
    <row r="37" spans="1:11" x14ac:dyDescent="0.2">
      <c r="A37" s="286"/>
      <c r="B37" s="287"/>
      <c r="C37" s="287"/>
      <c r="D37" s="287"/>
      <c r="E37" s="287"/>
      <c r="F37" s="287"/>
      <c r="G37" s="287"/>
      <c r="H37" s="287"/>
      <c r="I37" s="287"/>
    </row>
    <row r="38" spans="1:11" x14ac:dyDescent="0.2">
      <c r="A38" s="286"/>
      <c r="B38" s="287"/>
      <c r="C38" s="287"/>
      <c r="D38" s="287"/>
      <c r="E38" s="287"/>
      <c r="F38" s="287"/>
      <c r="G38" s="287"/>
      <c r="H38" s="287"/>
      <c r="I38" s="287"/>
    </row>
    <row r="39" spans="1:11" x14ac:dyDescent="0.2">
      <c r="A39" s="286"/>
      <c r="B39" s="287"/>
      <c r="C39" s="287"/>
      <c r="D39" s="287"/>
      <c r="E39" s="287"/>
      <c r="F39" s="287"/>
      <c r="G39" s="287"/>
      <c r="H39" s="287"/>
      <c r="I39" s="287"/>
    </row>
    <row r="40" spans="1:11" x14ac:dyDescent="0.2">
      <c r="A40" s="286"/>
      <c r="B40" s="287"/>
      <c r="C40" s="287"/>
      <c r="D40" s="287"/>
      <c r="E40" s="287"/>
      <c r="F40" s="287"/>
      <c r="G40" s="287"/>
      <c r="H40" s="287"/>
      <c r="I40" s="287"/>
    </row>
    <row r="41" spans="1:11" x14ac:dyDescent="0.2">
      <c r="A41" s="286"/>
      <c r="B41" s="287"/>
      <c r="C41" s="287"/>
      <c r="D41" s="287"/>
      <c r="E41" s="287"/>
      <c r="F41" s="287"/>
      <c r="G41" s="287"/>
      <c r="H41" s="287"/>
      <c r="I41" s="287"/>
    </row>
    <row r="42" spans="1:11" x14ac:dyDescent="0.2">
      <c r="A42" s="286"/>
      <c r="B42" s="287"/>
      <c r="C42" s="287"/>
      <c r="D42" s="287"/>
      <c r="E42" s="287"/>
      <c r="F42" s="287"/>
      <c r="G42" s="287"/>
      <c r="H42" s="287"/>
      <c r="I42" s="287"/>
    </row>
    <row r="43" spans="1:11" x14ac:dyDescent="0.2">
      <c r="A43" s="286"/>
      <c r="B43" s="287"/>
      <c r="C43" s="287"/>
      <c r="D43" s="287"/>
      <c r="E43" s="287"/>
      <c r="F43" s="287"/>
      <c r="G43" s="287"/>
      <c r="H43" s="287"/>
      <c r="I43" s="287"/>
    </row>
    <row r="44" spans="1:11" x14ac:dyDescent="0.2">
      <c r="A44" s="280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ignoredErrors>
    <ignoredError sqref="A30" twoDigitTextYear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45"/>
  <sheetViews>
    <sheetView zoomScaleNormal="100" workbookViewId="0">
      <pane ySplit="5" topLeftCell="A6" activePane="bottomLeft" state="frozenSplit"/>
      <selection pane="bottomLeft" activeCell="J37" sqref="J37"/>
    </sheetView>
  </sheetViews>
  <sheetFormatPr defaultRowHeight="12.75" x14ac:dyDescent="0.2"/>
  <cols>
    <col min="1" max="1" width="7.28515625" customWidth="1"/>
    <col min="2" max="2" width="12.5703125" customWidth="1"/>
    <col min="4" max="4" width="8.28515625" customWidth="1"/>
    <col min="7" max="7" width="7.85546875" customWidth="1"/>
    <col min="8" max="8" width="8.140625" customWidth="1"/>
    <col min="9" max="9" width="8.28515625" customWidth="1"/>
    <col min="10" max="10" width="8.140625" customWidth="1"/>
    <col min="11" max="11" width="8" customWidth="1"/>
  </cols>
  <sheetData>
    <row r="1" spans="1:29" ht="16.5" thickBot="1" x14ac:dyDescent="0.3">
      <c r="A1" s="339" t="s">
        <v>452</v>
      </c>
      <c r="B1" s="340"/>
      <c r="C1" s="340"/>
      <c r="D1" s="340"/>
      <c r="E1" s="341"/>
      <c r="F1" s="340"/>
      <c r="G1" s="341"/>
    </row>
    <row r="2" spans="1:29" x14ac:dyDescent="0.2">
      <c r="A2" s="37" t="s">
        <v>669</v>
      </c>
    </row>
    <row r="3" spans="1:29" x14ac:dyDescent="0.2">
      <c r="A3" s="37" t="s">
        <v>454</v>
      </c>
    </row>
    <row r="5" spans="1:29" ht="63.75" x14ac:dyDescent="0.2">
      <c r="A5" s="276" t="s">
        <v>75</v>
      </c>
      <c r="B5" s="275" t="s">
        <v>641</v>
      </c>
      <c r="C5" s="275" t="s">
        <v>420</v>
      </c>
      <c r="D5" s="275" t="s">
        <v>422</v>
      </c>
      <c r="E5" s="275" t="s">
        <v>423</v>
      </c>
      <c r="F5" s="275" t="s">
        <v>424</v>
      </c>
      <c r="G5" s="275" t="s">
        <v>425</v>
      </c>
      <c r="H5" s="275" t="s">
        <v>426</v>
      </c>
      <c r="I5" s="283" t="s">
        <v>427</v>
      </c>
      <c r="J5" s="284" t="s">
        <v>429</v>
      </c>
      <c r="K5" s="285" t="s">
        <v>430</v>
      </c>
    </row>
    <row r="6" spans="1:29" ht="14.1" customHeight="1" x14ac:dyDescent="0.2">
      <c r="A6" s="549" t="s">
        <v>431</v>
      </c>
      <c r="B6" s="292">
        <v>561</v>
      </c>
      <c r="C6" s="292">
        <v>810</v>
      </c>
      <c r="D6" s="292">
        <v>1765</v>
      </c>
      <c r="E6" s="292">
        <v>67</v>
      </c>
      <c r="F6" s="553">
        <v>3.1463999999999999</v>
      </c>
      <c r="G6" s="293">
        <v>0.44969999999999999</v>
      </c>
      <c r="H6" s="293">
        <v>2.2599999999999998</v>
      </c>
      <c r="I6" s="293">
        <v>4.03</v>
      </c>
      <c r="J6" s="9">
        <f t="shared" ref="J6:J26" si="0">F6-H6</f>
        <v>0.88640000000000008</v>
      </c>
      <c r="K6" s="9">
        <f t="shared" ref="K6:K26" si="1">I6-F6</f>
        <v>0.88360000000000039</v>
      </c>
    </row>
    <row r="7" spans="1:29" ht="14.1" customHeight="1" x14ac:dyDescent="0.2">
      <c r="A7" s="549" t="s">
        <v>432</v>
      </c>
      <c r="B7" s="292">
        <v>609</v>
      </c>
      <c r="C7" s="292">
        <v>747</v>
      </c>
      <c r="D7" s="292">
        <v>2128</v>
      </c>
      <c r="E7" s="292">
        <v>84</v>
      </c>
      <c r="F7" s="553">
        <v>3.9239000000000002</v>
      </c>
      <c r="G7" s="293">
        <v>0.56850000000000001</v>
      </c>
      <c r="H7" s="293">
        <v>2.81</v>
      </c>
      <c r="I7" s="293">
        <v>5.04</v>
      </c>
      <c r="J7" s="9">
        <f t="shared" si="0"/>
        <v>1.1139000000000001</v>
      </c>
      <c r="K7" s="9">
        <f t="shared" si="1"/>
        <v>1.1160999999999999</v>
      </c>
      <c r="Z7" s="11">
        <f>AVERAGE(F6:F19)</f>
        <v>9.5416285714285731</v>
      </c>
      <c r="AA7" s="11">
        <f>STDEV(F6:F19)</f>
        <v>6.8408538025857295</v>
      </c>
      <c r="AC7" t="s">
        <v>679</v>
      </c>
    </row>
    <row r="8" spans="1:29" ht="14.1" customHeight="1" x14ac:dyDescent="0.2">
      <c r="A8" s="549" t="s">
        <v>433</v>
      </c>
      <c r="B8" s="292">
        <v>225</v>
      </c>
      <c r="C8" s="292">
        <v>278</v>
      </c>
      <c r="D8" s="292">
        <v>780.5</v>
      </c>
      <c r="E8" s="292">
        <v>20</v>
      </c>
      <c r="F8" s="553">
        <v>2.2208000000000001</v>
      </c>
      <c r="G8" s="293">
        <v>0.57310000000000005</v>
      </c>
      <c r="H8" s="293">
        <v>1.0900000000000001</v>
      </c>
      <c r="I8" s="293">
        <v>3.35</v>
      </c>
      <c r="J8" s="9">
        <f t="shared" si="0"/>
        <v>1.1308</v>
      </c>
      <c r="K8" s="9">
        <f t="shared" si="1"/>
        <v>1.1292</v>
      </c>
      <c r="Z8" s="11">
        <f>AVERAGE(F20:F33)</f>
        <v>29.856871428571427</v>
      </c>
      <c r="AA8" s="11">
        <f>STDEV(F20:F33)</f>
        <v>19.417951749840171</v>
      </c>
      <c r="AC8" t="s">
        <v>680</v>
      </c>
    </row>
    <row r="9" spans="1:29" ht="14.1" customHeight="1" x14ac:dyDescent="0.2">
      <c r="A9" s="549" t="s">
        <v>434</v>
      </c>
      <c r="B9" s="292">
        <v>378</v>
      </c>
      <c r="C9" s="292">
        <v>418</v>
      </c>
      <c r="D9" s="292">
        <v>1307.5</v>
      </c>
      <c r="E9" s="292">
        <v>44</v>
      </c>
      <c r="F9" s="553">
        <v>3.2122000000000002</v>
      </c>
      <c r="G9" s="293">
        <v>0.49199999999999999</v>
      </c>
      <c r="H9" s="293">
        <v>2.25</v>
      </c>
      <c r="I9" s="293">
        <v>4.18</v>
      </c>
      <c r="J9" s="9">
        <f t="shared" si="0"/>
        <v>0.96220000000000017</v>
      </c>
      <c r="K9" s="9">
        <f t="shared" si="1"/>
        <v>0.96779999999999955</v>
      </c>
    </row>
    <row r="10" spans="1:29" ht="14.1" customHeight="1" x14ac:dyDescent="0.2">
      <c r="A10" s="549" t="s">
        <v>435</v>
      </c>
      <c r="B10" s="292">
        <v>368</v>
      </c>
      <c r="C10" s="292">
        <v>386</v>
      </c>
      <c r="D10" s="292">
        <v>1177.5</v>
      </c>
      <c r="E10" s="292">
        <v>93</v>
      </c>
      <c r="F10" s="553">
        <v>7.7706999999999997</v>
      </c>
      <c r="G10" s="293">
        <v>0.99229999999999996</v>
      </c>
      <c r="H10" s="293">
        <v>5.82</v>
      </c>
      <c r="I10" s="293">
        <v>9.7200000000000006</v>
      </c>
      <c r="J10" s="9">
        <f t="shared" si="0"/>
        <v>1.9506999999999994</v>
      </c>
      <c r="K10" s="9">
        <f t="shared" si="1"/>
        <v>1.9493000000000009</v>
      </c>
      <c r="Z10" s="602">
        <f>Z8/Z7</f>
        <v>3.1291169222384911</v>
      </c>
    </row>
    <row r="11" spans="1:29" ht="14.1" customHeight="1" x14ac:dyDescent="0.2">
      <c r="A11" s="549" t="s">
        <v>436</v>
      </c>
      <c r="B11" s="292">
        <v>277</v>
      </c>
      <c r="C11" s="292">
        <v>374</v>
      </c>
      <c r="D11" s="292">
        <v>888</v>
      </c>
      <c r="E11" s="292">
        <v>120</v>
      </c>
      <c r="F11" s="553">
        <v>12.0495</v>
      </c>
      <c r="G11" s="293">
        <v>1.4930000000000001</v>
      </c>
      <c r="H11" s="293">
        <v>9.11</v>
      </c>
      <c r="I11" s="293">
        <v>14.99</v>
      </c>
      <c r="J11" s="9">
        <f t="shared" si="0"/>
        <v>2.9395000000000007</v>
      </c>
      <c r="K11" s="9">
        <f t="shared" si="1"/>
        <v>2.9405000000000001</v>
      </c>
    </row>
    <row r="12" spans="1:29" ht="14.1" customHeight="1" x14ac:dyDescent="0.2">
      <c r="A12" s="549" t="s">
        <v>437</v>
      </c>
      <c r="B12" s="292">
        <v>286</v>
      </c>
      <c r="C12" s="292">
        <v>401</v>
      </c>
      <c r="D12" s="292">
        <v>978.5</v>
      </c>
      <c r="E12" s="292">
        <v>118</v>
      </c>
      <c r="F12" s="553">
        <v>7.0515999999999996</v>
      </c>
      <c r="G12" s="293">
        <v>1.2909999999999999</v>
      </c>
      <c r="H12" s="293">
        <v>4.51</v>
      </c>
      <c r="I12" s="293">
        <v>9.59</v>
      </c>
      <c r="J12" s="9">
        <f t="shared" si="0"/>
        <v>2.5415999999999999</v>
      </c>
      <c r="K12" s="9">
        <f t="shared" si="1"/>
        <v>2.5384000000000002</v>
      </c>
    </row>
    <row r="13" spans="1:29" ht="14.1" customHeight="1" x14ac:dyDescent="0.2">
      <c r="A13" s="549" t="s">
        <v>438</v>
      </c>
      <c r="B13" s="292">
        <v>244</v>
      </c>
      <c r="C13" s="292">
        <v>267</v>
      </c>
      <c r="D13" s="292">
        <v>779.5</v>
      </c>
      <c r="E13" s="292">
        <v>208</v>
      </c>
      <c r="F13" s="553">
        <v>26.683800000000002</v>
      </c>
      <c r="G13" s="293">
        <v>3.3355000000000001</v>
      </c>
      <c r="H13" s="293">
        <v>20.12</v>
      </c>
      <c r="I13" s="293">
        <v>33.25</v>
      </c>
      <c r="J13" s="9">
        <f t="shared" si="0"/>
        <v>6.5638000000000005</v>
      </c>
      <c r="K13" s="9">
        <f t="shared" si="1"/>
        <v>6.5661999999999985</v>
      </c>
    </row>
    <row r="14" spans="1:29" ht="14.1" customHeight="1" x14ac:dyDescent="0.2">
      <c r="A14" s="549" t="s">
        <v>439</v>
      </c>
      <c r="B14" s="292">
        <v>204</v>
      </c>
      <c r="C14" s="292">
        <v>269</v>
      </c>
      <c r="D14" s="292">
        <v>649</v>
      </c>
      <c r="E14" s="292">
        <v>73</v>
      </c>
      <c r="F14" s="553">
        <v>9.7843</v>
      </c>
      <c r="G14" s="293">
        <v>2.0539000000000001</v>
      </c>
      <c r="H14" s="293">
        <v>5.74</v>
      </c>
      <c r="I14" s="293">
        <v>13.83</v>
      </c>
      <c r="J14" s="9">
        <f t="shared" si="0"/>
        <v>4.0442999999999998</v>
      </c>
      <c r="K14" s="9">
        <f t="shared" si="1"/>
        <v>4.0457000000000001</v>
      </c>
    </row>
    <row r="15" spans="1:29" ht="14.1" customHeight="1" x14ac:dyDescent="0.2">
      <c r="A15" s="549" t="s">
        <v>440</v>
      </c>
      <c r="B15" s="292">
        <v>133</v>
      </c>
      <c r="C15" s="292">
        <v>133</v>
      </c>
      <c r="D15" s="292">
        <v>411</v>
      </c>
      <c r="E15" s="292">
        <v>47</v>
      </c>
      <c r="F15" s="553">
        <v>11.435499999999999</v>
      </c>
      <c r="G15" s="293">
        <v>2.73</v>
      </c>
      <c r="H15" s="293">
        <v>6.04</v>
      </c>
      <c r="I15" s="293">
        <v>16.829999999999998</v>
      </c>
      <c r="J15" s="9">
        <f t="shared" si="0"/>
        <v>5.3954999999999993</v>
      </c>
      <c r="K15" s="9">
        <f t="shared" si="1"/>
        <v>5.394499999999999</v>
      </c>
    </row>
    <row r="16" spans="1:29" ht="14.1" customHeight="1" x14ac:dyDescent="0.2">
      <c r="A16" s="549" t="s">
        <v>441</v>
      </c>
      <c r="B16" s="292">
        <v>120</v>
      </c>
      <c r="C16" s="292">
        <v>120</v>
      </c>
      <c r="D16" s="292">
        <v>388</v>
      </c>
      <c r="E16" s="292">
        <v>19</v>
      </c>
      <c r="F16" s="553">
        <v>4.8968999999999996</v>
      </c>
      <c r="G16" s="293">
        <v>1.2994000000000001</v>
      </c>
      <c r="H16" s="293">
        <v>2.33</v>
      </c>
      <c r="I16" s="293">
        <v>7.46</v>
      </c>
      <c r="J16" s="9">
        <f t="shared" si="0"/>
        <v>2.5668999999999995</v>
      </c>
      <c r="K16" s="9">
        <f t="shared" si="1"/>
        <v>2.5631000000000004</v>
      </c>
    </row>
    <row r="17" spans="1:11" ht="14.1" customHeight="1" x14ac:dyDescent="0.2">
      <c r="A17" s="549" t="s">
        <v>442</v>
      </c>
      <c r="B17" s="292">
        <v>105</v>
      </c>
      <c r="C17" s="292">
        <v>197</v>
      </c>
      <c r="D17" s="292">
        <v>349.5</v>
      </c>
      <c r="E17" s="292">
        <v>64</v>
      </c>
      <c r="F17" s="553">
        <v>16.309000000000001</v>
      </c>
      <c r="G17" s="293">
        <v>2.8277000000000001</v>
      </c>
      <c r="H17" s="293">
        <v>10.72</v>
      </c>
      <c r="I17" s="293">
        <v>21.9</v>
      </c>
      <c r="J17" s="9">
        <f t="shared" si="0"/>
        <v>5.5890000000000004</v>
      </c>
      <c r="K17" s="9">
        <f t="shared" si="1"/>
        <v>5.5909999999999975</v>
      </c>
    </row>
    <row r="18" spans="1:11" ht="14.1" customHeight="1" x14ac:dyDescent="0.2">
      <c r="A18" s="549" t="s">
        <v>443</v>
      </c>
      <c r="B18" s="292">
        <v>135</v>
      </c>
      <c r="C18" s="292">
        <v>168</v>
      </c>
      <c r="D18" s="292">
        <v>435.5</v>
      </c>
      <c r="E18" s="292">
        <v>83</v>
      </c>
      <c r="F18" s="553">
        <v>17.221599999999999</v>
      </c>
      <c r="G18" s="293">
        <v>2.8894000000000002</v>
      </c>
      <c r="H18" s="293">
        <v>11.51</v>
      </c>
      <c r="I18" s="293">
        <v>22.93</v>
      </c>
      <c r="J18" s="9">
        <f t="shared" si="0"/>
        <v>5.7115999999999989</v>
      </c>
      <c r="K18" s="9">
        <f t="shared" si="1"/>
        <v>5.708400000000001</v>
      </c>
    </row>
    <row r="19" spans="1:11" ht="14.1" customHeight="1" x14ac:dyDescent="0.2">
      <c r="A19" s="549" t="s">
        <v>444</v>
      </c>
      <c r="B19" s="292">
        <v>229</v>
      </c>
      <c r="C19" s="292">
        <v>372</v>
      </c>
      <c r="D19" s="292">
        <v>821</v>
      </c>
      <c r="E19" s="292">
        <v>97</v>
      </c>
      <c r="F19" s="553">
        <v>7.8765999999999998</v>
      </c>
      <c r="G19" s="293">
        <v>1.0906</v>
      </c>
      <c r="H19" s="293">
        <v>5.73</v>
      </c>
      <c r="I19" s="293">
        <v>10.02</v>
      </c>
      <c r="J19" s="9">
        <f t="shared" si="0"/>
        <v>2.1465999999999994</v>
      </c>
      <c r="K19" s="9">
        <f t="shared" si="1"/>
        <v>2.1433999999999997</v>
      </c>
    </row>
    <row r="20" spans="1:11" ht="14.1" customHeight="1" x14ac:dyDescent="0.2">
      <c r="A20" s="550" t="s">
        <v>445</v>
      </c>
      <c r="B20" s="292">
        <v>120</v>
      </c>
      <c r="C20" s="292">
        <v>255</v>
      </c>
      <c r="D20" s="292">
        <v>421</v>
      </c>
      <c r="E20" s="292">
        <v>186</v>
      </c>
      <c r="F20" s="553">
        <v>21.1995</v>
      </c>
      <c r="G20" s="293">
        <v>4.3704999999999998</v>
      </c>
      <c r="H20" s="293">
        <v>12.56</v>
      </c>
      <c r="I20" s="293">
        <v>29.84</v>
      </c>
      <c r="J20" s="9">
        <f t="shared" si="0"/>
        <v>8.6395</v>
      </c>
      <c r="K20" s="9">
        <f t="shared" si="1"/>
        <v>8.6404999999999994</v>
      </c>
    </row>
    <row r="21" spans="1:11" ht="14.1" customHeight="1" x14ac:dyDescent="0.2">
      <c r="A21" s="550" t="s">
        <v>446</v>
      </c>
      <c r="B21" s="292">
        <v>133</v>
      </c>
      <c r="C21" s="292">
        <v>311</v>
      </c>
      <c r="D21" s="292">
        <v>466</v>
      </c>
      <c r="E21" s="292">
        <v>544</v>
      </c>
      <c r="F21" s="553">
        <v>50.822600000000001</v>
      </c>
      <c r="G21" s="293">
        <v>9.5738000000000003</v>
      </c>
      <c r="H21" s="293">
        <v>31.9</v>
      </c>
      <c r="I21" s="293">
        <v>69.739999999999995</v>
      </c>
      <c r="J21" s="9">
        <f t="shared" si="0"/>
        <v>18.922600000000003</v>
      </c>
      <c r="K21" s="9">
        <f t="shared" si="1"/>
        <v>18.917399999999994</v>
      </c>
    </row>
    <row r="22" spans="1:11" ht="14.1" customHeight="1" x14ac:dyDescent="0.2">
      <c r="A22" s="550" t="s">
        <v>447</v>
      </c>
      <c r="B22" s="292">
        <v>132</v>
      </c>
      <c r="C22" s="292">
        <v>274</v>
      </c>
      <c r="D22" s="292">
        <v>446</v>
      </c>
      <c r="E22" s="292">
        <v>143</v>
      </c>
      <c r="F22" s="553">
        <v>14.947699999999999</v>
      </c>
      <c r="G22" s="293">
        <v>2.8736999999999999</v>
      </c>
      <c r="H22" s="293">
        <v>9.27</v>
      </c>
      <c r="I22" s="293">
        <v>20.63</v>
      </c>
      <c r="J22" s="9">
        <f t="shared" si="0"/>
        <v>5.6776999999999997</v>
      </c>
      <c r="K22" s="9">
        <f t="shared" si="1"/>
        <v>5.6822999999999997</v>
      </c>
    </row>
    <row r="23" spans="1:11" ht="14.1" customHeight="1" x14ac:dyDescent="0.2">
      <c r="A23" s="550" t="s">
        <v>448</v>
      </c>
      <c r="B23" s="292">
        <v>140</v>
      </c>
      <c r="C23" s="292">
        <v>289</v>
      </c>
      <c r="D23" s="292">
        <v>484</v>
      </c>
      <c r="E23" s="292">
        <v>63</v>
      </c>
      <c r="F23" s="553">
        <v>6.4737999999999998</v>
      </c>
      <c r="G23" s="293">
        <v>1.6971000000000001</v>
      </c>
      <c r="H23" s="293">
        <v>3.12</v>
      </c>
      <c r="I23" s="293">
        <v>9.83</v>
      </c>
      <c r="J23" s="9">
        <f t="shared" si="0"/>
        <v>3.3537999999999997</v>
      </c>
      <c r="K23" s="9">
        <f t="shared" si="1"/>
        <v>3.3562000000000003</v>
      </c>
    </row>
    <row r="24" spans="1:11" ht="14.1" customHeight="1" x14ac:dyDescent="0.2">
      <c r="A24" s="550" t="s">
        <v>449</v>
      </c>
      <c r="B24" s="292">
        <v>86</v>
      </c>
      <c r="C24" s="292">
        <v>135</v>
      </c>
      <c r="D24" s="292">
        <v>301</v>
      </c>
      <c r="E24" s="292">
        <v>25</v>
      </c>
      <c r="F24" s="553">
        <v>6.8106</v>
      </c>
      <c r="G24" s="293">
        <v>2.0916999999999999</v>
      </c>
      <c r="H24" s="293">
        <v>2.66</v>
      </c>
      <c r="I24" s="293">
        <v>10.96</v>
      </c>
      <c r="J24" s="9">
        <f t="shared" si="0"/>
        <v>4.1505999999999998</v>
      </c>
      <c r="K24" s="9">
        <f t="shared" si="1"/>
        <v>4.1494000000000009</v>
      </c>
    </row>
    <row r="25" spans="1:11" ht="14.1" customHeight="1" x14ac:dyDescent="0.2">
      <c r="A25" s="551" t="s">
        <v>475</v>
      </c>
      <c r="B25" s="323">
        <v>152</v>
      </c>
      <c r="C25" s="323">
        <v>250</v>
      </c>
      <c r="D25" s="323">
        <v>542</v>
      </c>
      <c r="E25" s="329">
        <v>321</v>
      </c>
      <c r="F25" s="554">
        <v>35.423999999999999</v>
      </c>
      <c r="G25" s="330">
        <v>5.234</v>
      </c>
      <c r="H25" s="330">
        <v>25.1</v>
      </c>
      <c r="I25" s="330">
        <v>45.75</v>
      </c>
      <c r="J25" s="9">
        <f t="shared" si="0"/>
        <v>10.323999999999998</v>
      </c>
      <c r="K25" s="9">
        <f t="shared" si="1"/>
        <v>10.326000000000001</v>
      </c>
    </row>
    <row r="26" spans="1:11" ht="14.1" customHeight="1" x14ac:dyDescent="0.2">
      <c r="A26" s="552" t="s">
        <v>489</v>
      </c>
      <c r="B26" s="288">
        <v>107</v>
      </c>
      <c r="C26" s="288">
        <v>211</v>
      </c>
      <c r="D26" s="288">
        <v>352</v>
      </c>
      <c r="E26" s="288">
        <v>184</v>
      </c>
      <c r="F26" s="555">
        <v>30.398</v>
      </c>
      <c r="G26" s="289">
        <v>7.5549999999999997</v>
      </c>
      <c r="H26" s="288">
        <v>15.47</v>
      </c>
      <c r="I26" s="288">
        <v>45.33</v>
      </c>
      <c r="J26" s="9">
        <f t="shared" si="0"/>
        <v>14.927999999999999</v>
      </c>
      <c r="K26" s="9">
        <f t="shared" si="1"/>
        <v>14.931999999999999</v>
      </c>
    </row>
    <row r="27" spans="1:11" ht="14.1" customHeight="1" x14ac:dyDescent="0.2">
      <c r="A27" s="551" t="s">
        <v>503</v>
      </c>
      <c r="B27" s="370">
        <v>102</v>
      </c>
      <c r="C27" s="370">
        <v>194</v>
      </c>
      <c r="D27" s="370">
        <v>335</v>
      </c>
      <c r="E27" s="370">
        <v>228</v>
      </c>
      <c r="F27" s="556">
        <v>35.720999999999997</v>
      </c>
      <c r="G27" s="371">
        <v>6.3879999999999999</v>
      </c>
      <c r="H27" s="371">
        <v>23.1</v>
      </c>
      <c r="I27" s="370">
        <v>48.34</v>
      </c>
      <c r="J27" s="9">
        <f t="shared" ref="J27:J36" si="2">F27-H27</f>
        <v>12.620999999999995</v>
      </c>
      <c r="K27" s="9">
        <f t="shared" ref="K27:K36" si="3">I27-F27</f>
        <v>12.619000000000007</v>
      </c>
    </row>
    <row r="28" spans="1:11" ht="14.1" customHeight="1" x14ac:dyDescent="0.2">
      <c r="A28" s="551" t="s">
        <v>511</v>
      </c>
      <c r="B28" s="401">
        <v>94</v>
      </c>
      <c r="C28" s="401">
        <v>113</v>
      </c>
      <c r="D28" s="401">
        <v>301</v>
      </c>
      <c r="E28" s="292">
        <v>269</v>
      </c>
      <c r="F28" s="553">
        <v>75.637</v>
      </c>
      <c r="G28" s="293">
        <v>8.9309999999999992</v>
      </c>
      <c r="H28" s="293">
        <v>57.92</v>
      </c>
      <c r="I28" s="293">
        <v>93.35</v>
      </c>
      <c r="J28" s="127">
        <f t="shared" si="2"/>
        <v>17.716999999999999</v>
      </c>
      <c r="K28" s="9">
        <f t="shared" si="3"/>
        <v>17.712999999999994</v>
      </c>
    </row>
    <row r="29" spans="1:11" ht="14.1" customHeight="1" x14ac:dyDescent="0.2">
      <c r="A29" s="551" t="s">
        <v>563</v>
      </c>
      <c r="B29" s="292">
        <v>84</v>
      </c>
      <c r="C29" s="292">
        <v>160</v>
      </c>
      <c r="D29" s="292">
        <v>285</v>
      </c>
      <c r="E29" s="292">
        <v>172</v>
      </c>
      <c r="F29" s="553">
        <v>39.649000000000001</v>
      </c>
      <c r="G29" s="293">
        <v>10.454000000000001</v>
      </c>
      <c r="H29" s="293">
        <v>18.91</v>
      </c>
      <c r="I29" s="293">
        <v>60.39</v>
      </c>
      <c r="J29" s="9">
        <f t="shared" si="2"/>
        <v>20.739000000000001</v>
      </c>
      <c r="K29" s="9">
        <f t="shared" si="3"/>
        <v>20.741</v>
      </c>
    </row>
    <row r="30" spans="1:11" ht="14.1" customHeight="1" x14ac:dyDescent="0.2">
      <c r="A30" s="551" t="s">
        <v>588</v>
      </c>
      <c r="B30" s="559">
        <v>78</v>
      </c>
      <c r="C30" s="559">
        <v>156</v>
      </c>
      <c r="D30" s="559">
        <v>241</v>
      </c>
      <c r="E30" s="559">
        <v>57</v>
      </c>
      <c r="F30" s="560">
        <v>11.824999999999999</v>
      </c>
      <c r="G30" s="517">
        <v>3.3740000000000001</v>
      </c>
      <c r="H30" s="517">
        <v>5.1100000000000003</v>
      </c>
      <c r="I30" s="517">
        <v>18.5</v>
      </c>
      <c r="J30" s="9">
        <f t="shared" si="2"/>
        <v>6.714999999999999</v>
      </c>
      <c r="K30" s="9">
        <f t="shared" si="3"/>
        <v>6.6750000000000007</v>
      </c>
    </row>
    <row r="31" spans="1:11" ht="14.1" customHeight="1" x14ac:dyDescent="0.2">
      <c r="A31" s="551" t="s">
        <v>592</v>
      </c>
      <c r="B31" s="292">
        <v>47</v>
      </c>
      <c r="C31" s="292">
        <v>84</v>
      </c>
      <c r="D31" s="292">
        <v>235</v>
      </c>
      <c r="E31" s="292">
        <v>84</v>
      </c>
      <c r="F31" s="553">
        <v>21.064</v>
      </c>
      <c r="G31" s="293">
        <v>3.3759999999999999</v>
      </c>
      <c r="H31" s="292">
        <v>14.27</v>
      </c>
      <c r="I31" s="292">
        <v>27.86</v>
      </c>
      <c r="J31" s="127">
        <f t="shared" si="2"/>
        <v>6.7940000000000005</v>
      </c>
      <c r="K31" s="9">
        <f t="shared" si="3"/>
        <v>6.7959999999999994</v>
      </c>
    </row>
    <row r="32" spans="1:11" ht="14.1" customHeight="1" x14ac:dyDescent="0.2">
      <c r="A32" s="571" t="s">
        <v>640</v>
      </c>
      <c r="B32" s="292">
        <v>20</v>
      </c>
      <c r="C32" s="292">
        <v>40</v>
      </c>
      <c r="D32" s="292">
        <v>100</v>
      </c>
      <c r="E32" s="292">
        <v>40</v>
      </c>
      <c r="F32" s="553">
        <v>20</v>
      </c>
      <c r="G32" s="293">
        <v>7.5739999999999998</v>
      </c>
      <c r="H32" s="292">
        <v>4.1500000000000004</v>
      </c>
      <c r="I32" s="292">
        <v>35.85</v>
      </c>
      <c r="J32" s="127">
        <f t="shared" si="2"/>
        <v>15.85</v>
      </c>
      <c r="K32" s="9">
        <f t="shared" si="3"/>
        <v>15.850000000000001</v>
      </c>
    </row>
    <row r="33" spans="1:11" ht="14.1" customHeight="1" x14ac:dyDescent="0.2">
      <c r="A33" s="571" t="s">
        <v>668</v>
      </c>
      <c r="B33" s="292">
        <v>57</v>
      </c>
      <c r="C33" s="292">
        <v>62</v>
      </c>
      <c r="D33" s="292">
        <v>253</v>
      </c>
      <c r="E33" s="292">
        <v>123</v>
      </c>
      <c r="F33" s="553">
        <v>48.024000000000001</v>
      </c>
      <c r="G33" s="293">
        <v>8.8469999999999995</v>
      </c>
      <c r="H33" s="292">
        <v>30.33</v>
      </c>
      <c r="I33" s="292">
        <v>65.72</v>
      </c>
      <c r="J33" s="127">
        <f t="shared" si="2"/>
        <v>17.694000000000003</v>
      </c>
      <c r="K33" s="9">
        <f t="shared" si="3"/>
        <v>17.695999999999998</v>
      </c>
    </row>
    <row r="34" spans="1:11" ht="14.1" customHeight="1" x14ac:dyDescent="0.2">
      <c r="A34" s="571" t="s">
        <v>677</v>
      </c>
      <c r="B34" s="292">
        <v>40</v>
      </c>
      <c r="C34" s="292">
        <v>59</v>
      </c>
      <c r="D34" s="292">
        <v>177.6</v>
      </c>
      <c r="E34" s="292">
        <v>14</v>
      </c>
      <c r="F34" s="553">
        <v>5.3490000000000002</v>
      </c>
      <c r="G34" s="293">
        <v>2.0369999999999999</v>
      </c>
      <c r="H34" s="293">
        <v>1.23</v>
      </c>
      <c r="I34" s="292">
        <v>9.4700000000000006</v>
      </c>
      <c r="J34" s="7">
        <f t="shared" si="2"/>
        <v>4.1189999999999998</v>
      </c>
      <c r="K34" s="7">
        <f t="shared" si="3"/>
        <v>4.1210000000000004</v>
      </c>
    </row>
    <row r="35" spans="1:11" x14ac:dyDescent="0.2">
      <c r="A35" s="628" t="s">
        <v>708</v>
      </c>
      <c r="B35" s="292">
        <v>54</v>
      </c>
      <c r="C35" s="292">
        <v>69</v>
      </c>
      <c r="D35" s="292">
        <v>238</v>
      </c>
      <c r="E35" s="292">
        <v>6</v>
      </c>
      <c r="F35" s="553">
        <v>2.1440000000000001</v>
      </c>
      <c r="G35" s="293">
        <v>1.2130000000000001</v>
      </c>
      <c r="H35" s="293">
        <v>0</v>
      </c>
      <c r="I35" s="292">
        <v>4.5599999999999996</v>
      </c>
      <c r="J35" s="127">
        <f t="shared" si="2"/>
        <v>2.1440000000000001</v>
      </c>
      <c r="K35" s="9">
        <f t="shared" si="3"/>
        <v>2.4159999999999995</v>
      </c>
    </row>
    <row r="36" spans="1:11" x14ac:dyDescent="0.2">
      <c r="A36" s="628" t="s">
        <v>719</v>
      </c>
      <c r="B36" s="292">
        <v>44</v>
      </c>
      <c r="C36" s="292">
        <v>44</v>
      </c>
      <c r="D36" s="292">
        <v>194.4</v>
      </c>
      <c r="E36" s="292">
        <v>25</v>
      </c>
      <c r="F36" s="641">
        <v>12.86</v>
      </c>
      <c r="G36" s="292">
        <v>3.758</v>
      </c>
      <c r="H36" s="292">
        <v>5.28</v>
      </c>
      <c r="I36" s="292">
        <v>20.440000000000001</v>
      </c>
      <c r="J36" s="7">
        <f t="shared" si="2"/>
        <v>7.5799999999999992</v>
      </c>
      <c r="K36" s="7">
        <f t="shared" si="3"/>
        <v>7.5800000000000018</v>
      </c>
    </row>
    <row r="37" spans="1:11" x14ac:dyDescent="0.2">
      <c r="A37" s="290"/>
      <c r="B37" s="291"/>
      <c r="C37" s="291"/>
      <c r="D37" s="291"/>
      <c r="E37" s="291"/>
      <c r="F37" s="291"/>
      <c r="G37" s="291"/>
      <c r="H37" s="291"/>
      <c r="I37" s="291"/>
    </row>
    <row r="38" spans="1:11" x14ac:dyDescent="0.2">
      <c r="A38" s="290"/>
      <c r="B38" s="291"/>
      <c r="C38" s="291"/>
      <c r="D38" s="291"/>
      <c r="E38" s="291"/>
      <c r="F38" s="291"/>
      <c r="G38" s="291"/>
      <c r="H38" s="291"/>
      <c r="I38" s="291"/>
    </row>
    <row r="39" spans="1:11" x14ac:dyDescent="0.2">
      <c r="A39" s="290"/>
      <c r="B39" s="291"/>
      <c r="C39" s="291"/>
      <c r="D39" s="291"/>
      <c r="E39" s="291"/>
      <c r="F39" s="291"/>
      <c r="G39" s="291"/>
      <c r="H39" s="291"/>
      <c r="I39" s="291"/>
    </row>
    <row r="40" spans="1:11" x14ac:dyDescent="0.2">
      <c r="A40" s="290"/>
      <c r="B40" s="291"/>
      <c r="C40" s="291"/>
      <c r="D40" s="291"/>
      <c r="E40" s="291"/>
      <c r="F40" s="291"/>
      <c r="G40" s="291"/>
      <c r="H40" s="291"/>
      <c r="I40" s="291"/>
    </row>
    <row r="41" spans="1:11" x14ac:dyDescent="0.2">
      <c r="A41" s="290"/>
      <c r="B41" s="291"/>
      <c r="C41" s="291"/>
      <c r="D41" s="291"/>
      <c r="E41" s="291"/>
      <c r="F41" s="291"/>
      <c r="G41" s="291"/>
      <c r="H41" s="291"/>
      <c r="I41" s="291"/>
    </row>
    <row r="42" spans="1:11" x14ac:dyDescent="0.2">
      <c r="A42" s="290"/>
      <c r="B42" s="291"/>
      <c r="C42" s="291"/>
      <c r="D42" s="291"/>
      <c r="E42" s="291"/>
      <c r="F42" s="291"/>
      <c r="G42" s="291"/>
      <c r="H42" s="291"/>
      <c r="I42" s="291"/>
    </row>
    <row r="43" spans="1:11" x14ac:dyDescent="0.2">
      <c r="A43" s="290"/>
      <c r="B43" s="291"/>
      <c r="C43" s="291"/>
      <c r="D43" s="291"/>
      <c r="E43" s="291"/>
      <c r="F43" s="291"/>
      <c r="G43" s="291"/>
      <c r="H43" s="291"/>
      <c r="I43" s="291"/>
    </row>
    <row r="44" spans="1:11" x14ac:dyDescent="0.2">
      <c r="A44" s="290"/>
      <c r="B44" s="291"/>
      <c r="C44" s="291"/>
      <c r="D44" s="291"/>
      <c r="E44" s="291"/>
      <c r="F44" s="291"/>
      <c r="G44" s="291"/>
      <c r="H44" s="291"/>
      <c r="I44" s="291"/>
    </row>
    <row r="45" spans="1:11" x14ac:dyDescent="0.2">
      <c r="A45" s="290"/>
      <c r="B45" s="291"/>
      <c r="C45" s="291"/>
      <c r="D45" s="291"/>
      <c r="E45" s="291"/>
      <c r="F45" s="291"/>
      <c r="G45" s="291"/>
      <c r="H45" s="291"/>
      <c r="I45" s="291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7"/>
  <sheetViews>
    <sheetView workbookViewId="0">
      <pane ySplit="8" topLeftCell="A9" activePane="bottomLeft" state="frozenSplit"/>
      <selection pane="bottomLeft" activeCell="H23" sqref="H23"/>
    </sheetView>
  </sheetViews>
  <sheetFormatPr defaultRowHeight="12.75" x14ac:dyDescent="0.2"/>
  <cols>
    <col min="1" max="1" width="12.85546875" customWidth="1"/>
    <col min="2" max="3" width="15.140625" customWidth="1"/>
    <col min="4" max="4" width="20" customWidth="1"/>
    <col min="5" max="5" width="29.5703125" customWidth="1"/>
    <col min="6" max="6" width="32" customWidth="1"/>
    <col min="7" max="7" width="21.85546875" customWidth="1"/>
    <col min="8" max="8" width="17.5703125" customWidth="1"/>
  </cols>
  <sheetData>
    <row r="1" spans="1:13" ht="16.5" thickBot="1" x14ac:dyDescent="0.3">
      <c r="A1" s="331" t="s">
        <v>212</v>
      </c>
      <c r="B1" s="107"/>
      <c r="C1" s="107"/>
      <c r="D1" s="107"/>
      <c r="E1" s="108"/>
      <c r="F1" s="343"/>
    </row>
    <row r="2" spans="1:13" x14ac:dyDescent="0.2">
      <c r="A2" s="24"/>
    </row>
    <row r="3" spans="1:13" x14ac:dyDescent="0.2">
      <c r="A3" s="37" t="s">
        <v>227</v>
      </c>
    </row>
    <row r="4" spans="1:13" x14ac:dyDescent="0.2">
      <c r="A4" s="37" t="s">
        <v>230</v>
      </c>
    </row>
    <row r="5" spans="1:13" x14ac:dyDescent="0.2">
      <c r="A5" s="37" t="s">
        <v>234</v>
      </c>
    </row>
    <row r="7" spans="1:13" x14ac:dyDescent="0.2">
      <c r="A7" s="13"/>
      <c r="B7" s="83" t="s">
        <v>213</v>
      </c>
      <c r="C7" s="83"/>
      <c r="D7" s="32"/>
      <c r="E7" s="87"/>
      <c r="F7" s="87"/>
    </row>
    <row r="8" spans="1:13" ht="13.5" thickBot="1" x14ac:dyDescent="0.25">
      <c r="A8" s="14" t="s">
        <v>228</v>
      </c>
      <c r="B8" s="33" t="s">
        <v>226</v>
      </c>
      <c r="C8" s="33" t="s">
        <v>478</v>
      </c>
      <c r="D8" s="33" t="s">
        <v>225</v>
      </c>
      <c r="E8" s="81" t="s">
        <v>231</v>
      </c>
      <c r="F8" s="81" t="s">
        <v>479</v>
      </c>
      <c r="G8" s="81" t="s">
        <v>232</v>
      </c>
    </row>
    <row r="9" spans="1:13" x14ac:dyDescent="0.2">
      <c r="A9" s="38">
        <v>1987</v>
      </c>
      <c r="B9" s="85">
        <v>19</v>
      </c>
      <c r="C9" s="85"/>
      <c r="D9" s="85">
        <v>19</v>
      </c>
      <c r="E9" s="82">
        <v>19</v>
      </c>
      <c r="F9" s="82"/>
      <c r="G9" s="85">
        <v>19</v>
      </c>
      <c r="H9" s="500">
        <f>(D9-E9)/D9</f>
        <v>0</v>
      </c>
      <c r="K9" s="130">
        <v>3</v>
      </c>
      <c r="M9" t="s">
        <v>583</v>
      </c>
    </row>
    <row r="10" spans="1:13" x14ac:dyDescent="0.2">
      <c r="A10" s="38">
        <f>A9+1</f>
        <v>1988</v>
      </c>
      <c r="B10" s="86">
        <v>20</v>
      </c>
      <c r="C10" s="86"/>
      <c r="D10" s="86">
        <v>20</v>
      </c>
      <c r="E10" s="82">
        <f t="shared" ref="E10:E19" si="0">B10</f>
        <v>20</v>
      </c>
      <c r="F10" s="82"/>
      <c r="G10" s="86">
        <v>20</v>
      </c>
      <c r="H10" s="500">
        <f t="shared" ref="H10:H18" si="1">(D10-E10)/D10</f>
        <v>0</v>
      </c>
      <c r="K10" s="130">
        <v>3</v>
      </c>
      <c r="M10" t="s">
        <v>584</v>
      </c>
    </row>
    <row r="11" spans="1:13" x14ac:dyDescent="0.2">
      <c r="A11" s="38">
        <f t="shared" ref="A11:A24" si="2">A10+1</f>
        <v>1989</v>
      </c>
      <c r="B11" s="86">
        <v>30</v>
      </c>
      <c r="C11" s="86"/>
      <c r="D11" s="86">
        <v>35</v>
      </c>
      <c r="E11" s="82">
        <f t="shared" si="0"/>
        <v>30</v>
      </c>
      <c r="F11" s="82"/>
      <c r="G11" s="86">
        <v>35</v>
      </c>
      <c r="H11" s="500">
        <f t="shared" si="1"/>
        <v>0.14285714285714285</v>
      </c>
      <c r="K11" s="130">
        <v>4</v>
      </c>
      <c r="M11" t="s">
        <v>585</v>
      </c>
    </row>
    <row r="12" spans="1:13" x14ac:dyDescent="0.2">
      <c r="A12" s="38">
        <f t="shared" si="2"/>
        <v>1990</v>
      </c>
      <c r="B12" s="86">
        <v>38</v>
      </c>
      <c r="C12" s="86"/>
      <c r="D12" s="86">
        <v>53</v>
      </c>
      <c r="E12" s="82">
        <f t="shared" si="0"/>
        <v>38</v>
      </c>
      <c r="F12" s="82"/>
      <c r="G12" s="86">
        <v>53</v>
      </c>
      <c r="H12" s="500">
        <f t="shared" si="1"/>
        <v>0.28301886792452829</v>
      </c>
      <c r="K12" s="130">
        <v>5</v>
      </c>
    </row>
    <row r="13" spans="1:13" x14ac:dyDescent="0.2">
      <c r="A13" s="38">
        <f t="shared" si="2"/>
        <v>1991</v>
      </c>
      <c r="B13" s="86">
        <v>44</v>
      </c>
      <c r="C13" s="86"/>
      <c r="D13" s="86">
        <v>72</v>
      </c>
      <c r="E13" s="82">
        <f t="shared" si="0"/>
        <v>44</v>
      </c>
      <c r="F13" s="82"/>
      <c r="G13" s="86">
        <v>72</v>
      </c>
      <c r="H13" s="500">
        <f t="shared" si="1"/>
        <v>0.3888888888888889</v>
      </c>
      <c r="K13" s="130">
        <v>4</v>
      </c>
    </row>
    <row r="14" spans="1:13" x14ac:dyDescent="0.2">
      <c r="A14" s="38">
        <f t="shared" si="2"/>
        <v>1992</v>
      </c>
      <c r="B14" s="86">
        <v>48</v>
      </c>
      <c r="C14" s="86"/>
      <c r="D14" s="86">
        <v>50</v>
      </c>
      <c r="E14" s="82">
        <v>0</v>
      </c>
      <c r="F14" s="82"/>
      <c r="G14" s="86">
        <v>50</v>
      </c>
      <c r="H14" s="500"/>
      <c r="K14" s="130">
        <v>2</v>
      </c>
    </row>
    <row r="15" spans="1:13" x14ac:dyDescent="0.2">
      <c r="A15" s="38">
        <f t="shared" si="2"/>
        <v>1993</v>
      </c>
      <c r="B15" s="86">
        <v>28</v>
      </c>
      <c r="C15" s="86"/>
      <c r="D15" s="86">
        <v>28</v>
      </c>
      <c r="E15" s="82">
        <v>0</v>
      </c>
      <c r="F15" s="82"/>
      <c r="G15" s="86">
        <v>28</v>
      </c>
      <c r="H15" s="500"/>
      <c r="K15" s="130">
        <v>2</v>
      </c>
    </row>
    <row r="16" spans="1:13" x14ac:dyDescent="0.2">
      <c r="A16" s="38">
        <f t="shared" si="2"/>
        <v>1994</v>
      </c>
      <c r="B16" s="86">
        <v>20</v>
      </c>
      <c r="C16" s="86"/>
      <c r="D16" s="86">
        <v>20</v>
      </c>
      <c r="E16" s="82">
        <v>0</v>
      </c>
      <c r="F16" s="82"/>
      <c r="G16" s="86">
        <v>20</v>
      </c>
      <c r="H16" s="500"/>
      <c r="K16" s="130">
        <v>2</v>
      </c>
    </row>
    <row r="17" spans="1:11" x14ac:dyDescent="0.2">
      <c r="A17" s="38">
        <f t="shared" si="2"/>
        <v>1995</v>
      </c>
      <c r="B17" s="86">
        <v>22</v>
      </c>
      <c r="C17" s="86"/>
      <c r="D17" s="86">
        <v>22</v>
      </c>
      <c r="E17" s="82">
        <v>22</v>
      </c>
      <c r="F17" s="82"/>
      <c r="G17" s="86">
        <v>22</v>
      </c>
      <c r="H17" s="500">
        <f t="shared" si="1"/>
        <v>0</v>
      </c>
      <c r="K17" s="130">
        <v>2</v>
      </c>
    </row>
    <row r="18" spans="1:11" x14ac:dyDescent="0.2">
      <c r="A18" s="38">
        <f t="shared" si="2"/>
        <v>1996</v>
      </c>
      <c r="B18" s="86">
        <v>20</v>
      </c>
      <c r="C18" s="86"/>
      <c r="D18" s="86">
        <v>20</v>
      </c>
      <c r="E18" s="82">
        <v>20</v>
      </c>
      <c r="F18" s="82"/>
      <c r="G18" s="86">
        <v>20</v>
      </c>
      <c r="H18" s="500">
        <f t="shared" si="1"/>
        <v>0</v>
      </c>
      <c r="K18" s="130">
        <v>1</v>
      </c>
    </row>
    <row r="19" spans="1:11" x14ac:dyDescent="0.2">
      <c r="A19" s="38">
        <f t="shared" si="2"/>
        <v>1997</v>
      </c>
      <c r="B19" s="49">
        <v>24</v>
      </c>
      <c r="C19" s="49"/>
      <c r="D19" s="88" t="s">
        <v>233</v>
      </c>
      <c r="E19" s="80">
        <f t="shared" si="0"/>
        <v>24</v>
      </c>
      <c r="F19" s="80"/>
      <c r="G19" s="84"/>
      <c r="K19" s="130">
        <v>3</v>
      </c>
    </row>
    <row r="20" spans="1:11" x14ac:dyDescent="0.2">
      <c r="A20" s="38">
        <f t="shared" si="2"/>
        <v>1998</v>
      </c>
      <c r="B20" s="49">
        <v>26</v>
      </c>
      <c r="C20" s="49">
        <v>30</v>
      </c>
      <c r="D20" s="88" t="s">
        <v>233</v>
      </c>
      <c r="E20" s="84">
        <f>(((B20/54)*100)+8.6)/1.7</f>
        <v>33.381263616557732</v>
      </c>
      <c r="F20" s="84">
        <f>(((C20/54)*100)+8.6)/1.7</f>
        <v>37.738562091503269</v>
      </c>
      <c r="G20" s="84"/>
      <c r="H20" s="37" t="s">
        <v>720</v>
      </c>
      <c r="K20" s="130">
        <f t="shared" ref="K20:K32" si="3">F20-E20</f>
        <v>4.3572984749455372</v>
      </c>
    </row>
    <row r="21" spans="1:11" x14ac:dyDescent="0.2">
      <c r="A21" s="38">
        <f t="shared" si="2"/>
        <v>1999</v>
      </c>
      <c r="B21" s="49">
        <v>18</v>
      </c>
      <c r="C21" s="49">
        <v>22</v>
      </c>
      <c r="D21" s="88" t="s">
        <v>233</v>
      </c>
      <c r="E21" s="84">
        <f>(((B21/54)*100)+8.6)/1.7</f>
        <v>24.666666666666664</v>
      </c>
      <c r="F21" s="84">
        <f>(((C21/54)*100)+8.6)/1.7</f>
        <v>29.023965141612202</v>
      </c>
      <c r="G21" s="84"/>
      <c r="K21" s="130">
        <f t="shared" si="3"/>
        <v>4.3572984749455372</v>
      </c>
    </row>
    <row r="22" spans="1:11" x14ac:dyDescent="0.2">
      <c r="A22" s="38">
        <f t="shared" si="2"/>
        <v>2000</v>
      </c>
      <c r="B22" s="49">
        <v>8</v>
      </c>
      <c r="C22" s="49">
        <v>12</v>
      </c>
      <c r="D22" s="88" t="s">
        <v>233</v>
      </c>
      <c r="E22" s="84">
        <f t="shared" ref="E22:E32" si="4">(((B22/54)*100)+8.6)/1.7</f>
        <v>13.77342047930283</v>
      </c>
      <c r="F22" s="84">
        <f t="shared" ref="F22:F32" si="5">(((C22/54)*100)+8.6)/1.7</f>
        <v>18.130718954248366</v>
      </c>
      <c r="G22" s="84"/>
      <c r="K22" s="130">
        <f t="shared" si="3"/>
        <v>4.3572984749455355</v>
      </c>
    </row>
    <row r="23" spans="1:11" x14ac:dyDescent="0.2">
      <c r="A23" s="38">
        <f t="shared" si="2"/>
        <v>2001</v>
      </c>
      <c r="B23" s="49">
        <v>0</v>
      </c>
      <c r="C23" s="49">
        <v>0</v>
      </c>
      <c r="D23" s="88" t="s">
        <v>233</v>
      </c>
      <c r="E23" s="84">
        <v>0</v>
      </c>
      <c r="F23" s="84">
        <v>0</v>
      </c>
      <c r="G23" s="84"/>
      <c r="K23" s="130">
        <f t="shared" si="3"/>
        <v>0</v>
      </c>
    </row>
    <row r="24" spans="1:11" x14ac:dyDescent="0.2">
      <c r="A24" s="38">
        <f t="shared" si="2"/>
        <v>2002</v>
      </c>
      <c r="B24" s="49">
        <v>0</v>
      </c>
      <c r="C24" s="49">
        <v>0</v>
      </c>
      <c r="D24" s="88" t="s">
        <v>233</v>
      </c>
      <c r="E24" s="84">
        <v>0</v>
      </c>
      <c r="F24" s="84">
        <v>0</v>
      </c>
      <c r="G24" s="84"/>
      <c r="K24" s="130">
        <f t="shared" si="3"/>
        <v>0</v>
      </c>
    </row>
    <row r="25" spans="1:11" x14ac:dyDescent="0.2">
      <c r="A25" s="7">
        <v>2003</v>
      </c>
      <c r="B25" s="49">
        <v>0</v>
      </c>
      <c r="C25" s="49">
        <v>0</v>
      </c>
      <c r="D25" s="88" t="s">
        <v>233</v>
      </c>
      <c r="E25" s="84">
        <v>0</v>
      </c>
      <c r="F25" s="84">
        <v>0</v>
      </c>
      <c r="G25" s="84"/>
      <c r="K25" s="130">
        <f t="shared" si="3"/>
        <v>0</v>
      </c>
    </row>
    <row r="26" spans="1:11" x14ac:dyDescent="0.2">
      <c r="A26" s="7">
        <v>2004</v>
      </c>
      <c r="B26" s="49">
        <v>2</v>
      </c>
      <c r="C26" s="49">
        <v>2</v>
      </c>
      <c r="D26" s="88" t="s">
        <v>233</v>
      </c>
      <c r="E26" s="84">
        <f t="shared" si="4"/>
        <v>7.2374727668845322</v>
      </c>
      <c r="F26" s="84">
        <f t="shared" si="5"/>
        <v>7.2374727668845322</v>
      </c>
      <c r="G26" s="84"/>
      <c r="K26" s="130">
        <f t="shared" si="3"/>
        <v>0</v>
      </c>
    </row>
    <row r="27" spans="1:11" ht="15" customHeight="1" x14ac:dyDescent="0.2">
      <c r="A27" s="7">
        <v>2005</v>
      </c>
      <c r="B27" s="49">
        <v>2</v>
      </c>
      <c r="C27" s="49">
        <v>2</v>
      </c>
      <c r="D27" s="88" t="s">
        <v>233</v>
      </c>
      <c r="E27" s="84">
        <f t="shared" si="4"/>
        <v>7.2374727668845322</v>
      </c>
      <c r="F27" s="84">
        <f t="shared" si="5"/>
        <v>7.2374727668845322</v>
      </c>
      <c r="G27" s="84"/>
      <c r="K27" s="130">
        <f t="shared" si="3"/>
        <v>0</v>
      </c>
    </row>
    <row r="28" spans="1:11" ht="15" customHeight="1" x14ac:dyDescent="0.2">
      <c r="A28" s="262">
        <v>2006</v>
      </c>
      <c r="B28" s="49">
        <v>6</v>
      </c>
      <c r="C28" s="49">
        <v>8</v>
      </c>
      <c r="D28" s="88" t="s">
        <v>233</v>
      </c>
      <c r="E28" s="84">
        <f t="shared" si="4"/>
        <v>11.594771241830065</v>
      </c>
      <c r="F28" s="84">
        <f t="shared" si="5"/>
        <v>13.77342047930283</v>
      </c>
      <c r="G28" s="84"/>
      <c r="K28" s="130">
        <f t="shared" si="3"/>
        <v>2.1786492374727651</v>
      </c>
    </row>
    <row r="29" spans="1:11" ht="15" customHeight="1" x14ac:dyDescent="0.2">
      <c r="A29" s="262">
        <v>2007</v>
      </c>
      <c r="B29" s="49">
        <v>8</v>
      </c>
      <c r="C29" s="49">
        <v>10</v>
      </c>
      <c r="D29" s="88" t="s">
        <v>233</v>
      </c>
      <c r="E29" s="84">
        <f t="shared" si="4"/>
        <v>13.77342047930283</v>
      </c>
      <c r="F29" s="84">
        <f t="shared" si="5"/>
        <v>15.9520697167756</v>
      </c>
      <c r="G29" s="84"/>
      <c r="K29" s="130">
        <f t="shared" si="3"/>
        <v>2.1786492374727704</v>
      </c>
    </row>
    <row r="30" spans="1:11" ht="15" customHeight="1" x14ac:dyDescent="0.2">
      <c r="A30" s="262">
        <v>2008</v>
      </c>
      <c r="B30" s="49">
        <v>2</v>
      </c>
      <c r="C30" s="49">
        <v>2</v>
      </c>
      <c r="D30" s="88" t="s">
        <v>233</v>
      </c>
      <c r="E30" s="84">
        <f t="shared" si="4"/>
        <v>7.2374727668845322</v>
      </c>
      <c r="F30" s="84">
        <f t="shared" si="5"/>
        <v>7.2374727668845322</v>
      </c>
      <c r="G30" s="84"/>
      <c r="K30" s="130">
        <f t="shared" si="3"/>
        <v>0</v>
      </c>
    </row>
    <row r="31" spans="1:11" ht="15" customHeight="1" x14ac:dyDescent="0.2">
      <c r="A31" s="262">
        <v>2009</v>
      </c>
      <c r="B31" s="49">
        <v>2</v>
      </c>
      <c r="C31" s="49">
        <v>2</v>
      </c>
      <c r="D31" s="88" t="s">
        <v>233</v>
      </c>
      <c r="E31" s="84">
        <f t="shared" si="4"/>
        <v>7.2374727668845322</v>
      </c>
      <c r="F31" s="84">
        <f t="shared" si="5"/>
        <v>7.2374727668845322</v>
      </c>
      <c r="G31" s="84"/>
      <c r="K31" s="130">
        <f t="shared" si="3"/>
        <v>0</v>
      </c>
    </row>
    <row r="32" spans="1:11" ht="15" customHeight="1" x14ac:dyDescent="0.2">
      <c r="A32" s="262">
        <v>2010</v>
      </c>
      <c r="B32" s="49">
        <v>4</v>
      </c>
      <c r="C32" s="49">
        <v>6</v>
      </c>
      <c r="D32" s="88" t="s">
        <v>233</v>
      </c>
      <c r="E32" s="84">
        <f t="shared" si="4"/>
        <v>9.4161220043572982</v>
      </c>
      <c r="F32" s="84">
        <f t="shared" si="5"/>
        <v>11.594771241830065</v>
      </c>
      <c r="G32" s="84"/>
      <c r="K32" s="130">
        <f t="shared" si="3"/>
        <v>2.1786492374727668</v>
      </c>
    </row>
    <row r="33" spans="1:11" ht="15" customHeight="1" x14ac:dyDescent="0.2">
      <c r="A33" s="262">
        <v>2011</v>
      </c>
      <c r="B33" s="49"/>
      <c r="C33" s="49"/>
      <c r="D33" s="88"/>
      <c r="E33" s="84"/>
      <c r="F33" s="84"/>
      <c r="G33" s="84"/>
      <c r="K33" s="130"/>
    </row>
    <row r="34" spans="1:11" ht="15" customHeight="1" x14ac:dyDescent="0.2">
      <c r="A34" s="262">
        <v>2012</v>
      </c>
      <c r="B34" s="49"/>
      <c r="C34" s="49"/>
      <c r="D34" s="88"/>
      <c r="E34" s="84"/>
      <c r="F34" s="84"/>
      <c r="G34" s="84"/>
      <c r="K34" s="130"/>
    </row>
    <row r="36" spans="1:11" x14ac:dyDescent="0.2">
      <c r="A36" s="106" t="s">
        <v>251</v>
      </c>
    </row>
    <row r="37" spans="1:11" x14ac:dyDescent="0.2">
      <c r="A37" s="37" t="s">
        <v>229</v>
      </c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7"/>
  <sheetViews>
    <sheetView workbookViewId="0"/>
  </sheetViews>
  <sheetFormatPr defaultRowHeight="12.75" x14ac:dyDescent="0.2"/>
  <cols>
    <col min="2" max="2" width="18.42578125" customWidth="1"/>
    <col min="3" max="3" width="28.85546875" customWidth="1"/>
    <col min="4" max="4" width="10.85546875" customWidth="1"/>
    <col min="5" max="5" width="10.42578125" customWidth="1"/>
    <col min="6" max="6" width="21.140625" customWidth="1"/>
  </cols>
  <sheetData>
    <row r="1" spans="1:6" ht="15.75" x14ac:dyDescent="0.25">
      <c r="A1" s="342" t="s">
        <v>309</v>
      </c>
    </row>
    <row r="3" spans="1:6" x14ac:dyDescent="0.2">
      <c r="A3" t="s">
        <v>310</v>
      </c>
    </row>
    <row r="4" spans="1:6" ht="13.5" thickBot="1" x14ac:dyDescent="0.25"/>
    <row r="5" spans="1:6" ht="13.5" thickBot="1" x14ac:dyDescent="0.25">
      <c r="A5" s="200" t="s">
        <v>248</v>
      </c>
      <c r="B5" s="202" t="s">
        <v>311</v>
      </c>
      <c r="C5" s="204" t="s">
        <v>312</v>
      </c>
      <c r="D5" s="200" t="s">
        <v>313</v>
      </c>
      <c r="E5" s="204" t="s">
        <v>314</v>
      </c>
      <c r="F5" s="200" t="s">
        <v>315</v>
      </c>
    </row>
    <row r="6" spans="1:6" x14ac:dyDescent="0.2">
      <c r="A6" s="7">
        <v>1989</v>
      </c>
      <c r="B6" s="201">
        <v>151</v>
      </c>
      <c r="C6" s="203">
        <v>9</v>
      </c>
      <c r="D6" s="7"/>
      <c r="E6" s="7"/>
      <c r="F6" s="7">
        <v>336</v>
      </c>
    </row>
    <row r="7" spans="1:6" x14ac:dyDescent="0.2">
      <c r="A7" s="7">
        <f>A6+1</f>
        <v>1990</v>
      </c>
      <c r="B7" s="201">
        <v>110</v>
      </c>
      <c r="C7" s="203">
        <v>7</v>
      </c>
      <c r="D7" s="7"/>
      <c r="E7" s="7"/>
      <c r="F7" s="7">
        <v>354</v>
      </c>
    </row>
    <row r="8" spans="1:6" x14ac:dyDescent="0.2">
      <c r="A8" s="7">
        <f t="shared" ref="A8:A20" si="0">A7+1</f>
        <v>1991</v>
      </c>
      <c r="B8" s="201">
        <v>78</v>
      </c>
      <c r="C8" s="203">
        <v>5</v>
      </c>
      <c r="D8" s="7"/>
      <c r="E8" s="7"/>
      <c r="F8" s="7">
        <v>468</v>
      </c>
    </row>
    <row r="9" spans="1:6" x14ac:dyDescent="0.2">
      <c r="A9" s="7">
        <f t="shared" si="0"/>
        <v>1992</v>
      </c>
      <c r="B9" s="201">
        <v>73</v>
      </c>
      <c r="C9" s="203">
        <v>5</v>
      </c>
      <c r="D9" s="7"/>
      <c r="E9" s="7"/>
      <c r="F9" s="7">
        <v>442</v>
      </c>
    </row>
    <row r="10" spans="1:6" x14ac:dyDescent="0.2">
      <c r="A10" s="7">
        <f t="shared" si="0"/>
        <v>1993</v>
      </c>
      <c r="B10" s="201">
        <v>83</v>
      </c>
      <c r="C10" s="203">
        <v>10</v>
      </c>
      <c r="D10" s="7"/>
      <c r="E10" s="7"/>
      <c r="F10" s="7">
        <v>357</v>
      </c>
    </row>
    <row r="11" spans="1:6" x14ac:dyDescent="0.2">
      <c r="A11" s="7">
        <f t="shared" si="0"/>
        <v>1994</v>
      </c>
      <c r="B11" s="201">
        <v>195</v>
      </c>
      <c r="C11" s="203">
        <v>7</v>
      </c>
      <c r="D11" s="7"/>
      <c r="E11" s="7"/>
      <c r="F11" s="7">
        <v>413</v>
      </c>
    </row>
    <row r="12" spans="1:6" x14ac:dyDescent="0.2">
      <c r="A12" s="7">
        <f t="shared" si="0"/>
        <v>1995</v>
      </c>
      <c r="B12" s="201">
        <v>115</v>
      </c>
      <c r="C12" s="203">
        <v>16</v>
      </c>
      <c r="D12" s="7"/>
      <c r="E12" s="7"/>
      <c r="F12" s="7">
        <v>485</v>
      </c>
    </row>
    <row r="13" spans="1:6" x14ac:dyDescent="0.2">
      <c r="A13" s="7">
        <f t="shared" si="0"/>
        <v>1996</v>
      </c>
      <c r="B13" s="201">
        <v>117</v>
      </c>
      <c r="C13" s="203">
        <v>5</v>
      </c>
      <c r="D13" s="7"/>
      <c r="E13" s="7"/>
      <c r="F13" s="7">
        <v>499</v>
      </c>
    </row>
    <row r="14" spans="1:6" x14ac:dyDescent="0.2">
      <c r="A14" s="7">
        <f t="shared" si="0"/>
        <v>1997</v>
      </c>
      <c r="B14" s="201">
        <v>55</v>
      </c>
      <c r="C14" s="203">
        <v>6</v>
      </c>
      <c r="D14" s="7"/>
      <c r="E14" s="7"/>
      <c r="F14" s="7">
        <v>391</v>
      </c>
    </row>
    <row r="15" spans="1:6" x14ac:dyDescent="0.2">
      <c r="A15" s="7">
        <f t="shared" si="0"/>
        <v>1998</v>
      </c>
      <c r="B15" s="201">
        <v>122</v>
      </c>
      <c r="C15" s="203">
        <v>10</v>
      </c>
      <c r="D15" s="7"/>
      <c r="E15" s="7"/>
      <c r="F15" s="7">
        <v>273</v>
      </c>
    </row>
    <row r="16" spans="1:6" x14ac:dyDescent="0.2">
      <c r="A16" s="7">
        <f t="shared" si="0"/>
        <v>1999</v>
      </c>
      <c r="B16" s="201">
        <v>196</v>
      </c>
      <c r="C16" s="203">
        <v>8</v>
      </c>
      <c r="D16" s="7"/>
      <c r="E16" s="7"/>
      <c r="F16" s="7"/>
    </row>
    <row r="17" spans="1:6" x14ac:dyDescent="0.2">
      <c r="A17" s="7">
        <f t="shared" si="0"/>
        <v>2000</v>
      </c>
      <c r="B17" s="201">
        <v>25</v>
      </c>
      <c r="C17" s="203">
        <v>7</v>
      </c>
      <c r="D17" s="7">
        <v>2</v>
      </c>
      <c r="E17" s="7">
        <v>1</v>
      </c>
      <c r="F17" s="7">
        <v>418</v>
      </c>
    </row>
    <row r="18" spans="1:6" x14ac:dyDescent="0.2">
      <c r="A18" s="7">
        <f t="shared" si="0"/>
        <v>2001</v>
      </c>
      <c r="B18" s="201">
        <v>71</v>
      </c>
      <c r="C18" s="203">
        <v>7</v>
      </c>
      <c r="D18" s="7">
        <v>1</v>
      </c>
      <c r="E18" s="7">
        <v>1</v>
      </c>
      <c r="F18" s="7">
        <v>317</v>
      </c>
    </row>
    <row r="19" spans="1:6" x14ac:dyDescent="0.2">
      <c r="A19" s="7">
        <f t="shared" si="0"/>
        <v>2002</v>
      </c>
      <c r="B19" s="201">
        <v>24</v>
      </c>
      <c r="C19" s="203">
        <v>4</v>
      </c>
      <c r="D19" s="7">
        <v>0</v>
      </c>
      <c r="E19" s="7">
        <v>0</v>
      </c>
      <c r="F19" s="7">
        <v>190</v>
      </c>
    </row>
    <row r="20" spans="1:6" x14ac:dyDescent="0.2">
      <c r="A20" s="7">
        <f t="shared" si="0"/>
        <v>2003</v>
      </c>
      <c r="B20" s="201"/>
      <c r="C20" s="203"/>
      <c r="D20" s="7"/>
      <c r="E20" s="7"/>
    </row>
    <row r="21" spans="1:6" x14ac:dyDescent="0.2">
      <c r="A21" s="7">
        <v>2004</v>
      </c>
      <c r="B21" s="201"/>
      <c r="C21" s="203"/>
      <c r="D21" s="7"/>
      <c r="E21" s="7"/>
    </row>
    <row r="22" spans="1:6" x14ac:dyDescent="0.2">
      <c r="A22" s="7">
        <v>2005</v>
      </c>
      <c r="B22" s="201"/>
      <c r="C22" s="203"/>
      <c r="D22" s="7"/>
      <c r="E22" s="7"/>
    </row>
    <row r="23" spans="1:6" x14ac:dyDescent="0.2">
      <c r="A23" s="7">
        <v>2006</v>
      </c>
      <c r="B23" s="7"/>
      <c r="C23" s="203"/>
      <c r="D23" s="7"/>
      <c r="E23" s="7"/>
    </row>
    <row r="24" spans="1:6" x14ac:dyDescent="0.2">
      <c r="A24" s="7">
        <v>2007</v>
      </c>
      <c r="B24" s="7"/>
      <c r="C24" s="203"/>
      <c r="D24" s="7"/>
      <c r="E24" s="7"/>
    </row>
    <row r="25" spans="1:6" x14ac:dyDescent="0.2">
      <c r="A25" s="7"/>
      <c r="B25" s="7"/>
      <c r="C25" s="203"/>
      <c r="D25" s="7"/>
      <c r="E25" s="7"/>
    </row>
    <row r="26" spans="1:6" x14ac:dyDescent="0.2">
      <c r="A26" s="7"/>
      <c r="B26" s="7"/>
      <c r="C26" s="203"/>
    </row>
    <row r="27" spans="1:6" x14ac:dyDescent="0.2">
      <c r="A27" s="7"/>
      <c r="B27" s="7"/>
      <c r="C27" s="203"/>
    </row>
    <row r="28" spans="1:6" x14ac:dyDescent="0.2">
      <c r="A28" s="7"/>
      <c r="B28" s="7"/>
    </row>
    <row r="29" spans="1:6" x14ac:dyDescent="0.2">
      <c r="A29" s="7"/>
      <c r="B29" s="7"/>
    </row>
    <row r="30" spans="1:6" x14ac:dyDescent="0.2">
      <c r="A30" s="7"/>
      <c r="B30" s="7"/>
    </row>
    <row r="31" spans="1:6" x14ac:dyDescent="0.2">
      <c r="A31" s="7"/>
      <c r="B31" s="7"/>
    </row>
    <row r="32" spans="1:6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</sheetData>
  <phoneticPr fontId="0" type="noConversion"/>
  <printOptions horizontalCentered="1" gridLines="1"/>
  <pageMargins left="0.74803149606299213" right="0.74803149606299213" top="1.1417322834645669" bottom="0.98425196850393704" header="0.51181102362204722" footer="0.51181102362204722"/>
  <pageSetup paperSize="9" orientation="landscape" r:id="rId1"/>
  <headerFooter alignWithMargins="0">
    <oddHeader>&amp;R&amp;F</oddHead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>
      <selection activeCell="D8" sqref="D8:D32"/>
    </sheetView>
  </sheetViews>
  <sheetFormatPr defaultRowHeight="12.75" x14ac:dyDescent="0.2"/>
  <cols>
    <col min="2" max="2" width="10.5703125" customWidth="1"/>
    <col min="3" max="3" width="10" customWidth="1"/>
    <col min="4" max="4" width="15.140625" customWidth="1"/>
    <col min="5" max="6" width="10.5703125" customWidth="1"/>
    <col min="7" max="7" width="10.140625" customWidth="1"/>
    <col min="9" max="9" width="13" customWidth="1"/>
  </cols>
  <sheetData>
    <row r="1" spans="1:9" ht="16.5" thickBot="1" x14ac:dyDescent="0.3">
      <c r="A1" s="334" t="s">
        <v>358</v>
      </c>
      <c r="B1" s="96"/>
      <c r="C1" s="96"/>
      <c r="D1" s="96"/>
      <c r="E1" s="96"/>
      <c r="F1" s="96"/>
      <c r="G1" s="97"/>
    </row>
    <row r="2" spans="1:9" x14ac:dyDescent="0.2">
      <c r="A2" s="111" t="s">
        <v>666</v>
      </c>
      <c r="F2" s="37" t="s">
        <v>678</v>
      </c>
    </row>
    <row r="3" spans="1:9" x14ac:dyDescent="0.2">
      <c r="A3" s="111" t="s">
        <v>360</v>
      </c>
    </row>
    <row r="4" spans="1:9" x14ac:dyDescent="0.2">
      <c r="A4" s="111"/>
    </row>
    <row r="5" spans="1:9" ht="12.75" customHeight="1" x14ac:dyDescent="0.2">
      <c r="A5" s="111"/>
    </row>
    <row r="6" spans="1:9" x14ac:dyDescent="0.2">
      <c r="B6" s="30" t="s">
        <v>359</v>
      </c>
      <c r="D6" s="32"/>
      <c r="E6" s="32" t="s">
        <v>205</v>
      </c>
      <c r="F6" s="32"/>
      <c r="G6" s="32"/>
    </row>
    <row r="7" spans="1:9" ht="13.5" thickBot="1" x14ac:dyDescent="0.25">
      <c r="A7" s="4" t="s">
        <v>16</v>
      </c>
      <c r="B7" s="4" t="s">
        <v>122</v>
      </c>
      <c r="C7" s="4" t="s">
        <v>121</v>
      </c>
      <c r="D7" s="33" t="s">
        <v>201</v>
      </c>
      <c r="E7" s="63" t="s">
        <v>203</v>
      </c>
      <c r="F7" s="63" t="s">
        <v>204</v>
      </c>
      <c r="G7" s="33" t="s">
        <v>202</v>
      </c>
    </row>
    <row r="8" spans="1:9" x14ac:dyDescent="0.2">
      <c r="A8" s="7">
        <v>1986</v>
      </c>
      <c r="B8" s="587">
        <v>0.99399999999999999</v>
      </c>
      <c r="C8" s="67">
        <v>1.05120586845481</v>
      </c>
      <c r="D8" s="62">
        <v>1.0223619657860028</v>
      </c>
      <c r="E8" s="62"/>
      <c r="F8" s="62"/>
      <c r="G8" s="27"/>
    </row>
    <row r="9" spans="1:9" x14ac:dyDescent="0.2">
      <c r="A9" s="7">
        <v>1987</v>
      </c>
      <c r="B9" s="2">
        <v>0.79728679020952098</v>
      </c>
      <c r="C9" s="67">
        <v>0.76896919511262096</v>
      </c>
      <c r="D9" s="61">
        <v>0.78312799266107103</v>
      </c>
      <c r="E9" s="61"/>
      <c r="F9" s="61"/>
      <c r="G9" s="60"/>
      <c r="I9" s="37" t="s">
        <v>206</v>
      </c>
    </row>
    <row r="10" spans="1:9" x14ac:dyDescent="0.2">
      <c r="A10" s="7">
        <f>A9+1</f>
        <v>1988</v>
      </c>
      <c r="B10" s="2">
        <v>0.99235562550519896</v>
      </c>
      <c r="C10" s="67">
        <v>1.2629652798091899</v>
      </c>
      <c r="D10" s="61">
        <v>1.1276604526571945</v>
      </c>
      <c r="E10" s="61"/>
      <c r="F10" s="61"/>
      <c r="G10" s="60"/>
      <c r="I10" s="37" t="s">
        <v>206</v>
      </c>
    </row>
    <row r="11" spans="1:9" x14ac:dyDescent="0.2">
      <c r="A11" s="7">
        <f t="shared" ref="A11:A25" si="0">A10+1</f>
        <v>1989</v>
      </c>
      <c r="B11" s="2">
        <v>1.2327980189804899</v>
      </c>
      <c r="C11" s="67">
        <v>1.0611984428793255</v>
      </c>
      <c r="D11" s="61">
        <v>1.1469982309299076</v>
      </c>
      <c r="E11" s="61"/>
      <c r="F11" s="61"/>
      <c r="G11" s="60"/>
      <c r="I11" s="37" t="s">
        <v>206</v>
      </c>
    </row>
    <row r="12" spans="1:9" x14ac:dyDescent="0.2">
      <c r="A12" s="7">
        <f t="shared" si="0"/>
        <v>1990</v>
      </c>
      <c r="B12" s="2">
        <v>0.85168784401609798</v>
      </c>
      <c r="C12" s="67">
        <v>1.0611984428793255</v>
      </c>
      <c r="D12" s="61">
        <v>0.95644314344771175</v>
      </c>
      <c r="E12" s="61"/>
      <c r="F12" s="61"/>
      <c r="G12" s="60"/>
      <c r="I12" s="37" t="s">
        <v>206</v>
      </c>
    </row>
    <row r="13" spans="1:9" x14ac:dyDescent="0.2">
      <c r="A13" s="7">
        <f t="shared" si="0"/>
        <v>1991</v>
      </c>
      <c r="B13" s="2">
        <v>0.99912496418169605</v>
      </c>
      <c r="C13" s="67">
        <v>0.859431605949461</v>
      </c>
      <c r="D13" s="61">
        <v>0.92927828506557852</v>
      </c>
      <c r="E13" s="61"/>
      <c r="F13" s="61"/>
      <c r="G13" s="60"/>
      <c r="I13" s="37" t="s">
        <v>206</v>
      </c>
    </row>
    <row r="14" spans="1:9" x14ac:dyDescent="0.2">
      <c r="A14" s="7">
        <f t="shared" si="0"/>
        <v>1992</v>
      </c>
      <c r="B14" s="2">
        <v>1.09438326226697</v>
      </c>
      <c r="C14" s="67">
        <v>0.93849643347359546</v>
      </c>
      <c r="D14" s="61">
        <v>1.0164398478702827</v>
      </c>
      <c r="E14" s="61"/>
      <c r="F14" s="61"/>
      <c r="G14" s="60"/>
      <c r="I14" s="37" t="s">
        <v>206</v>
      </c>
    </row>
    <row r="15" spans="1:9" x14ac:dyDescent="0.2">
      <c r="A15" s="7">
        <f t="shared" si="0"/>
        <v>1993</v>
      </c>
      <c r="B15" s="2">
        <v>1.0195099628344999</v>
      </c>
      <c r="C15" s="67">
        <v>1.01756126099773</v>
      </c>
      <c r="D15" s="61">
        <v>1.0185356119161151</v>
      </c>
      <c r="E15" s="61"/>
      <c r="F15" s="61"/>
      <c r="G15" s="60"/>
      <c r="I15" s="37"/>
    </row>
    <row r="16" spans="1:9" x14ac:dyDescent="0.2">
      <c r="A16" s="7">
        <f t="shared" si="0"/>
        <v>1994</v>
      </c>
      <c r="B16" s="2">
        <v>0.94463922948947698</v>
      </c>
      <c r="C16" s="67">
        <v>0.77201863144393701</v>
      </c>
      <c r="D16" s="61">
        <v>0.858328930466707</v>
      </c>
      <c r="E16" s="61"/>
      <c r="F16" s="61"/>
      <c r="G16" s="60"/>
      <c r="I16" s="37"/>
    </row>
    <row r="17" spans="1:10" x14ac:dyDescent="0.2">
      <c r="A17" s="7">
        <f t="shared" si="0"/>
        <v>1995</v>
      </c>
      <c r="B17" s="2">
        <v>1.0467053575629</v>
      </c>
      <c r="C17" s="67">
        <v>0.92447784703314495</v>
      </c>
      <c r="D17" s="61">
        <v>0.98559160229802245</v>
      </c>
      <c r="E17" s="61"/>
      <c r="F17" s="61"/>
      <c r="G17" s="60"/>
      <c r="I17" s="37"/>
    </row>
    <row r="18" spans="1:10" x14ac:dyDescent="0.2">
      <c r="A18" s="7">
        <f t="shared" si="0"/>
        <v>1996</v>
      </c>
      <c r="B18" s="2">
        <v>0.85161086139278697</v>
      </c>
      <c r="C18" s="2">
        <v>0.76644269930919595</v>
      </c>
      <c r="D18" s="61">
        <v>0.8090267803509914</v>
      </c>
      <c r="E18" s="61"/>
      <c r="F18" s="61"/>
      <c r="G18" s="60"/>
      <c r="I18" s="37" t="s">
        <v>211</v>
      </c>
    </row>
    <row r="19" spans="1:10" x14ac:dyDescent="0.2">
      <c r="A19" s="7">
        <f t="shared" si="0"/>
        <v>1997</v>
      </c>
      <c r="B19" s="2">
        <v>1.01265337718492</v>
      </c>
      <c r="C19" s="2">
        <v>1.00639679575167</v>
      </c>
      <c r="D19" s="61">
        <v>1.009525086468295</v>
      </c>
      <c r="E19" s="61"/>
      <c r="F19" s="61"/>
      <c r="G19" s="60"/>
      <c r="I19" s="37" t="s">
        <v>206</v>
      </c>
    </row>
    <row r="20" spans="1:10" x14ac:dyDescent="0.2">
      <c r="A20" s="7">
        <f t="shared" si="0"/>
        <v>1998</v>
      </c>
      <c r="B20" s="2">
        <v>0.86065888571929605</v>
      </c>
      <c r="C20" s="2">
        <v>0.80884498548637496</v>
      </c>
      <c r="D20" s="61">
        <v>0.83475193560283545</v>
      </c>
      <c r="E20" s="61"/>
      <c r="F20" s="61"/>
      <c r="G20" s="60"/>
      <c r="I20" s="37" t="s">
        <v>206</v>
      </c>
    </row>
    <row r="21" spans="1:10" x14ac:dyDescent="0.2">
      <c r="A21" s="7">
        <f t="shared" si="0"/>
        <v>1999</v>
      </c>
      <c r="B21" s="2">
        <v>1.06253555100313</v>
      </c>
      <c r="C21" s="2">
        <v>1.00083976508179</v>
      </c>
      <c r="D21" s="61">
        <v>1.0316876580424599</v>
      </c>
      <c r="E21" s="61"/>
      <c r="F21" s="61"/>
      <c r="G21" s="60"/>
      <c r="I21" s="37" t="s">
        <v>206</v>
      </c>
      <c r="J21" s="37" t="s">
        <v>281</v>
      </c>
    </row>
    <row r="22" spans="1:10" x14ac:dyDescent="0.2">
      <c r="A22" s="7">
        <f>A21+1</f>
        <v>2000</v>
      </c>
      <c r="B22" s="2">
        <v>0.98765968548321603</v>
      </c>
      <c r="C22" s="2">
        <v>1.0939987849058299</v>
      </c>
      <c r="D22" s="61">
        <v>1.040829235194523</v>
      </c>
      <c r="E22" s="61"/>
      <c r="F22" s="61"/>
      <c r="G22" s="60"/>
      <c r="I22" s="37" t="s">
        <v>206</v>
      </c>
      <c r="J22" s="37" t="s">
        <v>281</v>
      </c>
    </row>
    <row r="23" spans="1:10" x14ac:dyDescent="0.2">
      <c r="A23" s="7">
        <f t="shared" si="0"/>
        <v>2001</v>
      </c>
      <c r="B23" s="2">
        <v>1.04209153233912</v>
      </c>
      <c r="C23" s="2">
        <v>1.00090276996467</v>
      </c>
      <c r="D23" s="61">
        <v>1.0214971511518951</v>
      </c>
      <c r="E23" s="61"/>
      <c r="F23" s="61"/>
      <c r="G23" s="60"/>
      <c r="I23" s="37" t="s">
        <v>206</v>
      </c>
      <c r="J23" s="37" t="s">
        <v>281</v>
      </c>
    </row>
    <row r="24" spans="1:10" x14ac:dyDescent="0.2">
      <c r="A24" s="7">
        <f t="shared" si="0"/>
        <v>2002</v>
      </c>
      <c r="B24" s="2">
        <v>1.29613932144094</v>
      </c>
      <c r="C24" s="2">
        <v>1.151938075200825</v>
      </c>
      <c r="D24" s="61">
        <v>1.2240386983208826</v>
      </c>
      <c r="E24" s="61"/>
      <c r="F24" s="61"/>
      <c r="G24" s="60"/>
    </row>
    <row r="25" spans="1:10" x14ac:dyDescent="0.2">
      <c r="A25" s="7">
        <f t="shared" si="0"/>
        <v>2003</v>
      </c>
      <c r="B25" s="2">
        <v>1.1464081191006701</v>
      </c>
      <c r="C25" s="2">
        <v>1.3029733804369801</v>
      </c>
      <c r="D25" s="61">
        <v>1.2246907497688251</v>
      </c>
      <c r="E25" s="61"/>
      <c r="F25" s="61"/>
      <c r="G25" s="60"/>
    </row>
    <row r="26" spans="1:10" x14ac:dyDescent="0.2">
      <c r="A26" s="7">
        <v>2004</v>
      </c>
      <c r="B26" s="2">
        <v>1.1055662713466401</v>
      </c>
      <c r="C26" s="2">
        <v>1.0955424045363495</v>
      </c>
      <c r="D26" s="61">
        <v>1.1005543379414948</v>
      </c>
      <c r="E26" s="61"/>
      <c r="F26" s="61"/>
      <c r="G26" s="60"/>
    </row>
    <row r="27" spans="1:10" x14ac:dyDescent="0.2">
      <c r="A27" s="7">
        <v>2005</v>
      </c>
      <c r="B27" s="2">
        <v>0.613303452670656</v>
      </c>
      <c r="C27" s="2">
        <v>0.88811142863571901</v>
      </c>
      <c r="D27" s="61">
        <v>0.75070744065318751</v>
      </c>
      <c r="E27" s="61"/>
      <c r="F27" s="61"/>
      <c r="G27" s="60"/>
    </row>
    <row r="28" spans="1:10" x14ac:dyDescent="0.2">
      <c r="A28" s="7">
        <v>2006</v>
      </c>
      <c r="B28" s="2">
        <v>1.08739067398287</v>
      </c>
      <c r="C28" s="2">
        <v>1.2579185886906199</v>
      </c>
      <c r="D28" s="61">
        <v>1.172654631336745</v>
      </c>
      <c r="E28" s="61"/>
      <c r="F28" s="61"/>
      <c r="G28" s="60"/>
    </row>
    <row r="29" spans="1:10" x14ac:dyDescent="0.2">
      <c r="A29" s="7">
        <v>2007</v>
      </c>
      <c r="B29" s="2">
        <v>1.16450416775369</v>
      </c>
      <c r="C29" s="2">
        <v>1.30592830944398</v>
      </c>
      <c r="D29" s="61">
        <v>1.235216238598835</v>
      </c>
      <c r="E29" s="61"/>
      <c r="F29" s="61"/>
      <c r="G29" s="60"/>
    </row>
    <row r="30" spans="1:10" x14ac:dyDescent="0.2">
      <c r="A30" s="7">
        <v>2008</v>
      </c>
      <c r="B30" s="2">
        <v>1.0828281705079601</v>
      </c>
      <c r="C30" s="2">
        <v>1.1902324430143301</v>
      </c>
      <c r="D30" s="585">
        <v>1.136530306761145</v>
      </c>
      <c r="E30" s="586"/>
      <c r="F30" s="586"/>
      <c r="G30" s="586"/>
    </row>
    <row r="31" spans="1:10" x14ac:dyDescent="0.2">
      <c r="A31" s="7">
        <v>2009</v>
      </c>
      <c r="B31" s="2">
        <v>1.2325311458863499</v>
      </c>
      <c r="C31" s="2">
        <v>1.5515591458338001</v>
      </c>
      <c r="D31" s="585">
        <v>1.3920451458600751</v>
      </c>
      <c r="E31" s="586"/>
      <c r="F31" s="586"/>
      <c r="G31" s="586"/>
    </row>
    <row r="32" spans="1:10" x14ac:dyDescent="0.2">
      <c r="A32" s="7">
        <v>2010</v>
      </c>
      <c r="B32" s="2">
        <v>0.75161299979898999</v>
      </c>
      <c r="C32" s="2"/>
      <c r="D32" s="585">
        <v>0.75161299979898999</v>
      </c>
      <c r="E32" s="586"/>
      <c r="F32" s="586"/>
      <c r="G32" s="586"/>
    </row>
    <row r="33" spans="1:7" x14ac:dyDescent="0.2">
      <c r="A33" s="7">
        <v>2011</v>
      </c>
      <c r="B33" s="2"/>
      <c r="C33" s="2"/>
      <c r="D33" s="586"/>
      <c r="E33" s="586"/>
      <c r="F33" s="586"/>
      <c r="G33" s="586"/>
    </row>
    <row r="34" spans="1:7" x14ac:dyDescent="0.2">
      <c r="A34" s="7">
        <v>2012</v>
      </c>
      <c r="B34" s="2"/>
      <c r="C34" s="2"/>
      <c r="D34" s="586"/>
      <c r="E34" s="586"/>
      <c r="F34" s="586"/>
      <c r="G34" s="586"/>
    </row>
    <row r="35" spans="1:7" x14ac:dyDescent="0.2">
      <c r="A35" s="7">
        <v>2013</v>
      </c>
      <c r="D35" s="586"/>
      <c r="E35" s="586"/>
      <c r="F35" s="586"/>
      <c r="G35" s="586"/>
    </row>
    <row r="36" spans="1:7" x14ac:dyDescent="0.2">
      <c r="A36" s="7">
        <v>2014</v>
      </c>
      <c r="D36" s="586"/>
      <c r="E36" s="586"/>
      <c r="F36" s="586"/>
      <c r="G36" s="586"/>
    </row>
    <row r="37" spans="1:7" x14ac:dyDescent="0.2">
      <c r="A37" s="7">
        <v>2015</v>
      </c>
      <c r="D37" s="586"/>
      <c r="E37" s="586"/>
      <c r="F37" s="586"/>
      <c r="G37" s="586"/>
    </row>
    <row r="38" spans="1:7" x14ac:dyDescent="0.2">
      <c r="A38" s="7">
        <v>2016</v>
      </c>
      <c r="D38" s="586"/>
      <c r="E38" s="586"/>
      <c r="F38" s="586"/>
      <c r="G38" s="586"/>
    </row>
  </sheetData>
  <phoneticPr fontId="0" type="noConversion"/>
  <printOptions gridLines="1"/>
  <pageMargins left="0.69" right="0.25" top="1.06" bottom="1.19" header="0.5" footer="0.5"/>
  <pageSetup orientation="portrait" horizontalDpi="300" verticalDpi="300" r:id="rId1"/>
  <headerFooter alignWithMargins="0">
    <oddHeader>&amp;L&amp;"Arial,Bold"&amp;11KLUANE MONITORING PROGRAM&amp;C&amp;A&amp;R&amp;F</oddHeader>
    <oddFooter>&amp;CPage &amp;P&amp;R&amp;D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9"/>
  <sheetViews>
    <sheetView zoomScaleNormal="100" workbookViewId="0">
      <pane ySplit="8" topLeftCell="A21" activePane="bottomLeft" state="frozenSplit"/>
      <selection pane="bottomLeft" activeCell="P48" sqref="P48"/>
    </sheetView>
  </sheetViews>
  <sheetFormatPr defaultRowHeight="12.75" x14ac:dyDescent="0.2"/>
  <cols>
    <col min="2" max="2" width="10.42578125" customWidth="1"/>
    <col min="3" max="3" width="9.42578125" customWidth="1"/>
    <col min="5" max="5" width="9.85546875" customWidth="1"/>
    <col min="6" max="6" width="9.7109375" customWidth="1"/>
    <col min="7" max="7" width="12.85546875" customWidth="1"/>
    <col min="8" max="8" width="12.140625" customWidth="1"/>
    <col min="11" max="11" width="7.140625" customWidth="1"/>
    <col min="12" max="12" width="28.7109375" customWidth="1"/>
    <col min="13" max="13" width="12.5703125" customWidth="1"/>
    <col min="16" max="16" width="13" customWidth="1"/>
    <col min="17" max="17" width="9.140625" style="7"/>
  </cols>
  <sheetData>
    <row r="1" spans="1:18" ht="16.5" thickBot="1" x14ac:dyDescent="0.3">
      <c r="A1" s="322" t="s">
        <v>139</v>
      </c>
      <c r="B1" s="96"/>
      <c r="C1" s="96"/>
      <c r="D1" s="96"/>
      <c r="E1" s="96"/>
      <c r="F1" s="96"/>
      <c r="G1" s="97"/>
      <c r="H1" s="97"/>
    </row>
    <row r="2" spans="1:18" x14ac:dyDescent="0.2">
      <c r="A2" s="37" t="s">
        <v>140</v>
      </c>
    </row>
    <row r="3" spans="1:18" ht="13.5" thickBot="1" x14ac:dyDescent="0.25"/>
    <row r="4" spans="1:18" ht="15.75" thickBot="1" x14ac:dyDescent="0.3">
      <c r="A4" s="421" t="s">
        <v>274</v>
      </c>
      <c r="B4" s="78"/>
      <c r="C4" s="78"/>
      <c r="D4" s="78"/>
      <c r="E4" s="78"/>
      <c r="F4" s="77"/>
      <c r="G4" s="77"/>
    </row>
    <row r="5" spans="1:18" x14ac:dyDescent="0.2">
      <c r="A5" s="37" t="s">
        <v>217</v>
      </c>
    </row>
    <row r="6" spans="1:18" x14ac:dyDescent="0.2">
      <c r="A6" s="112" t="s">
        <v>253</v>
      </c>
    </row>
    <row r="7" spans="1:18" ht="13.5" thickBot="1" x14ac:dyDescent="0.25">
      <c r="A7" s="36"/>
    </row>
    <row r="8" spans="1:18" ht="13.5" thickBot="1" x14ac:dyDescent="0.25">
      <c r="A8" s="4" t="s">
        <v>16</v>
      </c>
      <c r="B8" s="4" t="s">
        <v>121</v>
      </c>
      <c r="C8" s="4" t="s">
        <v>122</v>
      </c>
      <c r="D8" s="4" t="s">
        <v>223</v>
      </c>
      <c r="E8" s="4" t="s">
        <v>128</v>
      </c>
      <c r="F8" s="4" t="s">
        <v>77</v>
      </c>
      <c r="G8" s="138" t="s">
        <v>224</v>
      </c>
      <c r="H8" s="139" t="s">
        <v>79</v>
      </c>
      <c r="I8" s="68" t="s">
        <v>141</v>
      </c>
      <c r="J8" s="69"/>
      <c r="K8" s="70" t="s">
        <v>5</v>
      </c>
      <c r="P8" t="s">
        <v>220</v>
      </c>
      <c r="Q8" s="7" t="s">
        <v>494</v>
      </c>
    </row>
    <row r="9" spans="1:18" x14ac:dyDescent="0.2">
      <c r="A9" s="189">
        <v>1986</v>
      </c>
      <c r="B9" s="9">
        <v>118.88</v>
      </c>
      <c r="C9" s="137"/>
      <c r="D9" s="9"/>
      <c r="E9" s="9"/>
      <c r="F9" s="137"/>
      <c r="G9" s="194"/>
      <c r="H9" s="196">
        <v>166.30099999999999</v>
      </c>
      <c r="I9" s="440">
        <v>142.83000000000001</v>
      </c>
      <c r="J9" s="440">
        <v>191.03</v>
      </c>
      <c r="K9" s="441">
        <v>186</v>
      </c>
      <c r="L9" s="435" t="s">
        <v>559</v>
      </c>
      <c r="M9" s="246" t="s">
        <v>394</v>
      </c>
      <c r="N9" s="117"/>
      <c r="R9" s="189">
        <v>1986</v>
      </c>
    </row>
    <row r="10" spans="1:18" x14ac:dyDescent="0.2">
      <c r="A10" s="189">
        <f>A9+1</f>
        <v>1987</v>
      </c>
      <c r="B10" s="9">
        <v>37.055999999999997</v>
      </c>
      <c r="C10" s="136">
        <v>49.01</v>
      </c>
      <c r="D10" s="9">
        <v>46.290999999999997</v>
      </c>
      <c r="E10" s="9">
        <v>40.165999999999997</v>
      </c>
      <c r="F10" s="136">
        <v>21.045000000000002</v>
      </c>
      <c r="G10" s="195">
        <v>33.167999999999999</v>
      </c>
      <c r="H10" s="71">
        <v>44.64</v>
      </c>
      <c r="I10" s="53">
        <v>42.31</v>
      </c>
      <c r="J10" s="53">
        <v>46.96</v>
      </c>
      <c r="K10" s="73">
        <v>630</v>
      </c>
      <c r="L10" s="435" t="s">
        <v>559</v>
      </c>
      <c r="M10" s="218" t="s">
        <v>131</v>
      </c>
      <c r="N10" s="249">
        <f>AVERAGE(H10:H35)</f>
        <v>80.792461538461552</v>
      </c>
      <c r="R10" s="189">
        <f>R9+1</f>
        <v>1987</v>
      </c>
    </row>
    <row r="11" spans="1:18" x14ac:dyDescent="0.2">
      <c r="A11" s="189">
        <f t="shared" ref="A11:A25" si="0">A10+1</f>
        <v>1988</v>
      </c>
      <c r="B11" s="9">
        <v>57.677</v>
      </c>
      <c r="C11" s="136">
        <v>70.895499999999998</v>
      </c>
      <c r="D11" s="9">
        <v>62.899000000000001</v>
      </c>
      <c r="E11" s="9"/>
      <c r="F11" s="136"/>
      <c r="G11" s="195">
        <v>55.43</v>
      </c>
      <c r="H11" s="71">
        <v>65.855999999999995</v>
      </c>
      <c r="I11" s="53">
        <v>61.048999999999999</v>
      </c>
      <c r="J11" s="53">
        <v>70.638000000000005</v>
      </c>
      <c r="K11" s="73">
        <v>550</v>
      </c>
      <c r="L11" s="435" t="s">
        <v>559</v>
      </c>
      <c r="M11" s="218" t="s">
        <v>392</v>
      </c>
      <c r="N11" s="249">
        <f>STDEV(H10:H35)</f>
        <v>134.14491408748395</v>
      </c>
      <c r="R11" s="189">
        <f t="shared" ref="R11:R25" si="1">R10+1</f>
        <v>1988</v>
      </c>
    </row>
    <row r="12" spans="1:18" ht="13.5" thickBot="1" x14ac:dyDescent="0.25">
      <c r="A12" s="189">
        <f t="shared" si="0"/>
        <v>1989</v>
      </c>
      <c r="B12" s="9">
        <v>0</v>
      </c>
      <c r="C12" s="136"/>
      <c r="D12" s="9">
        <v>0</v>
      </c>
      <c r="E12" s="9"/>
      <c r="F12" s="136"/>
      <c r="G12" s="195"/>
      <c r="H12" s="71">
        <v>0</v>
      </c>
      <c r="I12" s="53">
        <v>0</v>
      </c>
      <c r="J12" s="53">
        <v>0</v>
      </c>
      <c r="K12" s="73">
        <v>697</v>
      </c>
      <c r="L12" s="435" t="s">
        <v>559</v>
      </c>
      <c r="M12" s="212" t="s">
        <v>393</v>
      </c>
      <c r="N12" s="248">
        <f>N11/N10</f>
        <v>1.660364241082366</v>
      </c>
      <c r="R12" s="189">
        <f t="shared" si="1"/>
        <v>1989</v>
      </c>
    </row>
    <row r="13" spans="1:18" x14ac:dyDescent="0.2">
      <c r="A13" s="189">
        <f t="shared" si="0"/>
        <v>1990</v>
      </c>
      <c r="B13" s="9">
        <v>24.628</v>
      </c>
      <c r="C13" s="136">
        <v>42.847000000000001</v>
      </c>
      <c r="D13" s="9">
        <v>38.402999999999999</v>
      </c>
      <c r="E13" s="9"/>
      <c r="F13" s="136"/>
      <c r="G13" s="195">
        <v>41.17</v>
      </c>
      <c r="H13" s="71">
        <v>42.591000000000001</v>
      </c>
      <c r="I13" s="53">
        <v>37.497</v>
      </c>
      <c r="J13" s="53">
        <v>47.86</v>
      </c>
      <c r="K13" s="73">
        <v>798</v>
      </c>
      <c r="L13" s="435" t="s">
        <v>559</v>
      </c>
      <c r="R13" s="189">
        <f t="shared" si="1"/>
        <v>1990</v>
      </c>
    </row>
    <row r="14" spans="1:18" x14ac:dyDescent="0.2">
      <c r="A14" s="189">
        <f t="shared" si="0"/>
        <v>1991</v>
      </c>
      <c r="B14" s="9">
        <v>0.06</v>
      </c>
      <c r="C14" s="136">
        <v>2.59</v>
      </c>
      <c r="D14" s="9">
        <v>1.319</v>
      </c>
      <c r="E14" s="9">
        <v>4.7770000000000001</v>
      </c>
      <c r="F14" s="136">
        <v>1.6839999999999999</v>
      </c>
      <c r="G14" s="195">
        <v>0.54300000000000004</v>
      </c>
      <c r="H14" s="71">
        <v>2.097</v>
      </c>
      <c r="I14" s="53">
        <v>1.5069999999999999</v>
      </c>
      <c r="J14" s="53">
        <v>2.7839999999999998</v>
      </c>
      <c r="K14" s="73">
        <v>867</v>
      </c>
      <c r="L14" s="435" t="s">
        <v>559</v>
      </c>
      <c r="P14" s="7"/>
      <c r="R14" s="189">
        <f t="shared" si="1"/>
        <v>1991</v>
      </c>
    </row>
    <row r="15" spans="1:18" x14ac:dyDescent="0.2">
      <c r="A15" s="189">
        <f t="shared" si="0"/>
        <v>1992</v>
      </c>
      <c r="B15" s="9">
        <v>64.540000000000006</v>
      </c>
      <c r="C15" s="136">
        <v>106.34099999999999</v>
      </c>
      <c r="D15" s="9">
        <v>114.57</v>
      </c>
      <c r="E15" s="9">
        <v>95.096999999999994</v>
      </c>
      <c r="F15" s="136">
        <v>45.725000000000001</v>
      </c>
      <c r="G15" s="195">
        <v>40.186</v>
      </c>
      <c r="H15" s="71">
        <v>91.522999999999996</v>
      </c>
      <c r="I15" s="53">
        <v>82.084000000000003</v>
      </c>
      <c r="J15" s="53">
        <v>101.221</v>
      </c>
      <c r="K15" s="73">
        <v>846</v>
      </c>
      <c r="L15" s="435" t="s">
        <v>559</v>
      </c>
      <c r="P15" s="7"/>
      <c r="R15" s="189">
        <f t="shared" si="1"/>
        <v>1992</v>
      </c>
    </row>
    <row r="16" spans="1:18" x14ac:dyDescent="0.2">
      <c r="A16" s="189">
        <f t="shared" si="0"/>
        <v>1993</v>
      </c>
      <c r="B16" s="9">
        <v>193.35</v>
      </c>
      <c r="C16" s="136">
        <v>120.867</v>
      </c>
      <c r="D16" s="9">
        <v>354.185</v>
      </c>
      <c r="E16" s="9">
        <v>231.23</v>
      </c>
      <c r="F16" s="136">
        <v>14.448</v>
      </c>
      <c r="G16" s="195">
        <v>121.748</v>
      </c>
      <c r="H16" s="71">
        <v>175.339</v>
      </c>
      <c r="I16" s="53">
        <v>161.58600000000001</v>
      </c>
      <c r="J16" s="53">
        <v>189.553</v>
      </c>
      <c r="K16" s="73">
        <v>875</v>
      </c>
      <c r="L16" s="435" t="s">
        <v>559</v>
      </c>
      <c r="P16" s="7"/>
      <c r="R16" s="189">
        <f t="shared" si="1"/>
        <v>1993</v>
      </c>
    </row>
    <row r="17" spans="1:18" x14ac:dyDescent="0.2">
      <c r="A17" s="189">
        <f t="shared" si="0"/>
        <v>1994</v>
      </c>
      <c r="B17" s="9">
        <v>0.69599999999999995</v>
      </c>
      <c r="C17" s="136">
        <v>2.5999999999999999E-2</v>
      </c>
      <c r="D17" s="9">
        <v>1.92</v>
      </c>
      <c r="E17" s="9">
        <v>0.95899999999999996</v>
      </c>
      <c r="F17" s="136">
        <v>9.3719999999999999</v>
      </c>
      <c r="G17" s="195">
        <v>7.0999999999999994E-2</v>
      </c>
      <c r="H17" s="71">
        <v>1.825</v>
      </c>
      <c r="I17" s="53">
        <v>1.3109999999999999</v>
      </c>
      <c r="J17" s="53">
        <v>2.4049999999999998</v>
      </c>
      <c r="K17" s="73">
        <v>874</v>
      </c>
      <c r="L17" s="435" t="s">
        <v>559</v>
      </c>
      <c r="P17" s="7"/>
      <c r="R17" s="189">
        <f t="shared" si="1"/>
        <v>1994</v>
      </c>
    </row>
    <row r="18" spans="1:18" x14ac:dyDescent="0.2">
      <c r="A18" s="189">
        <f t="shared" si="0"/>
        <v>1995</v>
      </c>
      <c r="B18" s="9">
        <v>106.48</v>
      </c>
      <c r="C18" s="136">
        <v>66.504999999999995</v>
      </c>
      <c r="D18" s="9">
        <v>157.619</v>
      </c>
      <c r="E18" s="9">
        <v>140.94999999999999</v>
      </c>
      <c r="F18" s="136">
        <v>231.72499999999999</v>
      </c>
      <c r="G18" s="195">
        <v>16.803000000000001</v>
      </c>
      <c r="H18" s="71">
        <v>111.52200000000001</v>
      </c>
      <c r="I18" s="53">
        <v>101.009</v>
      </c>
      <c r="J18" s="53">
        <v>123.02</v>
      </c>
      <c r="K18" s="73">
        <v>853</v>
      </c>
      <c r="L18" s="435" t="s">
        <v>559</v>
      </c>
      <c r="P18" s="7"/>
      <c r="R18" s="189">
        <f t="shared" si="1"/>
        <v>1995</v>
      </c>
    </row>
    <row r="19" spans="1:18" x14ac:dyDescent="0.2">
      <c r="A19" s="189">
        <f t="shared" si="0"/>
        <v>1996</v>
      </c>
      <c r="B19" s="9">
        <v>69.533000000000001</v>
      </c>
      <c r="C19" s="136">
        <v>21.013000000000002</v>
      </c>
      <c r="D19" s="9">
        <v>93.942999999999998</v>
      </c>
      <c r="E19" s="9">
        <v>20.146999999999998</v>
      </c>
      <c r="F19" s="136"/>
      <c r="G19" s="195"/>
      <c r="H19" s="71">
        <v>58.994999999999997</v>
      </c>
      <c r="I19" s="53">
        <v>49.131999999999998</v>
      </c>
      <c r="J19" s="53">
        <v>70.114000000000004</v>
      </c>
      <c r="K19" s="73">
        <v>333</v>
      </c>
      <c r="L19" s="435" t="s">
        <v>559</v>
      </c>
      <c r="P19" s="7"/>
      <c r="R19" s="189">
        <f t="shared" si="1"/>
        <v>1996</v>
      </c>
    </row>
    <row r="20" spans="1:18" x14ac:dyDescent="0.2">
      <c r="A20" s="189">
        <f t="shared" si="0"/>
        <v>1997</v>
      </c>
      <c r="B20" s="9">
        <v>38.200000000000003</v>
      </c>
      <c r="C20" s="136"/>
      <c r="D20" s="9">
        <v>60</v>
      </c>
      <c r="E20" s="9">
        <v>43.66</v>
      </c>
      <c r="F20" s="136"/>
      <c r="G20" s="195"/>
      <c r="H20" s="71">
        <v>50.716000000000001</v>
      </c>
      <c r="I20" s="53">
        <v>43.256</v>
      </c>
      <c r="J20" s="53">
        <v>58.5</v>
      </c>
      <c r="K20" s="73">
        <v>230</v>
      </c>
      <c r="L20" s="435" t="s">
        <v>559</v>
      </c>
      <c r="P20" s="7"/>
      <c r="R20" s="189">
        <f t="shared" si="1"/>
        <v>1997</v>
      </c>
    </row>
    <row r="21" spans="1:18" x14ac:dyDescent="0.2">
      <c r="A21" s="189">
        <f t="shared" si="0"/>
        <v>1998</v>
      </c>
      <c r="B21" s="9">
        <v>340</v>
      </c>
      <c r="C21" s="136"/>
      <c r="D21" s="9">
        <v>418.6</v>
      </c>
      <c r="E21" s="9">
        <v>390.1</v>
      </c>
      <c r="F21" s="9">
        <v>793.1</v>
      </c>
      <c r="G21" s="9">
        <v>357.6</v>
      </c>
      <c r="H21" s="71">
        <v>458.4</v>
      </c>
      <c r="I21" s="53">
        <v>414.33</v>
      </c>
      <c r="J21" s="53">
        <v>506.09</v>
      </c>
      <c r="K21" s="73">
        <v>257</v>
      </c>
      <c r="L21" s="435" t="s">
        <v>559</v>
      </c>
      <c r="N21" s="442" t="s">
        <v>557</v>
      </c>
      <c r="P21" s="7"/>
      <c r="R21" s="189">
        <f t="shared" si="1"/>
        <v>1998</v>
      </c>
    </row>
    <row r="22" spans="1:18" x14ac:dyDescent="0.2">
      <c r="A22" s="189">
        <f t="shared" si="0"/>
        <v>1999</v>
      </c>
      <c r="B22" s="9">
        <v>8.7149999999999999</v>
      </c>
      <c r="C22" s="9">
        <v>34.479999999999997</v>
      </c>
      <c r="D22" s="9">
        <v>57.167999999999999</v>
      </c>
      <c r="E22" s="9">
        <v>13.204000000000001</v>
      </c>
      <c r="F22" s="9">
        <v>5.34</v>
      </c>
      <c r="G22" s="9">
        <v>45.26</v>
      </c>
      <c r="H22" s="71">
        <v>34.200000000000003</v>
      </c>
      <c r="I22" s="53">
        <v>27.88</v>
      </c>
      <c r="J22" s="53">
        <v>41.35</v>
      </c>
      <c r="K22" s="73">
        <v>336</v>
      </c>
      <c r="L22" s="435" t="s">
        <v>559</v>
      </c>
      <c r="N22" s="442" t="s">
        <v>557</v>
      </c>
      <c r="P22" s="7"/>
      <c r="Q22" s="7">
        <v>27.56</v>
      </c>
      <c r="R22" s="189">
        <f t="shared" si="1"/>
        <v>1999</v>
      </c>
    </row>
    <row r="23" spans="1:18" x14ac:dyDescent="0.2">
      <c r="A23" s="189">
        <f t="shared" si="0"/>
        <v>2000</v>
      </c>
      <c r="B23" s="9">
        <v>1.76</v>
      </c>
      <c r="C23" s="9">
        <v>15.04</v>
      </c>
      <c r="D23" s="9">
        <v>2.34</v>
      </c>
      <c r="E23" s="9">
        <v>1.27</v>
      </c>
      <c r="F23" s="9">
        <v>0.43</v>
      </c>
      <c r="G23" s="9">
        <v>1.04</v>
      </c>
      <c r="H23" s="71">
        <v>10.7</v>
      </c>
      <c r="I23" s="53">
        <v>9.08</v>
      </c>
      <c r="J23" s="53">
        <v>12.56</v>
      </c>
      <c r="K23" s="73">
        <v>8.8000000000000007</v>
      </c>
      <c r="L23" s="435" t="s">
        <v>559</v>
      </c>
      <c r="P23" s="7"/>
      <c r="Q23" s="7">
        <v>9.57</v>
      </c>
      <c r="R23" s="189">
        <f t="shared" si="1"/>
        <v>2000</v>
      </c>
    </row>
    <row r="24" spans="1:18" x14ac:dyDescent="0.2">
      <c r="A24" s="189">
        <f t="shared" si="0"/>
        <v>2001</v>
      </c>
      <c r="B24" s="9">
        <v>8.49</v>
      </c>
      <c r="C24" s="9">
        <v>59.32</v>
      </c>
      <c r="D24" s="9">
        <v>27.8</v>
      </c>
      <c r="E24" s="9">
        <v>10.38</v>
      </c>
      <c r="F24" s="9">
        <v>4.97</v>
      </c>
      <c r="G24" s="9">
        <v>53.64</v>
      </c>
      <c r="H24" s="193">
        <v>11.9</v>
      </c>
      <c r="I24" s="53">
        <v>10</v>
      </c>
      <c r="J24" s="53">
        <v>13.82</v>
      </c>
      <c r="K24" s="73">
        <v>1097</v>
      </c>
      <c r="L24" s="435" t="s">
        <v>559</v>
      </c>
      <c r="P24" s="7">
        <v>7.96</v>
      </c>
      <c r="Q24" s="7">
        <v>11.11</v>
      </c>
      <c r="R24" s="189">
        <f t="shared" si="1"/>
        <v>2001</v>
      </c>
    </row>
    <row r="25" spans="1:18" x14ac:dyDescent="0.2">
      <c r="A25" s="189">
        <f t="shared" si="0"/>
        <v>2002</v>
      </c>
      <c r="B25" s="9">
        <v>19.190000000000001</v>
      </c>
      <c r="C25" s="9">
        <v>136.96</v>
      </c>
      <c r="D25" s="9">
        <v>57.28</v>
      </c>
      <c r="E25" s="9">
        <v>34.4</v>
      </c>
      <c r="F25" s="9">
        <v>90.02</v>
      </c>
      <c r="G25" s="9">
        <v>94.08</v>
      </c>
      <c r="H25" s="28">
        <v>75.900000000000006</v>
      </c>
      <c r="I25" s="53">
        <v>69.760000000000005</v>
      </c>
      <c r="J25" s="53">
        <v>82.09</v>
      </c>
      <c r="K25" s="19">
        <v>1139</v>
      </c>
      <c r="L25" s="435" t="s">
        <v>559</v>
      </c>
      <c r="P25" s="7">
        <v>155.66999999999999</v>
      </c>
      <c r="Q25" s="7">
        <v>72.56</v>
      </c>
      <c r="R25" s="189">
        <f t="shared" si="1"/>
        <v>2002</v>
      </c>
    </row>
    <row r="26" spans="1:18" x14ac:dyDescent="0.2">
      <c r="A26" s="189">
        <v>2003</v>
      </c>
      <c r="B26" s="9">
        <v>5.68</v>
      </c>
      <c r="C26" s="9">
        <v>7.54</v>
      </c>
      <c r="D26" s="9">
        <v>12.69</v>
      </c>
      <c r="E26" s="9">
        <v>9.73</v>
      </c>
      <c r="F26" s="9">
        <v>18.920000000000002</v>
      </c>
      <c r="G26" s="9">
        <v>14.75</v>
      </c>
      <c r="H26" s="28">
        <v>17.5</v>
      </c>
      <c r="I26" s="53">
        <v>14.93</v>
      </c>
      <c r="J26" s="53">
        <v>20.36</v>
      </c>
      <c r="K26" s="372">
        <v>1149</v>
      </c>
      <c r="L26" s="435" t="s">
        <v>559</v>
      </c>
      <c r="P26" s="7">
        <v>4.59</v>
      </c>
      <c r="Q26" s="7">
        <v>16.77</v>
      </c>
      <c r="R26" s="189">
        <v>2003</v>
      </c>
    </row>
    <row r="27" spans="1:18" x14ac:dyDescent="0.2">
      <c r="A27" s="189">
        <v>2004</v>
      </c>
      <c r="B27" s="9">
        <v>10.16</v>
      </c>
      <c r="C27" s="9">
        <v>36.54</v>
      </c>
      <c r="D27" s="9">
        <v>15.244</v>
      </c>
      <c r="E27" s="9">
        <v>8.2757000000000005</v>
      </c>
      <c r="F27" s="9">
        <v>3.48</v>
      </c>
      <c r="G27" s="9">
        <v>21.3</v>
      </c>
      <c r="H27" s="28">
        <v>18.100000000000001</v>
      </c>
      <c r="I27" s="53">
        <v>15.7</v>
      </c>
      <c r="J27" s="53">
        <v>20.58</v>
      </c>
      <c r="K27" s="372">
        <v>1073</v>
      </c>
      <c r="L27" s="435" t="s">
        <v>559</v>
      </c>
      <c r="P27" s="7">
        <v>8.57</v>
      </c>
      <c r="Q27" s="7">
        <v>17.809999999999999</v>
      </c>
      <c r="R27" s="189">
        <v>2004</v>
      </c>
    </row>
    <row r="28" spans="1:18" x14ac:dyDescent="0.2">
      <c r="A28" s="189">
        <v>2005</v>
      </c>
      <c r="B28" s="9">
        <v>124.86</v>
      </c>
      <c r="C28" s="9">
        <v>732.94</v>
      </c>
      <c r="D28" s="9">
        <v>208.36</v>
      </c>
      <c r="E28" s="9">
        <v>23.398</v>
      </c>
      <c r="F28" s="9">
        <v>0.06</v>
      </c>
      <c r="G28" s="127">
        <v>472.83</v>
      </c>
      <c r="H28" s="28">
        <v>162.80000000000001</v>
      </c>
      <c r="I28" s="53">
        <v>144.63</v>
      </c>
      <c r="J28" s="53">
        <v>181.74</v>
      </c>
      <c r="K28" s="372">
        <v>1089</v>
      </c>
      <c r="L28" s="435" t="s">
        <v>559</v>
      </c>
      <c r="P28" s="7">
        <v>301.88</v>
      </c>
      <c r="Q28" s="7">
        <v>160.38</v>
      </c>
      <c r="R28" s="189">
        <v>2005</v>
      </c>
    </row>
    <row r="29" spans="1:18" x14ac:dyDescent="0.2">
      <c r="A29" s="189">
        <v>2006</v>
      </c>
      <c r="B29" s="9">
        <v>1.1100000000000001</v>
      </c>
      <c r="C29" s="9">
        <v>7.0000000000000007E-2</v>
      </c>
      <c r="D29" s="9">
        <v>0.56769999999999998</v>
      </c>
      <c r="E29" s="9">
        <v>3.3460000000000001</v>
      </c>
      <c r="F29" s="9">
        <v>5.53</v>
      </c>
      <c r="G29" s="127">
        <v>0.18</v>
      </c>
      <c r="H29" s="28">
        <v>3.4</v>
      </c>
      <c r="I29" s="53">
        <v>2.2400000000000002</v>
      </c>
      <c r="J29" s="53">
        <v>4.93</v>
      </c>
      <c r="K29" s="372">
        <v>1087</v>
      </c>
      <c r="L29" s="435" t="s">
        <v>559</v>
      </c>
      <c r="N29" s="273" t="s">
        <v>419</v>
      </c>
      <c r="P29" s="7">
        <v>0.04</v>
      </c>
      <c r="Q29" s="7">
        <v>3.17</v>
      </c>
      <c r="R29" s="189">
        <v>2006</v>
      </c>
    </row>
    <row r="30" spans="1:18" x14ac:dyDescent="0.2">
      <c r="A30" s="189">
        <v>2007</v>
      </c>
      <c r="B30" s="9">
        <v>16.010000000000002</v>
      </c>
      <c r="C30" s="9">
        <v>12.81</v>
      </c>
      <c r="D30" s="9">
        <v>35.06</v>
      </c>
      <c r="E30" s="9">
        <v>70.56</v>
      </c>
      <c r="F30" s="9">
        <v>43.88</v>
      </c>
      <c r="G30" s="127">
        <v>19</v>
      </c>
      <c r="H30" s="28">
        <v>49.2</v>
      </c>
      <c r="I30" s="53">
        <v>43.33</v>
      </c>
      <c r="J30" s="53">
        <v>55.12</v>
      </c>
      <c r="K30" s="372">
        <v>955</v>
      </c>
      <c r="L30" s="435" t="s">
        <v>559</v>
      </c>
      <c r="N30" s="273" t="s">
        <v>419</v>
      </c>
      <c r="P30" s="7">
        <v>13.96</v>
      </c>
      <c r="Q30" s="7">
        <v>42.94</v>
      </c>
      <c r="R30" s="189">
        <v>2007</v>
      </c>
    </row>
    <row r="31" spans="1:18" x14ac:dyDescent="0.2">
      <c r="A31" s="189">
        <v>2008</v>
      </c>
      <c r="B31" s="9">
        <v>2.5499999999999998</v>
      </c>
      <c r="C31" s="9">
        <v>7.18</v>
      </c>
      <c r="D31" s="9">
        <v>12.0946</v>
      </c>
      <c r="E31" s="9">
        <v>2.6219999999999999</v>
      </c>
      <c r="F31" s="9">
        <v>4.9800000000000004</v>
      </c>
      <c r="G31" s="127">
        <v>22.12</v>
      </c>
      <c r="H31" s="28">
        <v>11.1</v>
      </c>
      <c r="I31" s="53">
        <v>7.44</v>
      </c>
      <c r="J31" s="53">
        <v>15.75</v>
      </c>
      <c r="K31" s="372">
        <v>460</v>
      </c>
      <c r="L31" s="435" t="s">
        <v>559</v>
      </c>
      <c r="N31" s="273" t="s">
        <v>419</v>
      </c>
      <c r="P31" s="7">
        <v>26.87</v>
      </c>
      <c r="R31" s="189">
        <v>2008</v>
      </c>
    </row>
    <row r="32" spans="1:18" x14ac:dyDescent="0.2">
      <c r="A32" s="189">
        <v>2009</v>
      </c>
      <c r="B32" s="9">
        <v>11.87</v>
      </c>
      <c r="C32" s="9">
        <v>34.31</v>
      </c>
      <c r="D32" s="9">
        <v>29.87</v>
      </c>
      <c r="E32" s="9">
        <v>34.03</v>
      </c>
      <c r="F32" s="9">
        <v>22.7</v>
      </c>
      <c r="G32" s="127">
        <v>24.97</v>
      </c>
      <c r="H32" s="28">
        <v>27.3</v>
      </c>
      <c r="I32" s="9">
        <v>22.72</v>
      </c>
      <c r="J32" s="9">
        <v>32.159999999999997</v>
      </c>
      <c r="K32" s="372">
        <v>564</v>
      </c>
      <c r="L32" s="435" t="s">
        <v>559</v>
      </c>
      <c r="N32" s="273" t="s">
        <v>419</v>
      </c>
      <c r="P32" s="7">
        <v>27.59</v>
      </c>
      <c r="R32" s="189">
        <v>2009</v>
      </c>
    </row>
    <row r="33" spans="1:20" x14ac:dyDescent="0.2">
      <c r="A33" s="189">
        <v>2010</v>
      </c>
      <c r="B33" s="9">
        <v>387.77</v>
      </c>
      <c r="C33" s="9">
        <v>746.75</v>
      </c>
      <c r="D33" s="9">
        <v>412.73899999999998</v>
      </c>
      <c r="E33" s="9">
        <v>495.15</v>
      </c>
      <c r="F33" s="9">
        <v>431.73</v>
      </c>
      <c r="G33" s="127">
        <v>629.07000000000005</v>
      </c>
      <c r="H33" s="28">
        <v>552.79999999999995</v>
      </c>
      <c r="I33" s="9">
        <v>510.96</v>
      </c>
      <c r="J33" s="9">
        <v>594.65</v>
      </c>
      <c r="K33" s="372">
        <v>649</v>
      </c>
      <c r="L33" s="435" t="s">
        <v>559</v>
      </c>
      <c r="N33" s="273" t="s">
        <v>419</v>
      </c>
      <c r="P33" s="7">
        <v>265.77</v>
      </c>
      <c r="R33" s="189">
        <v>2010</v>
      </c>
    </row>
    <row r="34" spans="1:20" x14ac:dyDescent="0.2">
      <c r="A34" s="189">
        <v>2011</v>
      </c>
      <c r="B34" s="9">
        <v>0</v>
      </c>
      <c r="C34" s="9">
        <v>0</v>
      </c>
      <c r="D34" s="9">
        <v>0</v>
      </c>
      <c r="E34" s="9">
        <v>0.2</v>
      </c>
      <c r="F34" s="9">
        <v>0.9</v>
      </c>
      <c r="G34" s="127">
        <v>0</v>
      </c>
      <c r="H34" s="28">
        <v>0.3</v>
      </c>
      <c r="I34" s="9">
        <v>0.12</v>
      </c>
      <c r="J34" s="9">
        <v>0.5</v>
      </c>
      <c r="K34" s="372">
        <v>553</v>
      </c>
      <c r="L34" s="435" t="s">
        <v>559</v>
      </c>
      <c r="N34" s="273" t="s">
        <v>419</v>
      </c>
      <c r="P34" s="7">
        <v>0.7</v>
      </c>
      <c r="R34" s="189">
        <v>2011</v>
      </c>
    </row>
    <row r="35" spans="1:20" x14ac:dyDescent="0.2">
      <c r="A35" s="189">
        <v>2012</v>
      </c>
      <c r="B35" s="9">
        <v>22</v>
      </c>
      <c r="C35" s="9">
        <v>9.6</v>
      </c>
      <c r="D35" s="9">
        <v>45.3</v>
      </c>
      <c r="E35" s="9">
        <v>27.1</v>
      </c>
      <c r="F35" s="9">
        <v>11.5</v>
      </c>
      <c r="G35" s="127">
        <v>11.4</v>
      </c>
      <c r="H35" s="28">
        <v>21.9</v>
      </c>
      <c r="I35" s="9">
        <v>17.96</v>
      </c>
      <c r="J35" s="9">
        <v>26.09</v>
      </c>
      <c r="K35" s="362">
        <v>520</v>
      </c>
      <c r="L35" s="563" t="s">
        <v>559</v>
      </c>
      <c r="N35" s="273" t="s">
        <v>419</v>
      </c>
      <c r="P35" s="7">
        <v>6.5</v>
      </c>
      <c r="R35" s="189">
        <v>2012</v>
      </c>
    </row>
    <row r="36" spans="1:20" x14ac:dyDescent="0.2">
      <c r="A36" s="189">
        <v>2013</v>
      </c>
      <c r="B36" s="9">
        <v>21.3</v>
      </c>
      <c r="C36" s="9">
        <v>90.4</v>
      </c>
      <c r="D36" s="9">
        <v>51.21</v>
      </c>
      <c r="E36" s="9">
        <v>50.41</v>
      </c>
      <c r="F36" s="9">
        <v>57.5</v>
      </c>
      <c r="G36" s="127">
        <v>52.7</v>
      </c>
      <c r="H36" s="28">
        <v>53.7</v>
      </c>
      <c r="I36" s="9">
        <v>47.32</v>
      </c>
      <c r="J36" s="9">
        <v>60.25</v>
      </c>
      <c r="K36" s="362">
        <v>496</v>
      </c>
      <c r="L36" s="563" t="s">
        <v>559</v>
      </c>
      <c r="N36" s="273" t="s">
        <v>419</v>
      </c>
      <c r="P36" s="7">
        <v>30</v>
      </c>
      <c r="R36" s="189">
        <v>2013</v>
      </c>
      <c r="T36" s="11"/>
    </row>
    <row r="37" spans="1:20" x14ac:dyDescent="0.2">
      <c r="A37" s="189">
        <v>2014</v>
      </c>
      <c r="B37" s="9">
        <v>168.8</v>
      </c>
      <c r="C37" s="9">
        <v>314.10000000000002</v>
      </c>
      <c r="D37" s="9">
        <v>349.12</v>
      </c>
      <c r="E37" s="9">
        <v>340.11</v>
      </c>
      <c r="F37" s="9">
        <v>446.9</v>
      </c>
      <c r="G37" s="127">
        <v>451.9</v>
      </c>
      <c r="H37" s="28">
        <v>343.6</v>
      </c>
      <c r="I37" s="9">
        <v>312.89999999999998</v>
      </c>
      <c r="J37" s="9">
        <v>376.03</v>
      </c>
      <c r="K37" s="362">
        <v>489</v>
      </c>
      <c r="L37" s="563" t="s">
        <v>559</v>
      </c>
      <c r="N37" s="273" t="s">
        <v>419</v>
      </c>
      <c r="P37" s="7">
        <v>318.7</v>
      </c>
      <c r="R37" s="189">
        <v>2014</v>
      </c>
    </row>
    <row r="38" spans="1:20" x14ac:dyDescent="0.2">
      <c r="A38" s="189">
        <v>2015</v>
      </c>
      <c r="B38" s="9">
        <v>0.7</v>
      </c>
      <c r="C38" s="9">
        <v>0</v>
      </c>
      <c r="D38" s="9">
        <v>0</v>
      </c>
      <c r="E38" s="9">
        <v>0</v>
      </c>
      <c r="F38" s="9">
        <v>0</v>
      </c>
      <c r="G38" s="127">
        <v>1.1000000000000001</v>
      </c>
      <c r="H38" s="28">
        <v>0.1</v>
      </c>
      <c r="I38" s="9">
        <v>0.11</v>
      </c>
      <c r="J38" s="9">
        <v>0.69</v>
      </c>
      <c r="K38" s="362">
        <v>495</v>
      </c>
      <c r="L38" s="563" t="s">
        <v>559</v>
      </c>
      <c r="N38" s="273" t="s">
        <v>419</v>
      </c>
      <c r="P38" s="7">
        <v>0</v>
      </c>
      <c r="R38" s="189">
        <v>2015</v>
      </c>
    </row>
    <row r="39" spans="1:20" x14ac:dyDescent="0.2">
      <c r="A39" s="189">
        <v>2016</v>
      </c>
      <c r="B39" s="9">
        <v>1.2</v>
      </c>
      <c r="C39" s="9">
        <v>14.7</v>
      </c>
      <c r="D39" s="9">
        <v>1.1479999999999999</v>
      </c>
      <c r="E39" s="9"/>
      <c r="F39" s="9">
        <v>4.7</v>
      </c>
      <c r="G39" s="127">
        <v>0.6</v>
      </c>
      <c r="H39" s="28">
        <v>4.8</v>
      </c>
      <c r="I39" s="9">
        <v>4.01</v>
      </c>
      <c r="J39" s="9">
        <v>7.96</v>
      </c>
      <c r="K39" s="362">
        <v>405</v>
      </c>
      <c r="L39" s="563" t="s">
        <v>559</v>
      </c>
      <c r="N39" s="273" t="s">
        <v>419</v>
      </c>
      <c r="P39" s="31">
        <v>76</v>
      </c>
      <c r="R39" s="189">
        <v>2016</v>
      </c>
    </row>
    <row r="40" spans="1:20" x14ac:dyDescent="0.2">
      <c r="A40" s="189">
        <v>2017</v>
      </c>
      <c r="B40" s="9">
        <v>15.8</v>
      </c>
      <c r="C40" s="9">
        <v>36.799999999999997</v>
      </c>
      <c r="D40" s="9"/>
      <c r="E40" s="9"/>
      <c r="F40" s="9">
        <v>19.2</v>
      </c>
      <c r="G40" s="127">
        <v>14.2</v>
      </c>
      <c r="H40" s="28">
        <v>24.8</v>
      </c>
      <c r="I40" s="9">
        <v>20.71</v>
      </c>
      <c r="J40" s="9">
        <v>29.43</v>
      </c>
      <c r="K40" s="362">
        <v>365</v>
      </c>
      <c r="L40" s="563" t="s">
        <v>559</v>
      </c>
      <c r="N40" s="273" t="s">
        <v>419</v>
      </c>
      <c r="P40" s="7">
        <v>70.3</v>
      </c>
      <c r="R40" s="189">
        <v>2017</v>
      </c>
    </row>
    <row r="41" spans="1:20" x14ac:dyDescent="0.2">
      <c r="A41" s="189">
        <v>2018</v>
      </c>
      <c r="B41" s="9">
        <v>1.3</v>
      </c>
      <c r="C41" s="9">
        <v>5.0999999999999996</v>
      </c>
      <c r="D41" s="9"/>
      <c r="E41" s="9"/>
      <c r="F41" s="9">
        <v>0.7</v>
      </c>
      <c r="G41" s="127">
        <v>3.8</v>
      </c>
      <c r="H41" s="28">
        <v>2.5</v>
      </c>
      <c r="I41" s="9">
        <v>1.36</v>
      </c>
      <c r="J41" s="9">
        <v>4.29</v>
      </c>
      <c r="K41" s="362">
        <v>322</v>
      </c>
      <c r="L41" s="563" t="s">
        <v>559</v>
      </c>
      <c r="N41" s="273" t="s">
        <v>419</v>
      </c>
      <c r="P41" s="7">
        <v>10.9</v>
      </c>
      <c r="R41" s="189">
        <v>2018</v>
      </c>
    </row>
    <row r="42" spans="1:20" x14ac:dyDescent="0.2">
      <c r="A42" s="189"/>
      <c r="B42" s="9"/>
      <c r="C42" s="9"/>
      <c r="D42" s="9"/>
      <c r="E42" s="9"/>
      <c r="F42" s="9"/>
      <c r="G42" s="127"/>
      <c r="H42" s="630"/>
      <c r="I42" s="9"/>
      <c r="J42" s="9"/>
      <c r="K42" s="362"/>
      <c r="L42" s="580"/>
      <c r="N42" s="273"/>
      <c r="P42" s="7"/>
      <c r="R42" s="189"/>
    </row>
    <row r="43" spans="1:20" x14ac:dyDescent="0.2">
      <c r="A43" s="189"/>
      <c r="F43" s="53"/>
      <c r="G43" s="127"/>
      <c r="I43" s="11"/>
      <c r="J43" s="11"/>
      <c r="K43" s="431" t="s">
        <v>552</v>
      </c>
      <c r="P43" s="7"/>
    </row>
    <row r="44" spans="1:20" x14ac:dyDescent="0.2">
      <c r="I44" s="11"/>
      <c r="J44" s="11"/>
    </row>
    <row r="45" spans="1:20" x14ac:dyDescent="0.2">
      <c r="I45" s="11"/>
      <c r="J45" s="11"/>
    </row>
    <row r="46" spans="1:20" x14ac:dyDescent="0.2">
      <c r="I46" s="11"/>
      <c r="J46" s="11"/>
    </row>
    <row r="47" spans="1:20" x14ac:dyDescent="0.2">
      <c r="I47" s="11"/>
      <c r="J47" s="11"/>
    </row>
    <row r="48" spans="1:20" x14ac:dyDescent="0.2">
      <c r="I48" s="11"/>
      <c r="J48" s="11"/>
    </row>
    <row r="49" spans="9:10" x14ac:dyDescent="0.2">
      <c r="I49" s="11"/>
      <c r="J49" s="11"/>
    </row>
    <row r="50" spans="9:10" x14ac:dyDescent="0.2">
      <c r="I50" s="11"/>
      <c r="J50" s="11"/>
    </row>
    <row r="51" spans="9:10" x14ac:dyDescent="0.2">
      <c r="I51" s="11"/>
      <c r="J51" s="11"/>
    </row>
    <row r="52" spans="9:10" x14ac:dyDescent="0.2">
      <c r="I52" s="11"/>
      <c r="J52" s="11"/>
    </row>
    <row r="53" spans="9:10" x14ac:dyDescent="0.2">
      <c r="I53" s="11"/>
      <c r="J53" s="11"/>
    </row>
    <row r="76" spans="4:6" x14ac:dyDescent="0.2">
      <c r="E76" t="s">
        <v>376</v>
      </c>
      <c r="F76" t="s">
        <v>375</v>
      </c>
    </row>
    <row r="77" spans="4:6" x14ac:dyDescent="0.2">
      <c r="D77" s="7">
        <v>1986</v>
      </c>
      <c r="E77">
        <v>0</v>
      </c>
      <c r="F77">
        <v>0</v>
      </c>
    </row>
    <row r="78" spans="4:6" x14ac:dyDescent="0.2">
      <c r="D78" s="7">
        <v>1987</v>
      </c>
      <c r="E78" s="130">
        <f>H10-I10</f>
        <v>2.3299999999999983</v>
      </c>
      <c r="F78" s="130">
        <f>J10-H10</f>
        <v>2.3200000000000003</v>
      </c>
    </row>
    <row r="79" spans="4:6" x14ac:dyDescent="0.2">
      <c r="D79" s="38">
        <v>1988</v>
      </c>
      <c r="E79" s="130">
        <f>H11-I11</f>
        <v>4.8069999999999951</v>
      </c>
      <c r="F79" s="130">
        <f>J11-H11</f>
        <v>4.7820000000000107</v>
      </c>
    </row>
    <row r="80" spans="4:6" x14ac:dyDescent="0.2">
      <c r="D80" s="38">
        <v>1989</v>
      </c>
      <c r="E80" s="130">
        <f>H12-I12</f>
        <v>0</v>
      </c>
      <c r="F80" s="130">
        <f>J12-H12</f>
        <v>0</v>
      </c>
    </row>
    <row r="81" spans="4:6" x14ac:dyDescent="0.2">
      <c r="D81" s="38">
        <v>1990</v>
      </c>
      <c r="E81" s="130">
        <f>H13-I13</f>
        <v>5.0940000000000012</v>
      </c>
      <c r="F81" s="130">
        <f>J13-H13</f>
        <v>5.2689999999999984</v>
      </c>
    </row>
    <row r="82" spans="4:6" x14ac:dyDescent="0.2">
      <c r="D82" s="38">
        <v>1991</v>
      </c>
      <c r="E82" s="130">
        <f t="shared" ref="E82:E96" si="2">H14-I14</f>
        <v>0.59000000000000008</v>
      </c>
      <c r="F82" s="130">
        <f t="shared" ref="F82:F96" si="3">J14-H14</f>
        <v>0.68699999999999983</v>
      </c>
    </row>
    <row r="83" spans="4:6" x14ac:dyDescent="0.2">
      <c r="D83" s="38">
        <v>1992</v>
      </c>
      <c r="E83" s="130">
        <f t="shared" si="2"/>
        <v>9.438999999999993</v>
      </c>
      <c r="F83" s="130">
        <f t="shared" si="3"/>
        <v>9.6980000000000075</v>
      </c>
    </row>
    <row r="84" spans="4:6" x14ac:dyDescent="0.2">
      <c r="D84" s="38">
        <v>1993</v>
      </c>
      <c r="E84" s="130">
        <f t="shared" si="2"/>
        <v>13.752999999999986</v>
      </c>
      <c r="F84" s="130">
        <f t="shared" si="3"/>
        <v>14.213999999999999</v>
      </c>
    </row>
    <row r="85" spans="4:6" x14ac:dyDescent="0.2">
      <c r="D85" s="38">
        <v>1994</v>
      </c>
      <c r="E85" s="130">
        <f t="shared" si="2"/>
        <v>0.51400000000000001</v>
      </c>
      <c r="F85" s="130">
        <f t="shared" si="3"/>
        <v>0.57999999999999985</v>
      </c>
    </row>
    <row r="86" spans="4:6" x14ac:dyDescent="0.2">
      <c r="D86" s="38">
        <v>1995</v>
      </c>
      <c r="E86" s="130">
        <f t="shared" si="2"/>
        <v>10.513000000000005</v>
      </c>
      <c r="F86" s="130">
        <f t="shared" si="3"/>
        <v>11.49799999999999</v>
      </c>
    </row>
    <row r="87" spans="4:6" x14ac:dyDescent="0.2">
      <c r="D87" s="38">
        <v>1996</v>
      </c>
      <c r="E87" s="130">
        <f t="shared" si="2"/>
        <v>9.8629999999999995</v>
      </c>
      <c r="F87" s="130">
        <f t="shared" si="3"/>
        <v>11.119000000000007</v>
      </c>
    </row>
    <row r="88" spans="4:6" x14ac:dyDescent="0.2">
      <c r="D88" s="38">
        <v>1997</v>
      </c>
      <c r="E88" s="130">
        <f t="shared" si="2"/>
        <v>7.4600000000000009</v>
      </c>
      <c r="F88" s="130">
        <f t="shared" si="3"/>
        <v>7.7839999999999989</v>
      </c>
    </row>
    <row r="89" spans="4:6" x14ac:dyDescent="0.2">
      <c r="D89" s="38">
        <v>1998</v>
      </c>
      <c r="E89" s="130">
        <f t="shared" si="2"/>
        <v>44.069999999999993</v>
      </c>
      <c r="F89" s="130">
        <f t="shared" si="3"/>
        <v>47.69</v>
      </c>
    </row>
    <row r="90" spans="4:6" x14ac:dyDescent="0.2">
      <c r="D90" s="38">
        <v>1999</v>
      </c>
      <c r="E90" s="130">
        <f t="shared" si="2"/>
        <v>6.3200000000000038</v>
      </c>
      <c r="F90" s="130">
        <f t="shared" si="3"/>
        <v>7.1499999999999986</v>
      </c>
    </row>
    <row r="91" spans="4:6" x14ac:dyDescent="0.2">
      <c r="D91" s="38">
        <v>2000</v>
      </c>
      <c r="E91" s="130">
        <f t="shared" si="2"/>
        <v>1.6199999999999992</v>
      </c>
      <c r="F91" s="130">
        <f t="shared" si="3"/>
        <v>1.8600000000000012</v>
      </c>
    </row>
    <row r="92" spans="4:6" x14ac:dyDescent="0.2">
      <c r="D92" s="38">
        <v>2001</v>
      </c>
      <c r="E92" s="130">
        <f t="shared" si="2"/>
        <v>1.9000000000000004</v>
      </c>
      <c r="F92" s="130">
        <f t="shared" si="3"/>
        <v>1.92</v>
      </c>
    </row>
    <row r="93" spans="4:6" x14ac:dyDescent="0.2">
      <c r="D93" s="38">
        <v>2002</v>
      </c>
      <c r="E93" s="130">
        <f t="shared" si="2"/>
        <v>6.1400000000000006</v>
      </c>
      <c r="F93" s="130">
        <f t="shared" si="3"/>
        <v>6.1899999999999977</v>
      </c>
    </row>
    <row r="94" spans="4:6" x14ac:dyDescent="0.2">
      <c r="D94" s="38">
        <v>2003</v>
      </c>
      <c r="E94" s="130">
        <f t="shared" si="2"/>
        <v>2.5700000000000003</v>
      </c>
      <c r="F94" s="130">
        <f t="shared" si="3"/>
        <v>2.8599999999999994</v>
      </c>
    </row>
    <row r="95" spans="4:6" x14ac:dyDescent="0.2">
      <c r="D95" s="23">
        <v>2004</v>
      </c>
      <c r="E95" s="367">
        <f t="shared" si="2"/>
        <v>2.4000000000000021</v>
      </c>
      <c r="F95" s="130">
        <f t="shared" si="3"/>
        <v>2.4799999999999969</v>
      </c>
    </row>
    <row r="96" spans="4:6" x14ac:dyDescent="0.2">
      <c r="D96" s="23">
        <v>2005</v>
      </c>
      <c r="E96" s="367">
        <f t="shared" si="2"/>
        <v>18.170000000000016</v>
      </c>
      <c r="F96" s="130">
        <f t="shared" si="3"/>
        <v>18.939999999999998</v>
      </c>
    </row>
    <row r="97" spans="4:6" x14ac:dyDescent="0.2">
      <c r="D97" s="23">
        <v>2006</v>
      </c>
      <c r="E97" s="367">
        <f t="shared" ref="E97:E102" si="4">H29-I29</f>
        <v>1.1599999999999997</v>
      </c>
      <c r="F97" s="130">
        <f t="shared" ref="F97:F102" si="5">J29-H29</f>
        <v>1.5299999999999998</v>
      </c>
    </row>
    <row r="98" spans="4:6" x14ac:dyDescent="0.2">
      <c r="D98" s="23">
        <v>2007</v>
      </c>
      <c r="E98" s="367">
        <f t="shared" si="4"/>
        <v>5.8700000000000045</v>
      </c>
      <c r="F98" s="130">
        <f t="shared" si="5"/>
        <v>5.9199999999999946</v>
      </c>
    </row>
    <row r="99" spans="4:6" x14ac:dyDescent="0.2">
      <c r="D99" s="23">
        <v>2008</v>
      </c>
      <c r="E99" s="367">
        <f t="shared" si="4"/>
        <v>3.6599999999999993</v>
      </c>
      <c r="F99" s="130">
        <f t="shared" si="5"/>
        <v>4.6500000000000004</v>
      </c>
    </row>
    <row r="100" spans="4:6" x14ac:dyDescent="0.2">
      <c r="D100" s="23">
        <v>2009</v>
      </c>
      <c r="E100" s="367">
        <f t="shared" si="4"/>
        <v>4.5800000000000018</v>
      </c>
      <c r="F100" s="130">
        <f t="shared" si="5"/>
        <v>4.8599999999999959</v>
      </c>
    </row>
    <row r="101" spans="4:6" x14ac:dyDescent="0.2">
      <c r="D101" s="23">
        <v>2010</v>
      </c>
      <c r="E101" s="367">
        <f t="shared" si="4"/>
        <v>41.839999999999975</v>
      </c>
      <c r="F101" s="130">
        <f t="shared" si="5"/>
        <v>41.850000000000023</v>
      </c>
    </row>
    <row r="102" spans="4:6" x14ac:dyDescent="0.2">
      <c r="D102" s="23">
        <v>2011</v>
      </c>
      <c r="E102" s="367">
        <f t="shared" si="4"/>
        <v>0.18</v>
      </c>
      <c r="F102" s="130">
        <f t="shared" si="5"/>
        <v>0.2</v>
      </c>
    </row>
    <row r="103" spans="4:6" x14ac:dyDescent="0.2">
      <c r="D103" s="23">
        <v>2012</v>
      </c>
      <c r="E103" s="367">
        <f t="shared" ref="E103" si="6">H35-I35</f>
        <v>3.9399999999999977</v>
      </c>
      <c r="F103" s="130">
        <f t="shared" ref="F103" si="7">J35-H35</f>
        <v>4.1900000000000013</v>
      </c>
    </row>
    <row r="104" spans="4:6" x14ac:dyDescent="0.2">
      <c r="D104" s="262">
        <v>2013</v>
      </c>
      <c r="E104" s="367">
        <f t="shared" ref="E104:E107" si="8">H36-I36</f>
        <v>6.3800000000000026</v>
      </c>
      <c r="F104" s="130">
        <f t="shared" ref="F104:F107" si="9">J36-H36</f>
        <v>6.5499999999999972</v>
      </c>
    </row>
    <row r="105" spans="4:6" x14ac:dyDescent="0.2">
      <c r="D105" s="23">
        <v>2014</v>
      </c>
      <c r="E105" s="367">
        <f t="shared" si="8"/>
        <v>30.700000000000045</v>
      </c>
      <c r="F105" s="130">
        <f t="shared" si="9"/>
        <v>32.42999999999995</v>
      </c>
    </row>
    <row r="106" spans="4:6" x14ac:dyDescent="0.2">
      <c r="D106" s="262">
        <v>2015</v>
      </c>
      <c r="E106" s="367">
        <f t="shared" si="8"/>
        <v>-9.999999999999995E-3</v>
      </c>
      <c r="F106" s="130">
        <f t="shared" si="9"/>
        <v>0.59</v>
      </c>
    </row>
    <row r="107" spans="4:6" x14ac:dyDescent="0.2">
      <c r="D107" s="262">
        <v>2016</v>
      </c>
      <c r="E107" s="367">
        <f t="shared" si="8"/>
        <v>0.79</v>
      </c>
      <c r="F107" s="130">
        <f t="shared" si="9"/>
        <v>3.16</v>
      </c>
    </row>
    <row r="108" spans="4:6" x14ac:dyDescent="0.2">
      <c r="D108" s="262">
        <v>2017</v>
      </c>
      <c r="E108" s="367">
        <f t="shared" ref="E108" si="10">H40-I40</f>
        <v>4.09</v>
      </c>
      <c r="F108" s="130">
        <f t="shared" ref="F108" si="11">J40-H40</f>
        <v>4.629999999999999</v>
      </c>
    </row>
    <row r="109" spans="4:6" x14ac:dyDescent="0.2">
      <c r="D109" s="262">
        <v>2018</v>
      </c>
    </row>
  </sheetData>
  <phoneticPr fontId="0" type="noConversion"/>
  <printOptions gridLines="1"/>
  <pageMargins left="0.25" right="0.23" top="1.1200000000000001" bottom="1" header="0.5" footer="0.5"/>
  <pageSetup orientation="landscape" horizontalDpi="300" verticalDpi="300" r:id="rId1"/>
  <headerFooter alignWithMargins="0">
    <oddHeader>&amp;L&amp;"Arial,Bold"&amp;11Kluane Monitoring Program&amp;C&amp;A&amp;R&amp;F</oddHeader>
    <oddFooter>&amp;CPage &amp;P&amp;R&amp;D   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3"/>
  <sheetViews>
    <sheetView workbookViewId="0">
      <pane ySplit="8" topLeftCell="A27" activePane="bottomLeft" state="frozenSplit"/>
      <selection pane="bottomLeft" activeCell="H41" sqref="H41"/>
    </sheetView>
  </sheetViews>
  <sheetFormatPr defaultRowHeight="12.75" x14ac:dyDescent="0.2"/>
  <cols>
    <col min="2" max="2" width="12.140625" customWidth="1"/>
    <col min="3" max="3" width="10.7109375" customWidth="1"/>
    <col min="4" max="4" width="12" customWidth="1"/>
    <col min="5" max="5" width="9.5703125" customWidth="1"/>
    <col min="6" max="6" width="28.7109375" customWidth="1"/>
    <col min="7" max="7" width="12.5703125" customWidth="1"/>
    <col min="10" max="10" width="13" customWidth="1"/>
    <col min="11" max="11" width="9.140625" style="7"/>
  </cols>
  <sheetData>
    <row r="1" spans="1:13" ht="16.5" thickBot="1" x14ac:dyDescent="0.3">
      <c r="A1" s="322" t="s">
        <v>553</v>
      </c>
      <c r="B1" s="97"/>
      <c r="C1" s="96"/>
      <c r="D1" s="97"/>
      <c r="E1" s="96"/>
      <c r="F1" s="96"/>
      <c r="G1" s="97"/>
    </row>
    <row r="2" spans="1:13" x14ac:dyDescent="0.2">
      <c r="A2" s="37" t="s">
        <v>140</v>
      </c>
    </row>
    <row r="3" spans="1:13" ht="13.5" thickBot="1" x14ac:dyDescent="0.25"/>
    <row r="4" spans="1:13" ht="15.75" thickBot="1" x14ac:dyDescent="0.3">
      <c r="A4" s="421" t="s">
        <v>554</v>
      </c>
      <c r="B4" s="77"/>
      <c r="C4" s="76"/>
      <c r="D4" s="76"/>
      <c r="E4" s="76"/>
      <c r="F4" s="77"/>
      <c r="H4" s="435" t="s">
        <v>556</v>
      </c>
    </row>
    <row r="5" spans="1:13" x14ac:dyDescent="0.2">
      <c r="A5" s="37" t="s">
        <v>217</v>
      </c>
    </row>
    <row r="6" spans="1:13" x14ac:dyDescent="0.2">
      <c r="A6" s="112" t="s">
        <v>253</v>
      </c>
      <c r="G6" t="s">
        <v>558</v>
      </c>
    </row>
    <row r="7" spans="1:13" ht="13.5" thickBot="1" x14ac:dyDescent="0.25">
      <c r="A7" s="36"/>
      <c r="L7" s="477" t="s">
        <v>578</v>
      </c>
    </row>
    <row r="8" spans="1:13" ht="13.5" thickBot="1" x14ac:dyDescent="0.25">
      <c r="A8" s="4" t="s">
        <v>16</v>
      </c>
      <c r="B8" s="436" t="s">
        <v>79</v>
      </c>
      <c r="C8" s="68" t="s">
        <v>141</v>
      </c>
      <c r="D8" s="69"/>
      <c r="E8" s="70" t="s">
        <v>5</v>
      </c>
      <c r="L8" s="474" t="s">
        <v>579</v>
      </c>
      <c r="M8" s="474" t="s">
        <v>580</v>
      </c>
    </row>
    <row r="9" spans="1:13" x14ac:dyDescent="0.2">
      <c r="A9" s="189">
        <v>1986</v>
      </c>
      <c r="B9" s="437">
        <v>577.35333862760456</v>
      </c>
      <c r="C9" s="444">
        <v>481.81076244505778</v>
      </c>
      <c r="D9" s="444">
        <v>680.81555007662337</v>
      </c>
      <c r="E9" s="441">
        <v>172</v>
      </c>
      <c r="F9" s="40" t="s">
        <v>555</v>
      </c>
      <c r="G9" s="433"/>
      <c r="H9" s="22"/>
      <c r="L9" s="478">
        <f>B9-C9</f>
        <v>95.542576182546782</v>
      </c>
      <c r="M9" s="478">
        <f>D9-B9</f>
        <v>103.46221144901881</v>
      </c>
    </row>
    <row r="10" spans="1:13" x14ac:dyDescent="0.2">
      <c r="A10" s="189">
        <f t="shared" ref="A10:A25" si="0">A9+1</f>
        <v>1987</v>
      </c>
      <c r="B10" s="438">
        <v>120.8779962327604</v>
      </c>
      <c r="C10" s="53">
        <v>113.41486845999574</v>
      </c>
      <c r="D10" s="53">
        <v>128.38266255989456</v>
      </c>
      <c r="E10" s="73">
        <v>916</v>
      </c>
      <c r="F10" s="40" t="s">
        <v>555</v>
      </c>
      <c r="G10" s="22"/>
      <c r="H10" s="252"/>
      <c r="L10" s="478">
        <f t="shared" ref="L10:L41" si="1">B10-C10</f>
        <v>7.4631277727646506</v>
      </c>
      <c r="M10" s="478">
        <f t="shared" ref="M10:M41" si="2">D10-B10</f>
        <v>7.50466632713416</v>
      </c>
    </row>
    <row r="11" spans="1:13" x14ac:dyDescent="0.2">
      <c r="A11" s="189">
        <f t="shared" si="0"/>
        <v>1988</v>
      </c>
      <c r="B11" s="438">
        <v>191.91754962608184</v>
      </c>
      <c r="C11" s="53">
        <v>175.37977293543861</v>
      </c>
      <c r="D11" s="53">
        <v>208.59755215633416</v>
      </c>
      <c r="E11" s="73">
        <v>700</v>
      </c>
      <c r="G11" s="22"/>
      <c r="H11" s="252"/>
      <c r="L11" s="478">
        <f t="shared" si="1"/>
        <v>16.537776690643227</v>
      </c>
      <c r="M11" s="478">
        <f t="shared" si="2"/>
        <v>16.680002530252324</v>
      </c>
    </row>
    <row r="12" spans="1:13" x14ac:dyDescent="0.2">
      <c r="A12" s="189">
        <f t="shared" si="0"/>
        <v>1989</v>
      </c>
      <c r="B12" s="438">
        <v>5.5251560719095484E-3</v>
      </c>
      <c r="C12" s="53">
        <v>5.5251560719095484E-3</v>
      </c>
      <c r="D12" s="53">
        <v>5.5251560719095484E-3</v>
      </c>
      <c r="E12" s="73">
        <v>697</v>
      </c>
      <c r="G12" s="22"/>
      <c r="H12" s="434"/>
      <c r="L12" s="478">
        <f t="shared" si="1"/>
        <v>0</v>
      </c>
      <c r="M12" s="478">
        <f t="shared" si="2"/>
        <v>0</v>
      </c>
    </row>
    <row r="13" spans="1:13" x14ac:dyDescent="0.2">
      <c r="A13" s="189">
        <f t="shared" si="0"/>
        <v>1990</v>
      </c>
      <c r="B13" s="438">
        <v>114.31089548981411</v>
      </c>
      <c r="C13" s="53">
        <v>98.247502689907833</v>
      </c>
      <c r="D13" s="53">
        <v>131.31307512815081</v>
      </c>
      <c r="E13" s="73">
        <v>834</v>
      </c>
      <c r="L13" s="478">
        <f t="shared" si="1"/>
        <v>16.063392799906282</v>
      </c>
      <c r="M13" s="478">
        <f t="shared" si="2"/>
        <v>17.002179638336699</v>
      </c>
    </row>
    <row r="14" spans="1:13" x14ac:dyDescent="0.2">
      <c r="A14" s="189">
        <f t="shared" si="0"/>
        <v>1991</v>
      </c>
      <c r="B14" s="438">
        <v>3.201946340478504</v>
      </c>
      <c r="C14" s="53">
        <v>2.1664791031216009</v>
      </c>
      <c r="D14" s="53">
        <v>4.4787040411492773</v>
      </c>
      <c r="E14" s="73">
        <v>553</v>
      </c>
      <c r="J14" s="7"/>
      <c r="L14" s="478">
        <f t="shared" si="1"/>
        <v>1.0354672373569032</v>
      </c>
      <c r="M14" s="478">
        <f t="shared" si="2"/>
        <v>1.2767577006707733</v>
      </c>
    </row>
    <row r="15" spans="1:13" x14ac:dyDescent="0.2">
      <c r="A15" s="189">
        <f t="shared" si="0"/>
        <v>1992</v>
      </c>
      <c r="B15" s="438">
        <v>283.82888383153977</v>
      </c>
      <c r="C15" s="53">
        <v>249.37462287088906</v>
      </c>
      <c r="D15" s="53">
        <v>319.93581913892069</v>
      </c>
      <c r="E15" s="73">
        <v>539</v>
      </c>
      <c r="J15" s="7"/>
      <c r="L15" s="478">
        <f t="shared" si="1"/>
        <v>34.454260960650714</v>
      </c>
      <c r="M15" s="478">
        <f t="shared" si="2"/>
        <v>36.106935307380922</v>
      </c>
    </row>
    <row r="16" spans="1:13" x14ac:dyDescent="0.2">
      <c r="A16" s="189">
        <f t="shared" si="0"/>
        <v>1993</v>
      </c>
      <c r="B16" s="438">
        <v>614.85110311373614</v>
      </c>
      <c r="C16" s="53">
        <v>557.94242333499608</v>
      </c>
      <c r="D16" s="53">
        <v>674.56114825271402</v>
      </c>
      <c r="E16" s="73">
        <v>553</v>
      </c>
      <c r="J16" s="7"/>
      <c r="L16" s="478">
        <f t="shared" si="1"/>
        <v>56.908679778740066</v>
      </c>
      <c r="M16" s="478">
        <f t="shared" si="2"/>
        <v>59.710045138977875</v>
      </c>
    </row>
    <row r="17" spans="1:13" x14ac:dyDescent="0.2">
      <c r="A17" s="189">
        <f t="shared" si="0"/>
        <v>1994</v>
      </c>
      <c r="B17" s="438">
        <v>2.7166531889508874</v>
      </c>
      <c r="C17" s="53">
        <v>1.8378501187312832</v>
      </c>
      <c r="D17" s="53">
        <v>3.7659219563020199</v>
      </c>
      <c r="E17" s="73">
        <v>560</v>
      </c>
      <c r="J17" s="7"/>
      <c r="L17" s="478">
        <f t="shared" si="1"/>
        <v>0.87880307021960413</v>
      </c>
      <c r="M17" s="478">
        <f t="shared" si="2"/>
        <v>1.0492687673511325</v>
      </c>
    </row>
    <row r="18" spans="1:13" x14ac:dyDescent="0.2">
      <c r="A18" s="189">
        <f t="shared" si="0"/>
        <v>1995</v>
      </c>
      <c r="B18" s="438">
        <v>359.0106102035499</v>
      </c>
      <c r="C18" s="53">
        <v>319.13926091273999</v>
      </c>
      <c r="D18" s="53">
        <v>403.43786690644532</v>
      </c>
      <c r="E18" s="73">
        <v>559</v>
      </c>
      <c r="J18" s="7"/>
      <c r="L18" s="478">
        <f t="shared" si="1"/>
        <v>39.871349290809917</v>
      </c>
      <c r="M18" s="478">
        <f t="shared" si="2"/>
        <v>44.42725670289542</v>
      </c>
    </row>
    <row r="19" spans="1:13" x14ac:dyDescent="0.2">
      <c r="A19" s="189">
        <f t="shared" si="0"/>
        <v>1996</v>
      </c>
      <c r="B19" s="438">
        <v>168.38695357181103</v>
      </c>
      <c r="C19" s="53">
        <v>135.47248821955012</v>
      </c>
      <c r="D19" s="53">
        <v>206.75909412948667</v>
      </c>
      <c r="E19" s="73">
        <v>377</v>
      </c>
      <c r="F19" s="37"/>
      <c r="J19" s="7"/>
      <c r="L19" s="478">
        <f t="shared" si="1"/>
        <v>32.914465352260919</v>
      </c>
      <c r="M19" s="478">
        <f t="shared" si="2"/>
        <v>38.372140557675635</v>
      </c>
    </row>
    <row r="20" spans="1:13" x14ac:dyDescent="0.2">
      <c r="A20" s="189">
        <f t="shared" si="0"/>
        <v>1997</v>
      </c>
      <c r="B20" s="438">
        <v>140.68062120815429</v>
      </c>
      <c r="C20" s="53">
        <v>116.43583067732483</v>
      </c>
      <c r="D20" s="53">
        <v>166.7085445581979</v>
      </c>
      <c r="E20" s="73">
        <v>333</v>
      </c>
      <c r="F20" s="37"/>
      <c r="J20" s="7"/>
      <c r="L20" s="478">
        <f t="shared" si="1"/>
        <v>24.244790530829462</v>
      </c>
      <c r="M20" s="478">
        <f t="shared" si="2"/>
        <v>26.027923350043608</v>
      </c>
    </row>
    <row r="21" spans="1:13" x14ac:dyDescent="0.2">
      <c r="A21" s="189">
        <f t="shared" si="0"/>
        <v>1998</v>
      </c>
      <c r="B21" s="438">
        <v>2055.9</v>
      </c>
      <c r="C21" s="53">
        <v>1825.05</v>
      </c>
      <c r="D21" s="53">
        <v>2300.7800000000002</v>
      </c>
      <c r="E21" s="73">
        <v>257</v>
      </c>
      <c r="F21" s="37"/>
      <c r="J21" s="7"/>
      <c r="L21" s="478">
        <f t="shared" si="1"/>
        <v>230.85000000000014</v>
      </c>
      <c r="M21" s="478">
        <f t="shared" si="2"/>
        <v>244.88000000000011</v>
      </c>
    </row>
    <row r="22" spans="1:13" x14ac:dyDescent="0.2">
      <c r="A22" s="189">
        <f t="shared" si="0"/>
        <v>1999</v>
      </c>
      <c r="B22" s="438">
        <v>108.9</v>
      </c>
      <c r="C22" s="53">
        <v>84.89</v>
      </c>
      <c r="D22" s="53">
        <v>136.5</v>
      </c>
      <c r="E22" s="73">
        <v>336</v>
      </c>
      <c r="F22" s="37"/>
      <c r="J22" s="7"/>
      <c r="L22" s="478">
        <f t="shared" si="1"/>
        <v>24.010000000000005</v>
      </c>
      <c r="M22" s="478">
        <f t="shared" si="2"/>
        <v>27.599999999999994</v>
      </c>
    </row>
    <row r="23" spans="1:13" x14ac:dyDescent="0.2">
      <c r="A23" s="189">
        <f t="shared" si="0"/>
        <v>2000</v>
      </c>
      <c r="B23" s="438">
        <v>29.5</v>
      </c>
      <c r="C23" s="53">
        <v>23.98</v>
      </c>
      <c r="D23" s="53">
        <v>35.68</v>
      </c>
      <c r="E23" s="73">
        <v>818</v>
      </c>
      <c r="F23" s="37"/>
      <c r="J23" s="7"/>
      <c r="L23" s="478">
        <f t="shared" si="1"/>
        <v>5.52</v>
      </c>
      <c r="M23" s="478">
        <f t="shared" si="2"/>
        <v>6.18</v>
      </c>
    </row>
    <row r="24" spans="1:13" x14ac:dyDescent="0.2">
      <c r="A24" s="189">
        <f t="shared" si="0"/>
        <v>2001</v>
      </c>
      <c r="B24" s="439">
        <v>35.200000000000003</v>
      </c>
      <c r="C24" s="53">
        <v>28.9</v>
      </c>
      <c r="D24" s="53">
        <v>42.06</v>
      </c>
      <c r="E24" s="73">
        <v>1097</v>
      </c>
      <c r="F24" s="37"/>
      <c r="J24" s="7"/>
      <c r="L24" s="478">
        <f t="shared" si="1"/>
        <v>6.3000000000000043</v>
      </c>
      <c r="M24" s="478">
        <f t="shared" si="2"/>
        <v>6.8599999999999994</v>
      </c>
    </row>
    <row r="25" spans="1:13" x14ac:dyDescent="0.2">
      <c r="A25" s="189">
        <f t="shared" si="0"/>
        <v>2002</v>
      </c>
      <c r="B25" s="438">
        <v>266.2</v>
      </c>
      <c r="C25" s="53">
        <v>241.96</v>
      </c>
      <c r="D25" s="53">
        <v>291.33999999999997</v>
      </c>
      <c r="E25" s="73">
        <v>1139</v>
      </c>
      <c r="F25" s="37"/>
      <c r="J25" s="7"/>
      <c r="L25" s="478">
        <f t="shared" si="1"/>
        <v>24.239999999999981</v>
      </c>
      <c r="M25" s="478">
        <f t="shared" si="2"/>
        <v>25.139999999999986</v>
      </c>
    </row>
    <row r="26" spans="1:13" x14ac:dyDescent="0.2">
      <c r="A26" s="189">
        <v>2003</v>
      </c>
      <c r="B26" s="438">
        <v>55.5</v>
      </c>
      <c r="C26" s="53">
        <v>45.87</v>
      </c>
      <c r="D26" s="53">
        <v>66.5</v>
      </c>
      <c r="E26" s="443">
        <v>1149</v>
      </c>
      <c r="F26" s="37"/>
      <c r="J26" s="7"/>
      <c r="L26" s="478">
        <f t="shared" si="1"/>
        <v>9.6300000000000026</v>
      </c>
      <c r="M26" s="478">
        <f t="shared" si="2"/>
        <v>11</v>
      </c>
    </row>
    <row r="27" spans="1:13" x14ac:dyDescent="0.2">
      <c r="A27" s="189">
        <v>2004</v>
      </c>
      <c r="B27" s="438">
        <v>55.4</v>
      </c>
      <c r="C27" s="53">
        <v>46.77</v>
      </c>
      <c r="D27" s="53">
        <v>64.87</v>
      </c>
      <c r="E27" s="443">
        <v>1073</v>
      </c>
      <c r="F27" s="37"/>
      <c r="J27" s="7"/>
      <c r="L27" s="478">
        <f t="shared" si="1"/>
        <v>8.6299999999999955</v>
      </c>
      <c r="M27" s="478">
        <f t="shared" si="2"/>
        <v>9.470000000000006</v>
      </c>
    </row>
    <row r="28" spans="1:13" x14ac:dyDescent="0.2">
      <c r="A28" s="189">
        <v>2005</v>
      </c>
      <c r="B28" s="438">
        <v>706.6</v>
      </c>
      <c r="C28" s="53">
        <v>621.55999999999995</v>
      </c>
      <c r="D28" s="53">
        <v>795.92</v>
      </c>
      <c r="E28" s="443">
        <v>1089</v>
      </c>
      <c r="F28" s="37"/>
      <c r="J28" s="7"/>
      <c r="L28" s="478">
        <f t="shared" si="1"/>
        <v>85.040000000000077</v>
      </c>
      <c r="M28" s="478">
        <f t="shared" si="2"/>
        <v>89.319999999999936</v>
      </c>
    </row>
    <row r="29" spans="1:13" x14ac:dyDescent="0.2">
      <c r="A29" s="189">
        <v>2006</v>
      </c>
      <c r="B29" s="438">
        <v>10.6</v>
      </c>
      <c r="C29" s="53">
        <v>6.21</v>
      </c>
      <c r="D29" s="53">
        <v>15.67</v>
      </c>
      <c r="E29" s="443">
        <v>1087</v>
      </c>
      <c r="F29" s="37"/>
      <c r="H29" s="273"/>
      <c r="J29" s="7"/>
      <c r="L29" s="478">
        <f t="shared" si="1"/>
        <v>4.3899999999999997</v>
      </c>
      <c r="M29" s="478">
        <f t="shared" si="2"/>
        <v>5.07</v>
      </c>
    </row>
    <row r="30" spans="1:13" x14ac:dyDescent="0.2">
      <c r="A30" s="189">
        <v>2007</v>
      </c>
      <c r="B30" s="438">
        <v>170.1</v>
      </c>
      <c r="C30" s="53">
        <v>146.61000000000001</v>
      </c>
      <c r="D30" s="53">
        <v>194.43</v>
      </c>
      <c r="E30" s="443">
        <v>955</v>
      </c>
      <c r="F30" s="40" t="s">
        <v>555</v>
      </c>
      <c r="H30" s="273"/>
      <c r="J30" s="7"/>
      <c r="L30" s="478">
        <f t="shared" si="1"/>
        <v>23.489999999999981</v>
      </c>
      <c r="M30" s="478">
        <f t="shared" si="2"/>
        <v>24.330000000000013</v>
      </c>
    </row>
    <row r="31" spans="1:13" x14ac:dyDescent="0.2">
      <c r="A31" s="189">
        <v>2008</v>
      </c>
      <c r="B31" s="438">
        <v>35.700000000000003</v>
      </c>
      <c r="C31" s="53">
        <v>21.21</v>
      </c>
      <c r="D31" s="53">
        <v>54.18</v>
      </c>
      <c r="E31" s="443">
        <v>460</v>
      </c>
      <c r="F31" s="40" t="s">
        <v>555</v>
      </c>
      <c r="H31" s="273"/>
      <c r="J31" s="7"/>
      <c r="L31" s="478">
        <f t="shared" si="1"/>
        <v>14.490000000000002</v>
      </c>
      <c r="M31" s="478">
        <f t="shared" si="2"/>
        <v>18.479999999999997</v>
      </c>
    </row>
    <row r="32" spans="1:13" x14ac:dyDescent="0.2">
      <c r="A32" s="189">
        <v>2009</v>
      </c>
      <c r="B32" s="438">
        <v>87.8</v>
      </c>
      <c r="C32" s="53">
        <v>71.28</v>
      </c>
      <c r="D32" s="53">
        <v>105.49</v>
      </c>
      <c r="E32" s="443">
        <v>564</v>
      </c>
      <c r="F32" s="40" t="s">
        <v>555</v>
      </c>
      <c r="H32" s="273" t="s">
        <v>292</v>
      </c>
      <c r="J32" s="9">
        <f>AVERAGE(B9:B40)</f>
        <v>333.72943989345481</v>
      </c>
      <c r="L32" s="478">
        <f t="shared" si="1"/>
        <v>16.519999999999996</v>
      </c>
      <c r="M32" s="478">
        <f t="shared" si="2"/>
        <v>17.689999999999998</v>
      </c>
    </row>
    <row r="33" spans="1:13" x14ac:dyDescent="0.2">
      <c r="A33" s="189">
        <v>2010</v>
      </c>
      <c r="B33" s="438">
        <v>2639.6</v>
      </c>
      <c r="C33" s="53">
        <v>2402.4499999999998</v>
      </c>
      <c r="D33" s="53">
        <v>2885.24</v>
      </c>
      <c r="E33" s="443">
        <v>649</v>
      </c>
      <c r="F33" s="40" t="s">
        <v>555</v>
      </c>
      <c r="H33" s="273" t="s">
        <v>561</v>
      </c>
      <c r="J33" s="2">
        <f>STDEV(B9:B40)</f>
        <v>611.54556006724556</v>
      </c>
      <c r="L33" s="478">
        <f t="shared" si="1"/>
        <v>237.15000000000009</v>
      </c>
      <c r="M33" s="478">
        <f t="shared" si="2"/>
        <v>245.63999999999987</v>
      </c>
    </row>
    <row r="34" spans="1:13" x14ac:dyDescent="0.2">
      <c r="A34" s="189">
        <v>2011</v>
      </c>
      <c r="B34" s="136">
        <v>0.6</v>
      </c>
      <c r="C34" s="53">
        <v>0.22</v>
      </c>
      <c r="D34" s="53">
        <v>1.1200000000000001</v>
      </c>
      <c r="E34" s="362">
        <v>553</v>
      </c>
      <c r="F34" s="542" t="s">
        <v>555</v>
      </c>
      <c r="G34" s="8"/>
      <c r="H34" s="273" t="s">
        <v>562</v>
      </c>
      <c r="J34" s="206">
        <f>J33/J32</f>
        <v>1.8324591329505879</v>
      </c>
      <c r="L34" s="478">
        <f t="shared" si="1"/>
        <v>0.38</v>
      </c>
      <c r="M34" s="478">
        <f t="shared" si="2"/>
        <v>0.52000000000000013</v>
      </c>
    </row>
    <row r="35" spans="1:13" x14ac:dyDescent="0.2">
      <c r="A35" s="189">
        <v>2012</v>
      </c>
      <c r="B35" s="136">
        <v>67.2</v>
      </c>
      <c r="C35" s="53">
        <v>52.7</v>
      </c>
      <c r="D35" s="53">
        <v>83.78</v>
      </c>
      <c r="E35" s="362">
        <v>520</v>
      </c>
      <c r="F35" s="543" t="s">
        <v>555</v>
      </c>
      <c r="G35" s="8"/>
      <c r="H35" s="273"/>
      <c r="J35" s="445"/>
      <c r="L35" s="425">
        <f>B35-C35</f>
        <v>14.5</v>
      </c>
      <c r="M35" s="425">
        <f t="shared" si="2"/>
        <v>16.579999999999998</v>
      </c>
    </row>
    <row r="36" spans="1:13" x14ac:dyDescent="0.2">
      <c r="A36" s="189">
        <v>2013</v>
      </c>
      <c r="B36" s="136">
        <v>173.9</v>
      </c>
      <c r="C36" s="53">
        <v>149.47999999999999</v>
      </c>
      <c r="D36" s="53">
        <v>199.57</v>
      </c>
      <c r="E36" s="362">
        <v>496</v>
      </c>
      <c r="F36" s="543" t="s">
        <v>555</v>
      </c>
      <c r="G36" s="8"/>
      <c r="H36" s="273"/>
      <c r="J36" s="445"/>
      <c r="L36" s="425">
        <f t="shared" si="1"/>
        <v>24.420000000000016</v>
      </c>
      <c r="M36" s="425">
        <f t="shared" si="2"/>
        <v>25.669999999999987</v>
      </c>
    </row>
    <row r="37" spans="1:13" x14ac:dyDescent="0.2">
      <c r="A37" s="189">
        <v>2014</v>
      </c>
      <c r="B37" s="136">
        <v>1503</v>
      </c>
      <c r="C37" s="53">
        <v>1347.8</v>
      </c>
      <c r="D37" s="53">
        <v>1674</v>
      </c>
      <c r="E37" s="362">
        <v>489</v>
      </c>
      <c r="F37" s="543" t="s">
        <v>555</v>
      </c>
      <c r="G37" s="8"/>
      <c r="H37" s="273"/>
      <c r="J37" s="445"/>
      <c r="L37" s="425">
        <f t="shared" si="1"/>
        <v>155.20000000000005</v>
      </c>
      <c r="M37" s="425">
        <f t="shared" si="2"/>
        <v>171</v>
      </c>
    </row>
    <row r="38" spans="1:13" x14ac:dyDescent="0.2">
      <c r="A38" s="189">
        <v>2015</v>
      </c>
      <c r="B38" s="136">
        <v>0.2</v>
      </c>
      <c r="C38" s="53">
        <v>0.04</v>
      </c>
      <c r="D38" s="53">
        <v>0.61</v>
      </c>
      <c r="E38" s="362">
        <v>495</v>
      </c>
      <c r="F38" s="543" t="s">
        <v>555</v>
      </c>
      <c r="G38" s="8"/>
      <c r="H38" s="273"/>
      <c r="J38" s="445"/>
      <c r="L38" s="425">
        <f t="shared" si="1"/>
        <v>0.16</v>
      </c>
      <c r="M38" s="425">
        <f t="shared" si="2"/>
        <v>0.41</v>
      </c>
    </row>
    <row r="39" spans="1:13" x14ac:dyDescent="0.2">
      <c r="A39" s="189">
        <v>2016</v>
      </c>
      <c r="B39" s="136">
        <v>12.5</v>
      </c>
      <c r="C39" s="53">
        <v>8</v>
      </c>
      <c r="D39" s="53">
        <v>18.510000000000002</v>
      </c>
      <c r="E39" s="362">
        <v>405</v>
      </c>
      <c r="F39" s="543" t="s">
        <v>555</v>
      </c>
      <c r="G39" s="8"/>
      <c r="H39" s="273"/>
      <c r="J39" s="445"/>
      <c r="L39" s="425">
        <f t="shared" si="1"/>
        <v>4.5</v>
      </c>
      <c r="M39" s="425">
        <f t="shared" si="2"/>
        <v>6.0100000000000016</v>
      </c>
    </row>
    <row r="40" spans="1:13" x14ac:dyDescent="0.2">
      <c r="A40" s="189">
        <v>2017</v>
      </c>
      <c r="B40" s="136">
        <v>87.8</v>
      </c>
      <c r="C40" s="53">
        <v>69.599999999999994</v>
      </c>
      <c r="D40" s="53">
        <v>107.9</v>
      </c>
      <c r="E40" s="362">
        <v>361</v>
      </c>
      <c r="F40" s="543" t="s">
        <v>555</v>
      </c>
      <c r="G40" s="8"/>
      <c r="H40" s="273"/>
      <c r="J40" s="445"/>
      <c r="L40" s="425">
        <f t="shared" si="1"/>
        <v>18.200000000000003</v>
      </c>
      <c r="M40" s="425">
        <f t="shared" si="2"/>
        <v>20.100000000000009</v>
      </c>
    </row>
    <row r="41" spans="1:13" x14ac:dyDescent="0.2">
      <c r="A41" s="189">
        <v>2018</v>
      </c>
      <c r="B41" s="136">
        <v>9.5</v>
      </c>
      <c r="C41" s="53">
        <v>5.0599999999999996</v>
      </c>
      <c r="D41" s="53">
        <v>15.19</v>
      </c>
      <c r="E41" s="362">
        <v>372</v>
      </c>
      <c r="F41" s="543" t="s">
        <v>555</v>
      </c>
      <c r="G41" s="8"/>
      <c r="H41" s="273"/>
      <c r="J41" s="445"/>
      <c r="L41" s="425">
        <f t="shared" si="1"/>
        <v>4.4400000000000004</v>
      </c>
      <c r="M41" s="425">
        <f t="shared" si="2"/>
        <v>5.6899999999999995</v>
      </c>
    </row>
    <row r="42" spans="1:13" x14ac:dyDescent="0.2">
      <c r="A42" s="189"/>
      <c r="B42" s="136"/>
      <c r="C42" s="53"/>
      <c r="D42" s="53"/>
      <c r="E42" s="362"/>
      <c r="F42" s="475"/>
      <c r="G42" s="8"/>
      <c r="H42" s="273"/>
      <c r="J42" s="445"/>
      <c r="L42" s="425"/>
      <c r="M42" s="425"/>
    </row>
    <row r="43" spans="1:13" x14ac:dyDescent="0.2">
      <c r="A43" s="189"/>
      <c r="C43" s="11"/>
      <c r="D43" s="11"/>
      <c r="E43" s="431" t="s">
        <v>560</v>
      </c>
      <c r="J43" s="7"/>
    </row>
    <row r="44" spans="1:13" x14ac:dyDescent="0.2">
      <c r="C44" s="11"/>
      <c r="D44" s="11"/>
    </row>
    <row r="45" spans="1:13" x14ac:dyDescent="0.2">
      <c r="C45" s="11"/>
      <c r="D45" s="11"/>
    </row>
    <row r="46" spans="1:13" x14ac:dyDescent="0.2">
      <c r="C46" s="11"/>
      <c r="D46" s="11"/>
    </row>
    <row r="47" spans="1:13" x14ac:dyDescent="0.2">
      <c r="C47" s="11"/>
      <c r="D47" s="11"/>
    </row>
    <row r="48" spans="1:13" x14ac:dyDescent="0.2">
      <c r="C48" s="11"/>
      <c r="D48" s="11"/>
    </row>
    <row r="49" spans="3:4" x14ac:dyDescent="0.2">
      <c r="C49" s="11"/>
      <c r="D49" s="11"/>
    </row>
    <row r="50" spans="3:4" x14ac:dyDescent="0.2">
      <c r="C50" s="11"/>
      <c r="D50" s="11"/>
    </row>
    <row r="51" spans="3:4" x14ac:dyDescent="0.2">
      <c r="C51" s="11"/>
      <c r="D51" s="11"/>
    </row>
    <row r="52" spans="3:4" x14ac:dyDescent="0.2">
      <c r="C52" s="11"/>
      <c r="D52" s="11"/>
    </row>
    <row r="53" spans="3:4" x14ac:dyDescent="0.2">
      <c r="C53" s="11"/>
      <c r="D53" s="11"/>
    </row>
  </sheetData>
  <phoneticPr fontId="0" type="noConversion"/>
  <printOptions gridLines="1"/>
  <pageMargins left="0.25" right="0.23" top="1.1200000000000001" bottom="1" header="0.5" footer="0.5"/>
  <pageSetup orientation="landscape" horizontalDpi="300" verticalDpi="300" r:id="rId1"/>
  <headerFooter alignWithMargins="0">
    <oddHeader>&amp;L&amp;"Arial,Bold"&amp;11Kluane Monitoring Program&amp;C&amp;A&amp;R&amp;F</oddHeader>
    <oddFooter>&amp;CPage &amp;P&amp;R&amp;D  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0"/>
  <sheetViews>
    <sheetView workbookViewId="0">
      <selection activeCell="H13" sqref="H13:H32"/>
    </sheetView>
  </sheetViews>
  <sheetFormatPr defaultRowHeight="12.75" x14ac:dyDescent="0.2"/>
  <cols>
    <col min="1" max="1" width="14.7109375" customWidth="1"/>
    <col min="2" max="2" width="11" customWidth="1"/>
    <col min="3" max="3" width="14.28515625" customWidth="1"/>
    <col min="4" max="4" width="15" customWidth="1"/>
    <col min="5" max="5" width="10.140625" customWidth="1"/>
    <col min="6" max="6" width="12.85546875" customWidth="1"/>
    <col min="7" max="7" width="13.140625" customWidth="1"/>
    <col min="8" max="8" width="11.7109375" customWidth="1"/>
    <col min="9" max="10" width="13.140625" customWidth="1"/>
  </cols>
  <sheetData>
    <row r="1" spans="1:13" ht="16.5" thickBot="1" x14ac:dyDescent="0.3">
      <c r="A1" s="322" t="s">
        <v>163</v>
      </c>
      <c r="B1" s="96"/>
      <c r="C1" s="96"/>
      <c r="D1" s="97"/>
      <c r="E1" s="97"/>
    </row>
    <row r="2" spans="1:13" x14ac:dyDescent="0.2">
      <c r="A2" s="24"/>
    </row>
    <row r="3" spans="1:13" x14ac:dyDescent="0.2">
      <c r="A3" s="37" t="s">
        <v>318</v>
      </c>
      <c r="H3">
        <f>(0.28/2)^2*3.14159</f>
        <v>6.1575164000000009E-2</v>
      </c>
      <c r="I3">
        <f>1/H3</f>
        <v>16.240314033105943</v>
      </c>
    </row>
    <row r="4" spans="1:13" x14ac:dyDescent="0.2">
      <c r="A4" s="37" t="s">
        <v>219</v>
      </c>
    </row>
    <row r="5" spans="1:13" ht="11.25" customHeight="1" thickBot="1" x14ac:dyDescent="0.25"/>
    <row r="6" spans="1:13" ht="13.5" thickBot="1" x14ac:dyDescent="0.25">
      <c r="A6" s="75" t="s">
        <v>164</v>
      </c>
      <c r="B6" s="76"/>
      <c r="C6" s="77"/>
      <c r="E6" s="37" t="s">
        <v>258</v>
      </c>
    </row>
    <row r="7" spans="1:13" ht="13.5" thickBot="1" x14ac:dyDescent="0.25">
      <c r="A7" s="37" t="s">
        <v>167</v>
      </c>
      <c r="H7" s="298" t="s">
        <v>164</v>
      </c>
      <c r="I7" s="299"/>
      <c r="J7" s="300"/>
    </row>
    <row r="9" spans="1:13" ht="13.5" thickBot="1" x14ac:dyDescent="0.25">
      <c r="A9" s="38" t="s">
        <v>208</v>
      </c>
      <c r="C9" s="113" t="s">
        <v>83</v>
      </c>
      <c r="D9" s="38"/>
      <c r="F9" s="113" t="s">
        <v>168</v>
      </c>
      <c r="G9" s="38"/>
      <c r="H9" s="32"/>
      <c r="I9" s="114" t="s">
        <v>259</v>
      </c>
      <c r="J9" s="60"/>
    </row>
    <row r="10" spans="1:13" ht="13.5" thickBot="1" x14ac:dyDescent="0.25">
      <c r="A10" s="14" t="s">
        <v>207</v>
      </c>
      <c r="B10" s="4" t="s">
        <v>165</v>
      </c>
      <c r="C10" s="4" t="s">
        <v>19</v>
      </c>
      <c r="D10" s="14" t="s">
        <v>20</v>
      </c>
      <c r="E10" s="4" t="s">
        <v>165</v>
      </c>
      <c r="F10" s="4" t="s">
        <v>256</v>
      </c>
      <c r="G10" s="14" t="s">
        <v>257</v>
      </c>
      <c r="H10" s="60" t="s">
        <v>165</v>
      </c>
      <c r="I10" s="60" t="s">
        <v>19</v>
      </c>
      <c r="J10" s="60" t="s">
        <v>20</v>
      </c>
      <c r="L10" s="246" t="s">
        <v>502</v>
      </c>
      <c r="M10" s="117"/>
    </row>
    <row r="11" spans="1:13" x14ac:dyDescent="0.2">
      <c r="A11" s="38">
        <v>1986</v>
      </c>
      <c r="B11" s="7"/>
      <c r="C11" s="7"/>
      <c r="D11" s="38"/>
      <c r="E11" s="7"/>
      <c r="F11" s="7"/>
      <c r="G11" s="38"/>
      <c r="H11" s="60"/>
      <c r="I11" s="60"/>
      <c r="J11" s="60"/>
      <c r="L11" s="218" t="s">
        <v>131</v>
      </c>
      <c r="M11" s="247">
        <f>AVERAGE(H13:H32)</f>
        <v>236.56504529636828</v>
      </c>
    </row>
    <row r="12" spans="1:13" x14ac:dyDescent="0.2">
      <c r="A12" s="38">
        <v>1987</v>
      </c>
      <c r="B12" s="2"/>
      <c r="C12" s="2"/>
      <c r="D12" s="39"/>
      <c r="E12" s="2"/>
      <c r="F12" s="2"/>
      <c r="G12" s="39"/>
      <c r="H12" s="61"/>
      <c r="I12" s="61"/>
      <c r="J12" s="61"/>
      <c r="L12" s="218" t="s">
        <v>392</v>
      </c>
      <c r="M12" s="219">
        <f>STDEV(H13:H32)</f>
        <v>451.17062500223204</v>
      </c>
    </row>
    <row r="13" spans="1:13" ht="13.5" thickBot="1" x14ac:dyDescent="0.25">
      <c r="A13" s="38">
        <v>1988</v>
      </c>
      <c r="B13" s="31">
        <v>33.925941999999999</v>
      </c>
      <c r="C13" s="31">
        <v>15.713217</v>
      </c>
      <c r="D13" s="190">
        <v>60.068587999999998</v>
      </c>
      <c r="E13" s="31"/>
      <c r="F13" s="31"/>
      <c r="G13" s="190"/>
      <c r="H13" s="84">
        <v>50.072679000000001</v>
      </c>
      <c r="I13" s="84">
        <v>32.939838999999999</v>
      </c>
      <c r="J13" s="84">
        <v>70.916532000000004</v>
      </c>
      <c r="L13" s="212" t="s">
        <v>393</v>
      </c>
      <c r="M13" s="248">
        <f>M12/M11</f>
        <v>1.9071736673395947</v>
      </c>
    </row>
    <row r="14" spans="1:13" x14ac:dyDescent="0.2">
      <c r="A14" s="38">
        <v>1989</v>
      </c>
      <c r="B14" s="31">
        <v>1.2785409000000001</v>
      </c>
      <c r="C14" s="31">
        <v>0</v>
      </c>
      <c r="D14" s="190">
        <v>3.6697500000000001</v>
      </c>
      <c r="E14" s="31"/>
      <c r="F14" s="31"/>
      <c r="G14" s="190"/>
      <c r="H14" s="84">
        <v>0.33174540000000002</v>
      </c>
      <c r="I14" s="84">
        <v>0</v>
      </c>
      <c r="J14" s="84">
        <v>0.9016168</v>
      </c>
    </row>
    <row r="15" spans="1:13" x14ac:dyDescent="0.2">
      <c r="A15" s="38">
        <v>1990</v>
      </c>
      <c r="B15" s="31">
        <v>46.487414000000001</v>
      </c>
      <c r="C15" s="31">
        <v>3.8375799000000002</v>
      </c>
      <c r="D15" s="190">
        <v>139.30664999999999</v>
      </c>
      <c r="E15" s="31"/>
      <c r="F15" s="31"/>
      <c r="G15" s="190"/>
      <c r="H15" s="84">
        <v>45.656419999999997</v>
      </c>
      <c r="I15" s="84">
        <v>23.719958999999999</v>
      </c>
      <c r="J15" s="84">
        <v>73.535917999999995</v>
      </c>
    </row>
    <row r="16" spans="1:13" x14ac:dyDescent="0.2">
      <c r="A16" s="38">
        <v>1991</v>
      </c>
      <c r="B16" s="31">
        <v>0.84893549999999995</v>
      </c>
      <c r="C16" s="31">
        <v>0</v>
      </c>
      <c r="D16" s="190">
        <v>2.9274819000000001</v>
      </c>
      <c r="E16" s="31"/>
      <c r="F16" s="31"/>
      <c r="G16" s="190"/>
      <c r="H16" s="84">
        <v>8.5873781000000005</v>
      </c>
      <c r="I16" s="84">
        <v>2.7461147000000001</v>
      </c>
      <c r="J16" s="84">
        <v>16.393180999999998</v>
      </c>
    </row>
    <row r="17" spans="1:11" x14ac:dyDescent="0.2">
      <c r="A17" s="38">
        <v>1992</v>
      </c>
      <c r="B17" s="31">
        <v>132.28226000000001</v>
      </c>
      <c r="C17" s="31">
        <v>60.191729000000002</v>
      </c>
      <c r="D17" s="190">
        <v>220.57334</v>
      </c>
      <c r="E17" s="191"/>
      <c r="F17" s="191"/>
      <c r="G17" s="192"/>
      <c r="H17" s="84">
        <v>92.549627000000001</v>
      </c>
      <c r="I17" s="84">
        <v>44.321446000000002</v>
      </c>
      <c r="J17" s="84">
        <v>176.32431</v>
      </c>
    </row>
    <row r="18" spans="1:11" x14ac:dyDescent="0.2">
      <c r="A18" s="38">
        <v>1993</v>
      </c>
      <c r="B18" s="31"/>
      <c r="C18" s="31"/>
      <c r="D18" s="190"/>
      <c r="E18" s="191"/>
      <c r="F18" s="191"/>
      <c r="G18" s="192"/>
      <c r="H18" s="84">
        <v>675.31898234000005</v>
      </c>
      <c r="I18" s="84">
        <v>490.86820999999998</v>
      </c>
      <c r="J18" s="84">
        <v>909.85758999999996</v>
      </c>
    </row>
    <row r="19" spans="1:11" x14ac:dyDescent="0.2">
      <c r="A19" s="38">
        <v>1994</v>
      </c>
      <c r="B19" s="31">
        <v>19.582927999999999</v>
      </c>
      <c r="C19" s="31">
        <v>10.6015</v>
      </c>
      <c r="D19" s="190">
        <v>30.581250000000001</v>
      </c>
      <c r="E19" s="191"/>
      <c r="F19" s="191"/>
      <c r="G19" s="192"/>
      <c r="H19" s="84">
        <v>11.877921000000001</v>
      </c>
      <c r="I19" s="84">
        <v>7.5112443000000004</v>
      </c>
      <c r="J19" s="84">
        <v>17.383035</v>
      </c>
    </row>
    <row r="20" spans="1:11" x14ac:dyDescent="0.2">
      <c r="A20" s="38">
        <v>1995</v>
      </c>
      <c r="B20" s="31">
        <v>457.7</v>
      </c>
      <c r="C20" s="31">
        <v>320.25</v>
      </c>
      <c r="D20" s="190">
        <v>622.08000000000004</v>
      </c>
      <c r="E20" s="191"/>
      <c r="F20" s="191"/>
      <c r="G20" s="192"/>
      <c r="H20" s="84">
        <v>455.13029999999998</v>
      </c>
      <c r="I20" s="84">
        <v>327.43923000000001</v>
      </c>
      <c r="J20" s="84">
        <v>609.66616999999997</v>
      </c>
    </row>
    <row r="21" spans="1:11" x14ac:dyDescent="0.2">
      <c r="A21" s="38">
        <v>1996</v>
      </c>
      <c r="B21" s="31">
        <v>205.69</v>
      </c>
      <c r="C21" s="31">
        <v>76.05</v>
      </c>
      <c r="D21" s="190">
        <v>394.1</v>
      </c>
      <c r="E21" s="31">
        <v>120.99</v>
      </c>
      <c r="F21" s="31">
        <v>7.02</v>
      </c>
      <c r="G21" s="190">
        <v>405.47</v>
      </c>
      <c r="H21" s="84">
        <v>161.38647</v>
      </c>
      <c r="I21" s="84">
        <v>58.602156000000001</v>
      </c>
      <c r="J21" s="84">
        <v>312.35541999999998</v>
      </c>
      <c r="K21" s="37" t="s">
        <v>209</v>
      </c>
    </row>
    <row r="22" spans="1:11" x14ac:dyDescent="0.2">
      <c r="A22" s="38">
        <v>1997</v>
      </c>
      <c r="B22" s="31">
        <v>45.02</v>
      </c>
      <c r="C22" s="31">
        <v>12.86</v>
      </c>
      <c r="D22" s="190">
        <v>87.88</v>
      </c>
      <c r="E22" s="31">
        <v>8.35</v>
      </c>
      <c r="F22" s="31">
        <v>0.56999999999999995</v>
      </c>
      <c r="G22" s="190">
        <v>27.88</v>
      </c>
      <c r="H22" s="84">
        <v>26.553169</v>
      </c>
      <c r="I22" s="84">
        <v>8.5842790000000004</v>
      </c>
      <c r="J22" s="84">
        <v>49.692982000000001</v>
      </c>
      <c r="K22" s="37" t="s">
        <v>214</v>
      </c>
    </row>
    <row r="23" spans="1:11" x14ac:dyDescent="0.2">
      <c r="A23" s="38">
        <v>1998</v>
      </c>
      <c r="B23" s="31">
        <v>3117.5</v>
      </c>
      <c r="C23" s="31">
        <v>2284.58</v>
      </c>
      <c r="D23" s="190">
        <v>4096.95</v>
      </c>
      <c r="E23" s="31">
        <v>557</v>
      </c>
      <c r="F23" s="31">
        <v>307.05</v>
      </c>
      <c r="G23" s="190">
        <v>921.87</v>
      </c>
      <c r="H23" s="84">
        <v>1977.9545000000001</v>
      </c>
      <c r="I23" s="84">
        <v>1462.2129</v>
      </c>
      <c r="J23" s="84">
        <v>2572.3655899999999</v>
      </c>
      <c r="K23" s="37" t="s">
        <v>218</v>
      </c>
    </row>
    <row r="24" spans="1:11" x14ac:dyDescent="0.2">
      <c r="A24" s="38">
        <v>1999</v>
      </c>
      <c r="B24" s="31">
        <v>326.73</v>
      </c>
      <c r="C24" s="31">
        <v>79.58</v>
      </c>
      <c r="D24" s="190">
        <v>915.13</v>
      </c>
      <c r="E24" s="31">
        <v>172.69</v>
      </c>
      <c r="F24" s="31">
        <v>45.15</v>
      </c>
      <c r="G24" s="190">
        <v>364.97</v>
      </c>
      <c r="H24" s="84">
        <v>232.25146000000001</v>
      </c>
      <c r="I24" s="84">
        <v>84.299865999999994</v>
      </c>
      <c r="J24" s="84">
        <v>511.96323000000001</v>
      </c>
      <c r="K24" s="37" t="s">
        <v>254</v>
      </c>
    </row>
    <row r="25" spans="1:11" x14ac:dyDescent="0.2">
      <c r="A25" s="38">
        <v>2000</v>
      </c>
      <c r="B25" s="31">
        <v>3.89</v>
      </c>
      <c r="C25" s="31">
        <v>1.34</v>
      </c>
      <c r="D25" s="190">
        <v>7.87</v>
      </c>
      <c r="E25" s="31">
        <v>3.03</v>
      </c>
      <c r="F25" s="31">
        <v>1.59</v>
      </c>
      <c r="G25" s="190">
        <v>4.57</v>
      </c>
      <c r="H25" s="84">
        <v>3.46</v>
      </c>
      <c r="I25" s="84">
        <v>1.95</v>
      </c>
      <c r="J25" s="84">
        <v>5.57</v>
      </c>
      <c r="K25" s="37" t="s">
        <v>255</v>
      </c>
    </row>
    <row r="26" spans="1:11" x14ac:dyDescent="0.2">
      <c r="A26" s="38">
        <v>2001</v>
      </c>
      <c r="B26" s="31">
        <v>13.15</v>
      </c>
      <c r="C26" s="31">
        <v>2.98</v>
      </c>
      <c r="D26" s="190">
        <v>29.44</v>
      </c>
      <c r="E26" s="31">
        <v>34.76</v>
      </c>
      <c r="F26" s="31">
        <v>15.92</v>
      </c>
      <c r="G26" s="190">
        <v>58.83</v>
      </c>
      <c r="H26" s="84">
        <v>23.68</v>
      </c>
      <c r="I26" s="84">
        <v>12.67</v>
      </c>
      <c r="J26" s="84">
        <v>37.340000000000003</v>
      </c>
      <c r="K26" s="37" t="s">
        <v>300</v>
      </c>
    </row>
    <row r="27" spans="1:11" x14ac:dyDescent="0.2">
      <c r="A27" s="38">
        <v>2002</v>
      </c>
      <c r="B27" s="31">
        <v>314.48</v>
      </c>
      <c r="C27" s="31">
        <v>132.02000000000001</v>
      </c>
      <c r="D27" s="190">
        <v>551.66</v>
      </c>
      <c r="E27" s="31">
        <v>592.14</v>
      </c>
      <c r="F27" s="31">
        <v>187.46</v>
      </c>
      <c r="G27" s="190">
        <v>1217.81</v>
      </c>
      <c r="H27" s="84">
        <v>451.14</v>
      </c>
      <c r="I27" s="84">
        <v>224.31</v>
      </c>
      <c r="J27" s="84">
        <v>763.13</v>
      </c>
      <c r="K27" s="37" t="s">
        <v>308</v>
      </c>
    </row>
    <row r="28" spans="1:11" x14ac:dyDescent="0.2">
      <c r="A28" s="38">
        <v>2003</v>
      </c>
      <c r="B28" s="31">
        <v>11.96</v>
      </c>
      <c r="C28" s="31">
        <v>7.75</v>
      </c>
      <c r="D28" s="190">
        <v>17.13</v>
      </c>
      <c r="E28" s="31">
        <v>7.62</v>
      </c>
      <c r="F28" s="31">
        <v>4.8499999999999996</v>
      </c>
      <c r="G28" s="190">
        <v>10.68</v>
      </c>
      <c r="H28" s="84">
        <v>9.9</v>
      </c>
      <c r="I28" s="84">
        <v>7.36</v>
      </c>
      <c r="J28" s="84">
        <v>12.63</v>
      </c>
      <c r="K28" s="37" t="s">
        <v>319</v>
      </c>
    </row>
    <row r="29" spans="1:11" x14ac:dyDescent="0.2">
      <c r="A29" s="23">
        <v>2004</v>
      </c>
      <c r="B29" s="364">
        <v>78.459999999999994</v>
      </c>
      <c r="C29" s="31">
        <v>17.88</v>
      </c>
      <c r="D29" s="131">
        <v>168.8</v>
      </c>
      <c r="E29" s="364">
        <f>6.258*I3</f>
        <v>101.63188521917699</v>
      </c>
      <c r="F29" s="31">
        <v>34.54</v>
      </c>
      <c r="G29" s="31">
        <v>255.01</v>
      </c>
      <c r="H29" s="84">
        <v>100.42</v>
      </c>
      <c r="I29" s="84">
        <v>41.84</v>
      </c>
      <c r="J29" s="84">
        <v>175.82</v>
      </c>
      <c r="K29" s="37" t="s">
        <v>415</v>
      </c>
    </row>
    <row r="30" spans="1:11" x14ac:dyDescent="0.2">
      <c r="A30" s="23">
        <v>2005</v>
      </c>
      <c r="B30" s="365">
        <f>100.767*I3</f>
        <v>1636.4877241739864</v>
      </c>
      <c r="C30" s="31">
        <f>58.418*I3</f>
        <v>948.72666518598294</v>
      </c>
      <c r="D30" s="272">
        <f>151.744*I3</f>
        <v>2464.3702126396283</v>
      </c>
      <c r="E30" s="364">
        <f>101.06*I3</f>
        <v>1641.2461361856865</v>
      </c>
      <c r="F30" s="31">
        <f>75.49*I3</f>
        <v>1225.9813063591675</v>
      </c>
      <c r="G30" s="131">
        <f>136.7*I3</f>
        <v>2220.0509283255824</v>
      </c>
      <c r="H30" s="84">
        <v>100.2158</v>
      </c>
      <c r="I30" s="84">
        <v>74.349999999999994</v>
      </c>
      <c r="J30" s="84">
        <v>130.57</v>
      </c>
      <c r="K30" s="37" t="s">
        <v>415</v>
      </c>
    </row>
    <row r="31" spans="1:11" x14ac:dyDescent="0.2">
      <c r="A31" s="23">
        <v>2006</v>
      </c>
      <c r="B31" s="365">
        <v>0</v>
      </c>
      <c r="C31" s="31">
        <v>0</v>
      </c>
      <c r="D31" s="272">
        <v>0</v>
      </c>
      <c r="E31" s="364">
        <v>0</v>
      </c>
      <c r="F31" s="31">
        <v>0</v>
      </c>
      <c r="G31" s="131">
        <v>0</v>
      </c>
      <c r="H31" s="84">
        <v>0</v>
      </c>
      <c r="I31" s="84">
        <v>0</v>
      </c>
      <c r="J31" s="84">
        <v>0.1</v>
      </c>
      <c r="K31" s="37" t="s">
        <v>457</v>
      </c>
    </row>
    <row r="32" spans="1:11" x14ac:dyDescent="0.2">
      <c r="A32" s="23">
        <v>2007</v>
      </c>
      <c r="B32" s="365">
        <f>36.651*I3</f>
        <v>595.22374962736592</v>
      </c>
      <c r="C32" s="31">
        <f>19.988*I3</f>
        <v>324.61139689372158</v>
      </c>
      <c r="D32" s="272">
        <f>57.5*I3</f>
        <v>933.8180569035917</v>
      </c>
      <c r="E32" s="364">
        <f>1.739*I3</f>
        <v>28.241906103571235</v>
      </c>
      <c r="F32" s="31">
        <f>0.918*I3</f>
        <v>14.908608282391256</v>
      </c>
      <c r="G32" s="131">
        <f>2.779*I3</f>
        <v>45.131832698001411</v>
      </c>
      <c r="H32" s="84">
        <f>18.769*I3</f>
        <v>304.81445408736539</v>
      </c>
      <c r="I32" s="84">
        <f>10.279*I3</f>
        <v>166.93418794629599</v>
      </c>
      <c r="J32" s="84">
        <f>29.191*I3</f>
        <v>474.07100694039553</v>
      </c>
      <c r="K32" s="37" t="s">
        <v>491</v>
      </c>
    </row>
    <row r="33" spans="1:11" x14ac:dyDescent="0.2">
      <c r="A33" s="23"/>
      <c r="B33" s="272"/>
      <c r="C33" s="31"/>
      <c r="D33" s="272"/>
      <c r="E33" s="31"/>
      <c r="F33" s="31"/>
      <c r="G33" s="131"/>
      <c r="H33" s="84"/>
      <c r="I33" s="84"/>
      <c r="J33" s="84"/>
      <c r="K33" s="37"/>
    </row>
    <row r="34" spans="1:11" x14ac:dyDescent="0.2">
      <c r="A34" s="23"/>
      <c r="B34" s="31"/>
      <c r="C34" s="31"/>
      <c r="D34" s="131"/>
      <c r="E34" s="191"/>
      <c r="F34" s="31"/>
      <c r="G34" s="31"/>
      <c r="H34" s="191"/>
      <c r="I34" s="191"/>
      <c r="J34" s="191"/>
    </row>
    <row r="35" spans="1:11" x14ac:dyDescent="0.2">
      <c r="A35" s="7"/>
    </row>
    <row r="36" spans="1:11" x14ac:dyDescent="0.2">
      <c r="A36" s="37" t="s">
        <v>166</v>
      </c>
    </row>
    <row r="70" spans="4:6" x14ac:dyDescent="0.2">
      <c r="E70" t="s">
        <v>376</v>
      </c>
      <c r="F70" t="s">
        <v>375</v>
      </c>
    </row>
    <row r="71" spans="4:6" x14ac:dyDescent="0.2">
      <c r="D71" s="38">
        <v>1988</v>
      </c>
      <c r="E71" s="130">
        <f>H13-I13</f>
        <v>17.132840000000002</v>
      </c>
      <c r="F71" s="130">
        <f>J13-H13</f>
        <v>20.843853000000003</v>
      </c>
    </row>
    <row r="72" spans="4:6" x14ac:dyDescent="0.2">
      <c r="D72" s="38">
        <v>1989</v>
      </c>
      <c r="E72" s="130">
        <f t="shared" ref="E72:E88" si="0">H14-I14</f>
        <v>0.33174540000000002</v>
      </c>
      <c r="F72" s="130">
        <f t="shared" ref="F72:F88" si="1">J14-H14</f>
        <v>0.56987140000000003</v>
      </c>
    </row>
    <row r="73" spans="4:6" x14ac:dyDescent="0.2">
      <c r="D73" s="38">
        <v>1990</v>
      </c>
      <c r="E73" s="130">
        <f t="shared" si="0"/>
        <v>21.936460999999998</v>
      </c>
      <c r="F73" s="130">
        <f t="shared" si="1"/>
        <v>27.879497999999998</v>
      </c>
    </row>
    <row r="74" spans="4:6" x14ac:dyDescent="0.2">
      <c r="D74" s="38">
        <v>1991</v>
      </c>
      <c r="E74" s="130">
        <f t="shared" si="0"/>
        <v>5.8412634000000008</v>
      </c>
      <c r="F74" s="130">
        <f t="shared" si="1"/>
        <v>7.805802899999998</v>
      </c>
    </row>
    <row r="75" spans="4:6" x14ac:dyDescent="0.2">
      <c r="D75" s="38">
        <v>1992</v>
      </c>
      <c r="E75" s="130">
        <f t="shared" si="0"/>
        <v>48.228180999999999</v>
      </c>
      <c r="F75" s="130">
        <f t="shared" si="1"/>
        <v>83.774682999999996</v>
      </c>
    </row>
    <row r="76" spans="4:6" x14ac:dyDescent="0.2">
      <c r="D76" s="38">
        <v>1993</v>
      </c>
      <c r="E76" s="130">
        <f t="shared" si="0"/>
        <v>184.45077234000007</v>
      </c>
      <c r="F76" s="130">
        <f t="shared" si="1"/>
        <v>234.53860765999991</v>
      </c>
    </row>
    <row r="77" spans="4:6" x14ac:dyDescent="0.2">
      <c r="D77" s="38">
        <v>1994</v>
      </c>
      <c r="E77" s="130">
        <f t="shared" si="0"/>
        <v>4.3666767000000002</v>
      </c>
      <c r="F77" s="130">
        <f t="shared" si="1"/>
        <v>5.505113999999999</v>
      </c>
    </row>
    <row r="78" spans="4:6" x14ac:dyDescent="0.2">
      <c r="D78" s="38">
        <v>1995</v>
      </c>
      <c r="E78" s="130">
        <f t="shared" si="0"/>
        <v>127.69106999999997</v>
      </c>
      <c r="F78" s="130">
        <f t="shared" si="1"/>
        <v>154.53586999999999</v>
      </c>
    </row>
    <row r="79" spans="4:6" x14ac:dyDescent="0.2">
      <c r="D79" s="38">
        <v>1996</v>
      </c>
      <c r="E79" s="130">
        <f t="shared" si="0"/>
        <v>102.78431399999999</v>
      </c>
      <c r="F79" s="130">
        <f t="shared" si="1"/>
        <v>150.96894999999998</v>
      </c>
    </row>
    <row r="80" spans="4:6" x14ac:dyDescent="0.2">
      <c r="D80" s="38">
        <v>1997</v>
      </c>
      <c r="E80" s="130">
        <f t="shared" si="0"/>
        <v>17.968890000000002</v>
      </c>
      <c r="F80" s="130">
        <f t="shared" si="1"/>
        <v>23.139813</v>
      </c>
    </row>
    <row r="81" spans="4:6" x14ac:dyDescent="0.2">
      <c r="D81" s="38">
        <v>1998</v>
      </c>
      <c r="E81" s="130">
        <f t="shared" si="0"/>
        <v>515.74160000000006</v>
      </c>
      <c r="F81" s="130">
        <f t="shared" si="1"/>
        <v>594.41108999999983</v>
      </c>
    </row>
    <row r="82" spans="4:6" x14ac:dyDescent="0.2">
      <c r="D82" s="38">
        <v>1999</v>
      </c>
      <c r="E82" s="130">
        <f t="shared" si="0"/>
        <v>147.951594</v>
      </c>
      <c r="F82" s="130">
        <f t="shared" si="1"/>
        <v>279.71177</v>
      </c>
    </row>
    <row r="83" spans="4:6" x14ac:dyDescent="0.2">
      <c r="D83" s="38">
        <v>2000</v>
      </c>
      <c r="E83" s="130">
        <f t="shared" si="0"/>
        <v>1.51</v>
      </c>
      <c r="F83" s="130">
        <f t="shared" si="1"/>
        <v>2.1100000000000003</v>
      </c>
    </row>
    <row r="84" spans="4:6" x14ac:dyDescent="0.2">
      <c r="D84" s="38">
        <v>2001</v>
      </c>
      <c r="E84" s="130">
        <f t="shared" si="0"/>
        <v>11.01</v>
      </c>
      <c r="F84" s="130">
        <f t="shared" si="1"/>
        <v>13.660000000000004</v>
      </c>
    </row>
    <row r="85" spans="4:6" x14ac:dyDescent="0.2">
      <c r="D85" s="38">
        <v>2002</v>
      </c>
      <c r="E85" s="130">
        <f t="shared" si="0"/>
        <v>226.82999999999998</v>
      </c>
      <c r="F85" s="130">
        <f t="shared" si="1"/>
        <v>311.99</v>
      </c>
    </row>
    <row r="86" spans="4:6" x14ac:dyDescent="0.2">
      <c r="D86" s="38">
        <v>2003</v>
      </c>
      <c r="E86" s="130">
        <f t="shared" si="0"/>
        <v>2.54</v>
      </c>
      <c r="F86" s="130">
        <f t="shared" si="1"/>
        <v>2.7300000000000004</v>
      </c>
    </row>
    <row r="87" spans="4:6" x14ac:dyDescent="0.2">
      <c r="D87" s="23">
        <v>2004</v>
      </c>
      <c r="E87" s="367">
        <f t="shared" si="0"/>
        <v>58.58</v>
      </c>
      <c r="F87" s="130">
        <f t="shared" si="1"/>
        <v>75.399999999999991</v>
      </c>
    </row>
    <row r="88" spans="4:6" x14ac:dyDescent="0.2">
      <c r="D88" s="23">
        <v>2005</v>
      </c>
      <c r="E88" s="367">
        <f t="shared" si="0"/>
        <v>25.865800000000007</v>
      </c>
      <c r="F88" s="130">
        <f t="shared" si="1"/>
        <v>30.354199999999992</v>
      </c>
    </row>
    <row r="89" spans="4:6" x14ac:dyDescent="0.2">
      <c r="D89" s="23">
        <v>2006</v>
      </c>
      <c r="E89" s="367">
        <f>H31-I31</f>
        <v>0</v>
      </c>
      <c r="F89" s="130">
        <f>J31-H31</f>
        <v>0.1</v>
      </c>
    </row>
    <row r="90" spans="4:6" x14ac:dyDescent="0.2">
      <c r="D90" s="23">
        <v>2007</v>
      </c>
      <c r="E90" s="367">
        <f>H32-I32</f>
        <v>137.8802661410694</v>
      </c>
      <c r="F90" s="130">
        <f>J32-H32</f>
        <v>169.25655285303014</v>
      </c>
    </row>
  </sheetData>
  <phoneticPr fontId="0" type="noConversion"/>
  <printOptions horizontalCentered="1" gridLines="1"/>
  <pageMargins left="0.41" right="0.34" top="1.21" bottom="0.98425196850393704" header="0.72" footer="0.51181102362204722"/>
  <pageSetup orientation="landscape" horizontalDpi="300" verticalDpi="300" r:id="rId1"/>
  <headerFooter alignWithMargins="0">
    <oddHeader>&amp;L&amp;"Arial,Bold"&amp;12Kluane Monitoring Program&amp;R&amp;F</oddHeader>
    <oddFooter>&amp;CPage &amp;P&amp;R&amp;D  &amp;T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6"/>
  <sheetViews>
    <sheetView workbookViewId="0">
      <pane ySplit="6" topLeftCell="A7" activePane="bottomLeft" state="frozenSplit"/>
      <selection pane="bottomLeft" activeCell="I55" sqref="I55"/>
    </sheetView>
  </sheetViews>
  <sheetFormatPr defaultRowHeight="12.75" x14ac:dyDescent="0.2"/>
  <cols>
    <col min="1" max="1" width="12.7109375" customWidth="1"/>
    <col min="2" max="2" width="11.42578125" customWidth="1"/>
    <col min="3" max="3" width="13.42578125" customWidth="1"/>
    <col min="4" max="4" width="12.28515625" customWidth="1"/>
    <col min="5" max="5" width="11.7109375" customWidth="1"/>
    <col min="6" max="6" width="12.28515625" customWidth="1"/>
    <col min="7" max="7" width="9.5703125" customWidth="1"/>
    <col min="8" max="8" width="18.28515625" customWidth="1"/>
    <col min="9" max="9" width="11.42578125" customWidth="1"/>
    <col min="10" max="10" width="12" customWidth="1"/>
    <col min="11" max="11" width="10.7109375" customWidth="1"/>
    <col min="12" max="12" width="11.140625" customWidth="1"/>
    <col min="15" max="15" width="13" customWidth="1"/>
    <col min="16" max="16" width="11.5703125" customWidth="1"/>
    <col min="17" max="17" width="11.85546875" customWidth="1"/>
    <col min="18" max="18" width="10.7109375" customWidth="1"/>
    <col min="19" max="19" width="11.85546875" customWidth="1"/>
  </cols>
  <sheetData>
    <row r="1" spans="1:9" ht="16.5" thickBot="1" x14ac:dyDescent="0.3">
      <c r="A1" s="336" t="s">
        <v>178</v>
      </c>
      <c r="B1" s="115"/>
      <c r="C1" s="115"/>
      <c r="D1" s="116"/>
    </row>
    <row r="2" spans="1:9" x14ac:dyDescent="0.2">
      <c r="A2" s="99" t="s">
        <v>185</v>
      </c>
      <c r="I2" s="231" t="s">
        <v>366</v>
      </c>
    </row>
    <row r="3" spans="1:9" ht="13.5" thickBot="1" x14ac:dyDescent="0.25">
      <c r="I3" s="231" t="s">
        <v>367</v>
      </c>
    </row>
    <row r="4" spans="1:9" ht="13.5" thickBot="1" x14ac:dyDescent="0.25">
      <c r="C4" s="118"/>
      <c r="D4" s="119" t="s">
        <v>275</v>
      </c>
      <c r="E4" s="120"/>
      <c r="F4" s="120"/>
      <c r="G4" s="117"/>
      <c r="I4" s="231" t="s">
        <v>368</v>
      </c>
    </row>
    <row r="5" spans="1:9" x14ac:dyDescent="0.2">
      <c r="A5" s="113" t="s">
        <v>176</v>
      </c>
      <c r="B5" s="113" t="s">
        <v>16</v>
      </c>
      <c r="C5" s="144" t="s">
        <v>169</v>
      </c>
      <c r="D5" s="146" t="s">
        <v>276</v>
      </c>
      <c r="E5" s="147"/>
      <c r="F5" s="148"/>
      <c r="G5" s="144" t="s">
        <v>170</v>
      </c>
      <c r="H5" s="142" t="s">
        <v>177</v>
      </c>
      <c r="I5" s="232" t="s">
        <v>369</v>
      </c>
    </row>
    <row r="6" spans="1:9" ht="13.5" thickBot="1" x14ac:dyDescent="0.25">
      <c r="A6" s="3"/>
      <c r="B6" s="3"/>
      <c r="C6" s="145" t="s">
        <v>171</v>
      </c>
      <c r="D6" s="140" t="s">
        <v>172</v>
      </c>
      <c r="E6" s="46" t="s">
        <v>173</v>
      </c>
      <c r="F6" s="141" t="s">
        <v>174</v>
      </c>
      <c r="G6" s="145" t="s">
        <v>175</v>
      </c>
      <c r="H6" s="143" t="s">
        <v>186</v>
      </c>
      <c r="I6" s="22"/>
    </row>
    <row r="7" spans="1:9" x14ac:dyDescent="0.2">
      <c r="A7" t="s">
        <v>122</v>
      </c>
      <c r="B7" s="7" t="s">
        <v>179</v>
      </c>
      <c r="C7" s="31">
        <v>20.3</v>
      </c>
      <c r="D7" s="44">
        <v>28.1</v>
      </c>
      <c r="E7" s="45">
        <v>10.2803738317757</v>
      </c>
      <c r="F7" s="47">
        <v>18.068535825545169</v>
      </c>
      <c r="G7" s="31">
        <v>23.4</v>
      </c>
      <c r="H7" s="121">
        <v>320</v>
      </c>
    </row>
    <row r="8" spans="1:9" x14ac:dyDescent="0.2">
      <c r="A8" t="s">
        <v>122</v>
      </c>
      <c r="B8" s="7" t="s">
        <v>283</v>
      </c>
      <c r="C8" s="31">
        <v>36.299999999999997</v>
      </c>
      <c r="D8" s="44">
        <v>3.4</v>
      </c>
      <c r="E8" s="45">
        <v>2.5</v>
      </c>
      <c r="F8" s="47">
        <v>35.9</v>
      </c>
      <c r="G8" s="31">
        <v>21.9</v>
      </c>
      <c r="H8" s="123">
        <v>320</v>
      </c>
    </row>
    <row r="9" spans="1:9" x14ac:dyDescent="0.2">
      <c r="A9" s="22" t="s">
        <v>122</v>
      </c>
      <c r="B9" s="348" t="s">
        <v>361</v>
      </c>
      <c r="C9" s="131">
        <v>28.1</v>
      </c>
      <c r="D9" s="41">
        <v>7.2</v>
      </c>
      <c r="E9" s="42">
        <v>1.6</v>
      </c>
      <c r="F9" s="43">
        <v>40.299999999999997</v>
      </c>
      <c r="G9" s="131">
        <v>22.8</v>
      </c>
      <c r="H9" s="123">
        <v>320</v>
      </c>
    </row>
    <row r="10" spans="1:9" ht="13.5" thickBot="1" x14ac:dyDescent="0.25">
      <c r="A10" s="3" t="s">
        <v>122</v>
      </c>
      <c r="B10" s="228" t="s">
        <v>492</v>
      </c>
      <c r="C10" s="207">
        <v>97.5</v>
      </c>
      <c r="D10" s="209">
        <v>1.6</v>
      </c>
      <c r="E10" s="210">
        <v>0</v>
      </c>
      <c r="F10" s="211">
        <v>0.9</v>
      </c>
      <c r="G10" s="352">
        <v>0</v>
      </c>
      <c r="H10" s="208">
        <v>319</v>
      </c>
    </row>
    <row r="11" spans="1:9" ht="13.5" thickBot="1" x14ac:dyDescent="0.25">
      <c r="A11" s="22"/>
      <c r="B11" s="348"/>
      <c r="C11" s="131"/>
      <c r="D11" s="44"/>
      <c r="E11" s="45"/>
      <c r="F11" s="47"/>
      <c r="G11" s="131"/>
      <c r="H11" s="23"/>
    </row>
    <row r="12" spans="1:9" x14ac:dyDescent="0.2">
      <c r="A12" t="s">
        <v>121</v>
      </c>
      <c r="B12" s="7" t="s">
        <v>283</v>
      </c>
      <c r="C12" s="31">
        <v>58.2</v>
      </c>
      <c r="D12" s="41">
        <v>20.8</v>
      </c>
      <c r="E12" s="42">
        <v>3.5</v>
      </c>
      <c r="F12" s="43">
        <v>8.5</v>
      </c>
      <c r="G12" s="31">
        <v>9.1</v>
      </c>
      <c r="H12" s="121">
        <v>318</v>
      </c>
    </row>
    <row r="13" spans="1:9" x14ac:dyDescent="0.2">
      <c r="A13" s="22" t="s">
        <v>121</v>
      </c>
      <c r="B13" s="23" t="s">
        <v>323</v>
      </c>
      <c r="C13" s="131">
        <v>49.5</v>
      </c>
      <c r="D13" s="41">
        <v>16.7</v>
      </c>
      <c r="E13" s="42">
        <v>5.7</v>
      </c>
      <c r="F13" s="43">
        <v>18.899999999999999</v>
      </c>
      <c r="G13" s="131">
        <v>9.1</v>
      </c>
      <c r="H13" s="123">
        <v>317</v>
      </c>
    </row>
    <row r="14" spans="1:9" ht="13.5" thickBot="1" x14ac:dyDescent="0.25">
      <c r="A14" s="3" t="s">
        <v>121</v>
      </c>
      <c r="B14" s="4" t="s">
        <v>492</v>
      </c>
      <c r="C14" s="207">
        <v>91</v>
      </c>
      <c r="D14" s="209">
        <v>4.2</v>
      </c>
      <c r="E14" s="210">
        <v>1.2</v>
      </c>
      <c r="F14" s="211">
        <v>3.6</v>
      </c>
      <c r="G14" s="207">
        <v>0</v>
      </c>
      <c r="H14" s="208">
        <v>335</v>
      </c>
    </row>
    <row r="15" spans="1:9" x14ac:dyDescent="0.2">
      <c r="A15" s="22"/>
      <c r="B15" s="23"/>
      <c r="C15" s="131"/>
      <c r="D15" s="349"/>
      <c r="E15" s="350"/>
      <c r="F15" s="351"/>
      <c r="G15" s="131"/>
      <c r="H15" s="123"/>
    </row>
    <row r="16" spans="1:9" x14ac:dyDescent="0.2">
      <c r="A16" t="s">
        <v>128</v>
      </c>
      <c r="B16" s="7" t="s">
        <v>180</v>
      </c>
      <c r="C16" s="31">
        <v>60.7</v>
      </c>
      <c r="D16" s="44">
        <v>31.5</v>
      </c>
      <c r="E16" s="45">
        <v>0.3</v>
      </c>
      <c r="F16" s="47">
        <v>6.1016949152542379</v>
      </c>
      <c r="G16" s="31">
        <v>1.3559322033898304</v>
      </c>
      <c r="H16" s="122">
        <v>295</v>
      </c>
    </row>
    <row r="17" spans="1:10" x14ac:dyDescent="0.2">
      <c r="A17" t="s">
        <v>77</v>
      </c>
      <c r="C17" s="31"/>
      <c r="D17" s="41"/>
      <c r="E17" s="42"/>
      <c r="F17" s="43"/>
      <c r="G17" s="31"/>
      <c r="H17" s="123"/>
    </row>
    <row r="18" spans="1:10" x14ac:dyDescent="0.2">
      <c r="A18" t="s">
        <v>126</v>
      </c>
      <c r="D18" s="41"/>
      <c r="E18" s="42"/>
      <c r="F18" s="43"/>
      <c r="G18" s="31"/>
      <c r="H18" s="123"/>
    </row>
    <row r="19" spans="1:10" x14ac:dyDescent="0.2">
      <c r="A19" t="s">
        <v>184</v>
      </c>
      <c r="B19" s="7" t="s">
        <v>261</v>
      </c>
      <c r="C19" s="31">
        <v>31</v>
      </c>
      <c r="D19" s="41">
        <v>19.7</v>
      </c>
      <c r="E19" s="42">
        <v>0.3</v>
      </c>
      <c r="F19" s="43">
        <v>43.5</v>
      </c>
      <c r="G19" s="31">
        <v>5.5</v>
      </c>
      <c r="H19" s="123">
        <v>310</v>
      </c>
    </row>
    <row r="20" spans="1:10" x14ac:dyDescent="0.2">
      <c r="A20" t="s">
        <v>127</v>
      </c>
      <c r="C20" s="31"/>
      <c r="D20" s="41"/>
      <c r="E20" s="42"/>
      <c r="F20" s="43"/>
      <c r="G20" s="31"/>
      <c r="H20" s="123"/>
    </row>
    <row r="21" spans="1:10" x14ac:dyDescent="0.2">
      <c r="A21" t="s">
        <v>181</v>
      </c>
      <c r="C21" s="31"/>
      <c r="D21" s="41"/>
      <c r="E21" s="42"/>
      <c r="F21" s="43"/>
      <c r="G21" s="31"/>
      <c r="H21" s="123"/>
    </row>
    <row r="22" spans="1:10" ht="15" x14ac:dyDescent="0.2">
      <c r="A22" t="s">
        <v>182</v>
      </c>
      <c r="C22" s="31"/>
      <c r="D22" s="41"/>
      <c r="E22" s="42"/>
      <c r="F22" s="43"/>
      <c r="G22" s="31"/>
      <c r="H22" s="123"/>
      <c r="J22" s="335"/>
    </row>
    <row r="23" spans="1:10" ht="13.5" thickBot="1" x14ac:dyDescent="0.25">
      <c r="A23" s="3" t="s">
        <v>183</v>
      </c>
      <c r="B23" s="3"/>
      <c r="C23" s="207"/>
      <c r="D23" s="209"/>
      <c r="E23" s="210"/>
      <c r="F23" s="211"/>
      <c r="G23" s="207"/>
      <c r="H23" s="208"/>
    </row>
    <row r="24" spans="1:10" x14ac:dyDescent="0.2">
      <c r="A24" t="s">
        <v>220</v>
      </c>
      <c r="B24" s="7" t="s">
        <v>179</v>
      </c>
      <c r="C24" s="31">
        <v>81.5</v>
      </c>
      <c r="D24" s="349">
        <v>12.5</v>
      </c>
      <c r="E24" s="350">
        <v>0.5</v>
      </c>
      <c r="F24" s="351">
        <v>2</v>
      </c>
      <c r="G24" s="31">
        <v>3.5</v>
      </c>
      <c r="H24" s="121">
        <v>200</v>
      </c>
    </row>
    <row r="25" spans="1:10" x14ac:dyDescent="0.2">
      <c r="A25" t="s">
        <v>220</v>
      </c>
      <c r="B25" s="7" t="s">
        <v>283</v>
      </c>
      <c r="C25" s="31">
        <v>83</v>
      </c>
      <c r="D25" s="41">
        <v>9.5</v>
      </c>
      <c r="E25" s="42">
        <v>0.5</v>
      </c>
      <c r="F25" s="43">
        <v>2</v>
      </c>
      <c r="G25" s="356">
        <v>5</v>
      </c>
      <c r="H25" s="123">
        <v>200</v>
      </c>
    </row>
    <row r="26" spans="1:10" x14ac:dyDescent="0.2">
      <c r="A26" s="22" t="s">
        <v>220</v>
      </c>
      <c r="B26" s="23" t="s">
        <v>323</v>
      </c>
      <c r="C26" s="131">
        <v>81.5</v>
      </c>
      <c r="D26" s="41">
        <v>8.5</v>
      </c>
      <c r="E26" s="42">
        <v>1</v>
      </c>
      <c r="F26" s="43">
        <v>4</v>
      </c>
      <c r="G26" s="356">
        <v>5</v>
      </c>
      <c r="H26" s="123">
        <v>200</v>
      </c>
    </row>
    <row r="27" spans="1:10" ht="13.5" thickBot="1" x14ac:dyDescent="0.25">
      <c r="A27" s="3" t="s">
        <v>220</v>
      </c>
      <c r="B27" s="4" t="s">
        <v>492</v>
      </c>
      <c r="C27" s="207">
        <v>97.5</v>
      </c>
      <c r="D27" s="209">
        <v>1</v>
      </c>
      <c r="E27" s="210">
        <v>0</v>
      </c>
      <c r="F27" s="211">
        <v>1.5</v>
      </c>
      <c r="G27" s="357">
        <v>0</v>
      </c>
      <c r="H27" s="208">
        <v>203</v>
      </c>
    </row>
    <row r="28" spans="1:10" x14ac:dyDescent="0.2">
      <c r="A28" s="22"/>
      <c r="B28" s="23"/>
      <c r="C28" s="131"/>
      <c r="D28" s="349"/>
      <c r="E28" s="350"/>
      <c r="F28" s="351"/>
      <c r="G28" s="131"/>
      <c r="H28" s="123"/>
    </row>
    <row r="29" spans="1:10" x14ac:dyDescent="0.2">
      <c r="A29" t="s">
        <v>242</v>
      </c>
      <c r="B29" s="7" t="s">
        <v>260</v>
      </c>
      <c r="C29" s="31">
        <v>22.5</v>
      </c>
      <c r="D29" s="44">
        <v>31.5</v>
      </c>
      <c r="E29" s="45">
        <v>4.5</v>
      </c>
      <c r="F29" s="47">
        <v>23.5</v>
      </c>
      <c r="G29" s="31">
        <v>18</v>
      </c>
      <c r="H29" s="122">
        <v>200</v>
      </c>
    </row>
    <row r="30" spans="1:10" ht="13.5" thickBot="1" x14ac:dyDescent="0.25">
      <c r="A30" s="3" t="s">
        <v>242</v>
      </c>
      <c r="B30" s="4" t="s">
        <v>323</v>
      </c>
      <c r="C30" s="207">
        <v>16.5</v>
      </c>
      <c r="D30" s="209">
        <v>20</v>
      </c>
      <c r="E30" s="210">
        <v>5.5</v>
      </c>
      <c r="F30" s="211">
        <v>40</v>
      </c>
      <c r="G30" s="207">
        <v>18</v>
      </c>
      <c r="H30" s="124">
        <v>200</v>
      </c>
    </row>
    <row r="31" spans="1:10" x14ac:dyDescent="0.2">
      <c r="A31" t="s">
        <v>243</v>
      </c>
      <c r="B31" s="7" t="s">
        <v>260</v>
      </c>
      <c r="C31" s="31">
        <v>82.5</v>
      </c>
      <c r="D31" s="44">
        <v>9.3000000000000007</v>
      </c>
      <c r="E31" s="45">
        <v>0.5</v>
      </c>
      <c r="F31" s="47">
        <v>2.1</v>
      </c>
      <c r="G31" s="31">
        <v>5.7</v>
      </c>
      <c r="H31" s="226">
        <v>194</v>
      </c>
    </row>
    <row r="32" spans="1:10" x14ac:dyDescent="0.2">
      <c r="A32" t="s">
        <v>243</v>
      </c>
      <c r="B32" s="7" t="s">
        <v>283</v>
      </c>
      <c r="C32" s="31">
        <v>83</v>
      </c>
      <c r="D32" s="41">
        <v>8.8000000000000007</v>
      </c>
      <c r="E32" s="42">
        <v>0.5</v>
      </c>
      <c r="F32" s="43">
        <v>2.1</v>
      </c>
      <c r="G32" s="31">
        <v>5.7</v>
      </c>
      <c r="H32" s="122">
        <v>194</v>
      </c>
      <c r="I32" s="149" t="s">
        <v>285</v>
      </c>
    </row>
    <row r="33" spans="1:17" x14ac:dyDescent="0.2">
      <c r="A33" s="22" t="s">
        <v>243</v>
      </c>
      <c r="B33" s="23" t="s">
        <v>323</v>
      </c>
      <c r="C33" s="131">
        <v>87.1</v>
      </c>
      <c r="D33" s="41">
        <v>3.6</v>
      </c>
      <c r="E33" s="42">
        <v>0.5</v>
      </c>
      <c r="F33" s="43">
        <v>3.1</v>
      </c>
      <c r="G33" s="131">
        <v>5.7</v>
      </c>
      <c r="H33" s="122">
        <v>194</v>
      </c>
      <c r="I33" s="149"/>
    </row>
    <row r="34" spans="1:17" ht="13.5" thickBot="1" x14ac:dyDescent="0.25">
      <c r="A34" s="3" t="s">
        <v>243</v>
      </c>
      <c r="B34" s="4" t="s">
        <v>492</v>
      </c>
      <c r="C34" s="207">
        <v>98.5</v>
      </c>
      <c r="D34" s="209">
        <v>0</v>
      </c>
      <c r="E34" s="210">
        <v>0</v>
      </c>
      <c r="F34" s="211">
        <v>1</v>
      </c>
      <c r="G34" s="207">
        <v>0.5</v>
      </c>
      <c r="H34" s="124">
        <v>197</v>
      </c>
      <c r="I34" s="149"/>
    </row>
    <row r="35" spans="1:17" ht="13.5" thickBot="1" x14ac:dyDescent="0.25">
      <c r="A35" s="22"/>
      <c r="B35" s="23"/>
      <c r="C35" s="131"/>
      <c r="D35" s="44"/>
      <c r="E35" s="45"/>
      <c r="F35" s="47"/>
      <c r="G35" s="131"/>
      <c r="H35" s="122"/>
      <c r="I35" s="149"/>
    </row>
    <row r="36" spans="1:17" x14ac:dyDescent="0.2">
      <c r="A36" t="s">
        <v>284</v>
      </c>
      <c r="B36" s="7" t="s">
        <v>283</v>
      </c>
      <c r="C36" s="31">
        <v>81</v>
      </c>
      <c r="D36" s="349">
        <v>19</v>
      </c>
      <c r="E36" s="350">
        <v>0</v>
      </c>
      <c r="F36" s="351">
        <v>0</v>
      </c>
      <c r="G36" s="31">
        <v>0</v>
      </c>
      <c r="H36" s="226">
        <v>200</v>
      </c>
    </row>
    <row r="37" spans="1:17" x14ac:dyDescent="0.2">
      <c r="A37" s="22" t="s">
        <v>284</v>
      </c>
      <c r="B37" s="23" t="s">
        <v>323</v>
      </c>
      <c r="C37" s="131">
        <v>82.3</v>
      </c>
      <c r="D37" s="41">
        <v>17.2</v>
      </c>
      <c r="E37" s="42">
        <v>0</v>
      </c>
      <c r="F37" s="43">
        <v>0.5</v>
      </c>
      <c r="G37" s="131">
        <v>0</v>
      </c>
      <c r="H37" s="122">
        <v>198</v>
      </c>
    </row>
    <row r="38" spans="1:17" ht="13.5" thickBot="1" x14ac:dyDescent="0.25">
      <c r="A38" s="3" t="s">
        <v>284</v>
      </c>
      <c r="B38" s="4" t="s">
        <v>492</v>
      </c>
      <c r="C38" s="207">
        <v>93.1</v>
      </c>
      <c r="D38" s="209">
        <v>5.9</v>
      </c>
      <c r="E38" s="210">
        <v>0</v>
      </c>
      <c r="F38" s="211">
        <v>1</v>
      </c>
      <c r="G38" s="207">
        <v>0</v>
      </c>
      <c r="H38" s="124">
        <v>203</v>
      </c>
    </row>
    <row r="39" spans="1:17" x14ac:dyDescent="0.2">
      <c r="A39" s="22"/>
      <c r="B39" s="23"/>
      <c r="C39" s="131"/>
      <c r="D39" s="44"/>
      <c r="E39" s="45"/>
      <c r="F39" s="47"/>
      <c r="G39" s="131"/>
      <c r="H39" s="122"/>
    </row>
    <row r="40" spans="1:17" x14ac:dyDescent="0.2">
      <c r="A40" t="s">
        <v>262</v>
      </c>
      <c r="B40" s="7" t="s">
        <v>260</v>
      </c>
      <c r="C40" s="31">
        <v>61</v>
      </c>
      <c r="D40" s="44">
        <v>16</v>
      </c>
      <c r="E40" s="45">
        <v>3</v>
      </c>
      <c r="F40" s="47">
        <v>16</v>
      </c>
      <c r="G40" s="31">
        <v>4</v>
      </c>
      <c r="H40" s="122">
        <v>100</v>
      </c>
    </row>
    <row r="41" spans="1:17" ht="13.5" thickBot="1" x14ac:dyDescent="0.25">
      <c r="A41" s="3" t="s">
        <v>262</v>
      </c>
      <c r="B41" s="4" t="s">
        <v>323</v>
      </c>
      <c r="C41" s="207">
        <v>43.8</v>
      </c>
      <c r="D41" s="209">
        <v>18.2</v>
      </c>
      <c r="E41" s="210">
        <v>4.0999999999999996</v>
      </c>
      <c r="F41" s="211">
        <v>27.3</v>
      </c>
      <c r="G41" s="207">
        <v>6.6</v>
      </c>
      <c r="H41" s="124">
        <v>121</v>
      </c>
    </row>
    <row r="42" spans="1:17" x14ac:dyDescent="0.2">
      <c r="A42" t="s">
        <v>263</v>
      </c>
      <c r="B42" s="7" t="s">
        <v>260</v>
      </c>
      <c r="C42" s="31">
        <v>49</v>
      </c>
      <c r="D42" s="44">
        <v>38.5</v>
      </c>
      <c r="E42" s="45">
        <v>7</v>
      </c>
      <c r="F42" s="47">
        <v>2.5</v>
      </c>
      <c r="G42" s="31">
        <v>3</v>
      </c>
      <c r="H42" s="226">
        <v>200</v>
      </c>
    </row>
    <row r="43" spans="1:17" x14ac:dyDescent="0.2">
      <c r="A43" t="s">
        <v>263</v>
      </c>
      <c r="B43" s="7" t="s">
        <v>283</v>
      </c>
      <c r="C43" s="31">
        <v>44</v>
      </c>
      <c r="D43" s="41">
        <v>46</v>
      </c>
      <c r="E43" s="42">
        <v>6</v>
      </c>
      <c r="F43" s="43">
        <v>2</v>
      </c>
      <c r="G43" s="31">
        <v>2</v>
      </c>
      <c r="H43" s="122">
        <v>300</v>
      </c>
      <c r="I43" s="149" t="s">
        <v>285</v>
      </c>
    </row>
    <row r="44" spans="1:17" x14ac:dyDescent="0.2">
      <c r="A44" s="22" t="s">
        <v>263</v>
      </c>
      <c r="B44" s="23" t="s">
        <v>323</v>
      </c>
      <c r="C44" s="131">
        <v>17.3</v>
      </c>
      <c r="D44" s="41">
        <v>34.700000000000003</v>
      </c>
      <c r="E44" s="42">
        <v>13</v>
      </c>
      <c r="F44" s="43">
        <v>33</v>
      </c>
      <c r="G44" s="131">
        <v>2</v>
      </c>
      <c r="H44" s="122">
        <v>300</v>
      </c>
      <c r="I44" s="149"/>
    </row>
    <row r="45" spans="1:17" ht="13.5" thickBot="1" x14ac:dyDescent="0.25">
      <c r="A45" s="3" t="s">
        <v>263</v>
      </c>
      <c r="B45" s="4" t="s">
        <v>492</v>
      </c>
      <c r="C45" s="207">
        <v>66.8</v>
      </c>
      <c r="D45" s="209">
        <v>16.8</v>
      </c>
      <c r="E45" s="210">
        <v>0.4</v>
      </c>
      <c r="F45" s="211">
        <v>16</v>
      </c>
      <c r="G45" s="207">
        <v>0</v>
      </c>
      <c r="H45" s="124">
        <v>262</v>
      </c>
      <c r="I45" s="149"/>
    </row>
    <row r="46" spans="1:17" ht="13.5" thickBot="1" x14ac:dyDescent="0.25">
      <c r="A46" s="22"/>
      <c r="B46" s="23"/>
      <c r="C46" s="131"/>
      <c r="D46" s="44"/>
      <c r="E46" s="45"/>
      <c r="F46" s="47"/>
      <c r="G46" s="131"/>
      <c r="H46" s="122"/>
      <c r="I46" s="149"/>
    </row>
    <row r="47" spans="1:17" x14ac:dyDescent="0.2">
      <c r="A47" t="s">
        <v>264</v>
      </c>
      <c r="B47" s="7" t="s">
        <v>260</v>
      </c>
      <c r="C47" s="31">
        <v>58.3</v>
      </c>
      <c r="D47" s="44">
        <v>13.1</v>
      </c>
      <c r="E47" s="45">
        <v>2.5</v>
      </c>
      <c r="F47" s="47">
        <v>10.6</v>
      </c>
      <c r="G47" s="31">
        <v>15.6</v>
      </c>
      <c r="H47" s="226">
        <v>199</v>
      </c>
    </row>
    <row r="48" spans="1:17" x14ac:dyDescent="0.2">
      <c r="A48" t="s">
        <v>264</v>
      </c>
      <c r="B48" s="7" t="s">
        <v>283</v>
      </c>
      <c r="C48" s="31">
        <v>86.5</v>
      </c>
      <c r="D48" s="353">
        <v>12.5</v>
      </c>
      <c r="E48" s="354">
        <v>0.5</v>
      </c>
      <c r="F48" s="355">
        <v>0.5</v>
      </c>
      <c r="G48" s="31">
        <v>0</v>
      </c>
      <c r="H48" s="122">
        <v>200</v>
      </c>
      <c r="I48" s="151" t="s">
        <v>286</v>
      </c>
      <c r="J48" s="150"/>
      <c r="K48" s="150"/>
      <c r="L48" s="150"/>
      <c r="M48" s="150"/>
      <c r="N48" s="150"/>
      <c r="O48" s="150"/>
      <c r="P48" s="150"/>
      <c r="Q48" s="150"/>
    </row>
    <row r="49" spans="1:17" x14ac:dyDescent="0.2">
      <c r="A49" s="22" t="s">
        <v>264</v>
      </c>
      <c r="B49" s="23" t="s">
        <v>323</v>
      </c>
      <c r="C49" s="131">
        <v>11.1</v>
      </c>
      <c r="D49" s="41">
        <v>36.4</v>
      </c>
      <c r="E49" s="42">
        <v>4.5</v>
      </c>
      <c r="F49" s="43">
        <v>32.299999999999997</v>
      </c>
      <c r="G49" s="131">
        <v>15.7</v>
      </c>
      <c r="H49" s="122">
        <v>198</v>
      </c>
      <c r="I49" s="151"/>
      <c r="J49" s="150"/>
      <c r="K49" s="150"/>
      <c r="L49" s="150"/>
      <c r="M49" s="150"/>
      <c r="N49" s="150"/>
      <c r="O49" s="150"/>
      <c r="P49" s="150"/>
      <c r="Q49" s="150"/>
    </row>
    <row r="50" spans="1:17" ht="13.5" thickBot="1" x14ac:dyDescent="0.25">
      <c r="A50" s="3" t="s">
        <v>264</v>
      </c>
      <c r="B50" s="4" t="s">
        <v>492</v>
      </c>
      <c r="C50" s="207">
        <v>40.6</v>
      </c>
      <c r="D50" s="209">
        <v>28</v>
      </c>
      <c r="E50" s="210">
        <v>1.7</v>
      </c>
      <c r="F50" s="211">
        <v>29.7</v>
      </c>
      <c r="G50" s="207">
        <v>0</v>
      </c>
      <c r="H50" s="124">
        <v>293</v>
      </c>
      <c r="I50" s="151"/>
      <c r="J50" s="150"/>
      <c r="K50" s="150"/>
      <c r="L50" s="150"/>
      <c r="M50" s="150"/>
      <c r="N50" s="150"/>
      <c r="O50" s="150"/>
      <c r="P50" s="150"/>
      <c r="Q50" s="150"/>
    </row>
    <row r="51" spans="1:17" ht="13.5" thickBot="1" x14ac:dyDescent="0.25">
      <c r="A51" s="22"/>
      <c r="B51" s="23"/>
      <c r="C51" s="131"/>
      <c r="D51" s="44"/>
      <c r="E51" s="45"/>
      <c r="F51" s="47"/>
      <c r="G51" s="131"/>
      <c r="H51" s="122"/>
      <c r="I51" s="151"/>
      <c r="J51" s="150"/>
      <c r="K51" s="150"/>
      <c r="L51" s="150"/>
      <c r="M51" s="150"/>
      <c r="N51" s="150"/>
      <c r="O51" s="150"/>
      <c r="P51" s="150"/>
      <c r="Q51" s="150"/>
    </row>
    <row r="52" spans="1:17" x14ac:dyDescent="0.2">
      <c r="A52" t="s">
        <v>282</v>
      </c>
      <c r="B52" s="7" t="s">
        <v>283</v>
      </c>
      <c r="C52" s="31">
        <v>65.5</v>
      </c>
      <c r="D52" s="349">
        <v>11.5</v>
      </c>
      <c r="E52" s="350">
        <v>3</v>
      </c>
      <c r="F52" s="351">
        <v>16.5</v>
      </c>
      <c r="G52" s="31">
        <v>3.5</v>
      </c>
      <c r="H52" s="226">
        <v>200</v>
      </c>
    </row>
    <row r="53" spans="1:17" x14ac:dyDescent="0.2">
      <c r="A53" s="22" t="s">
        <v>282</v>
      </c>
      <c r="B53" s="23" t="s">
        <v>323</v>
      </c>
      <c r="C53" s="23">
        <v>65.5</v>
      </c>
      <c r="D53" s="41">
        <v>6</v>
      </c>
      <c r="E53" s="358">
        <v>3.5</v>
      </c>
      <c r="F53" s="43">
        <v>21</v>
      </c>
      <c r="G53" s="131">
        <v>4</v>
      </c>
      <c r="H53" s="122">
        <v>200</v>
      </c>
    </row>
    <row r="54" spans="1:17" ht="13.5" thickBot="1" x14ac:dyDescent="0.25">
      <c r="A54" s="3" t="s">
        <v>282</v>
      </c>
      <c r="B54" s="4" t="s">
        <v>492</v>
      </c>
      <c r="C54" s="4">
        <v>97.1</v>
      </c>
      <c r="D54" s="209">
        <v>1</v>
      </c>
      <c r="E54" s="227">
        <v>0</v>
      </c>
      <c r="F54" s="211">
        <v>1.9</v>
      </c>
      <c r="G54" s="207">
        <v>0</v>
      </c>
      <c r="H54" s="124">
        <v>207</v>
      </c>
    </row>
    <row r="55" spans="1:17" x14ac:dyDescent="0.2">
      <c r="H55" s="8"/>
    </row>
    <row r="56" spans="1:17" x14ac:dyDescent="0.2">
      <c r="A56" s="24" t="s">
        <v>324</v>
      </c>
      <c r="C56" t="s">
        <v>331</v>
      </c>
      <c r="H56" s="8"/>
    </row>
    <row r="57" spans="1:17" ht="13.5" thickBot="1" x14ac:dyDescent="0.25">
      <c r="B57" s="3"/>
      <c r="H57" s="8"/>
    </row>
    <row r="58" spans="1:17" x14ac:dyDescent="0.2">
      <c r="A58" s="217" t="s">
        <v>326</v>
      </c>
      <c r="B58" s="230" t="s">
        <v>365</v>
      </c>
      <c r="C58" s="214" t="s">
        <v>325</v>
      </c>
      <c r="D58" s="120"/>
      <c r="E58" s="117"/>
      <c r="F58" s="113" t="s">
        <v>332</v>
      </c>
      <c r="H58" s="8"/>
    </row>
    <row r="59" spans="1:17" ht="13.5" thickBot="1" x14ac:dyDescent="0.25">
      <c r="A59" s="215"/>
      <c r="B59" s="3" t="s">
        <v>327</v>
      </c>
      <c r="C59" s="3" t="s">
        <v>328</v>
      </c>
      <c r="D59" s="3" t="s">
        <v>329</v>
      </c>
      <c r="E59" s="213" t="s">
        <v>330</v>
      </c>
    </row>
    <row r="60" spans="1:17" x14ac:dyDescent="0.2">
      <c r="A60" s="215" t="s">
        <v>327</v>
      </c>
      <c r="B60" s="118"/>
      <c r="C60" s="120"/>
      <c r="D60" s="120"/>
      <c r="E60" s="117"/>
    </row>
    <row r="61" spans="1:17" x14ac:dyDescent="0.2">
      <c r="A61" s="215" t="s">
        <v>328</v>
      </c>
      <c r="B61" s="218"/>
      <c r="C61" s="22"/>
      <c r="D61" s="22"/>
      <c r="E61" s="219"/>
    </row>
    <row r="62" spans="1:17" x14ac:dyDescent="0.2">
      <c r="A62" s="215" t="s">
        <v>329</v>
      </c>
      <c r="B62" s="218"/>
      <c r="C62" s="22"/>
      <c r="D62" s="22"/>
      <c r="E62" s="219"/>
    </row>
    <row r="63" spans="1:17" ht="13.5" thickBot="1" x14ac:dyDescent="0.25">
      <c r="A63" s="216" t="s">
        <v>330</v>
      </c>
      <c r="B63" s="212"/>
      <c r="C63" s="3"/>
      <c r="D63" s="3"/>
      <c r="E63" s="213"/>
    </row>
    <row r="64" spans="1:17" ht="13.5" thickBot="1" x14ac:dyDescent="0.25">
      <c r="B64" s="69"/>
    </row>
    <row r="65" spans="1:6" x14ac:dyDescent="0.2">
      <c r="A65" s="217" t="s">
        <v>326</v>
      </c>
      <c r="B65" s="230" t="s">
        <v>365</v>
      </c>
      <c r="C65" s="214" t="s">
        <v>325</v>
      </c>
      <c r="D65" s="120"/>
      <c r="E65" s="117"/>
      <c r="F65" s="113" t="s">
        <v>333</v>
      </c>
    </row>
    <row r="66" spans="1:6" ht="13.5" thickBot="1" x14ac:dyDescent="0.25">
      <c r="A66" s="215"/>
      <c r="B66" s="3" t="s">
        <v>327</v>
      </c>
      <c r="C66" s="3" t="s">
        <v>328</v>
      </c>
      <c r="D66" s="3" t="s">
        <v>329</v>
      </c>
      <c r="E66" s="213" t="s">
        <v>330</v>
      </c>
    </row>
    <row r="67" spans="1:6" x14ac:dyDescent="0.2">
      <c r="A67" s="215" t="s">
        <v>327</v>
      </c>
      <c r="B67" s="118"/>
      <c r="C67" s="120"/>
      <c r="D67" s="120"/>
      <c r="E67" s="117"/>
    </row>
    <row r="68" spans="1:6" x14ac:dyDescent="0.2">
      <c r="A68" s="215" t="s">
        <v>328</v>
      </c>
      <c r="B68" s="218"/>
      <c r="C68" s="22"/>
      <c r="D68" s="22"/>
      <c r="E68" s="219"/>
    </row>
    <row r="69" spans="1:6" x14ac:dyDescent="0.2">
      <c r="A69" s="215" t="s">
        <v>329</v>
      </c>
      <c r="B69" s="218"/>
      <c r="C69" s="22"/>
      <c r="D69" s="22"/>
      <c r="E69" s="219"/>
    </row>
    <row r="70" spans="1:6" ht="13.5" thickBot="1" x14ac:dyDescent="0.25">
      <c r="A70" s="216" t="s">
        <v>330</v>
      </c>
      <c r="B70" s="212"/>
      <c r="C70" s="3"/>
      <c r="D70" s="3"/>
      <c r="E70" s="213"/>
    </row>
    <row r="71" spans="1:6" ht="13.5" thickBot="1" x14ac:dyDescent="0.25"/>
    <row r="72" spans="1:6" x14ac:dyDescent="0.2">
      <c r="A72" s="217" t="s">
        <v>326</v>
      </c>
      <c r="B72" s="230" t="s">
        <v>363</v>
      </c>
      <c r="C72" s="214" t="s">
        <v>325</v>
      </c>
      <c r="D72" s="120"/>
      <c r="E72" s="117"/>
      <c r="F72" s="113" t="s">
        <v>334</v>
      </c>
    </row>
    <row r="73" spans="1:6" ht="13.5" thickBot="1" x14ac:dyDescent="0.25">
      <c r="A73" s="215"/>
      <c r="B73" s="3" t="s">
        <v>327</v>
      </c>
      <c r="C73" s="3" t="s">
        <v>328</v>
      </c>
      <c r="D73" s="3" t="s">
        <v>329</v>
      </c>
      <c r="E73" s="213" t="s">
        <v>330</v>
      </c>
    </row>
    <row r="74" spans="1:6" x14ac:dyDescent="0.2">
      <c r="A74" s="215" t="s">
        <v>327</v>
      </c>
      <c r="B74" s="118"/>
      <c r="C74" s="120"/>
      <c r="D74" s="120"/>
      <c r="E74" s="117"/>
    </row>
    <row r="75" spans="1:6" x14ac:dyDescent="0.2">
      <c r="A75" s="215" t="s">
        <v>328</v>
      </c>
      <c r="B75" s="218"/>
      <c r="C75" s="22"/>
      <c r="D75" s="22"/>
      <c r="E75" s="219"/>
    </row>
    <row r="76" spans="1:6" x14ac:dyDescent="0.2">
      <c r="A76" s="215" t="s">
        <v>329</v>
      </c>
      <c r="B76" s="218"/>
      <c r="C76" s="22"/>
      <c r="D76" s="22"/>
      <c r="E76" s="219"/>
    </row>
    <row r="77" spans="1:6" ht="13.5" thickBot="1" x14ac:dyDescent="0.25">
      <c r="A77" s="216" t="s">
        <v>330</v>
      </c>
      <c r="B77" s="212"/>
      <c r="C77" s="3"/>
      <c r="D77" s="3"/>
      <c r="E77" s="213"/>
    </row>
    <row r="78" spans="1:6" ht="13.5" thickBot="1" x14ac:dyDescent="0.25"/>
    <row r="79" spans="1:6" x14ac:dyDescent="0.2">
      <c r="A79" s="217" t="s">
        <v>326</v>
      </c>
      <c r="B79" s="230" t="s">
        <v>365</v>
      </c>
      <c r="C79" s="214" t="s">
        <v>325</v>
      </c>
      <c r="D79" s="120"/>
      <c r="E79" s="117"/>
      <c r="F79" s="24" t="s">
        <v>335</v>
      </c>
    </row>
    <row r="80" spans="1:6" ht="13.5" thickBot="1" x14ac:dyDescent="0.25">
      <c r="A80" s="215"/>
      <c r="B80" s="3" t="s">
        <v>327</v>
      </c>
      <c r="C80" s="3" t="s">
        <v>328</v>
      </c>
      <c r="D80" s="3" t="s">
        <v>329</v>
      </c>
      <c r="E80" s="213" t="s">
        <v>330</v>
      </c>
    </row>
    <row r="81" spans="1:6" x14ac:dyDescent="0.2">
      <c r="A81" s="215" t="s">
        <v>327</v>
      </c>
      <c r="B81" s="118"/>
      <c r="C81" s="120"/>
      <c r="D81" s="120"/>
      <c r="E81" s="117"/>
    </row>
    <row r="82" spans="1:6" x14ac:dyDescent="0.2">
      <c r="A82" s="215" t="s">
        <v>328</v>
      </c>
      <c r="B82" s="218"/>
      <c r="C82" s="22"/>
      <c r="D82" s="22"/>
      <c r="E82" s="219"/>
    </row>
    <row r="83" spans="1:6" x14ac:dyDescent="0.2">
      <c r="A83" s="215" t="s">
        <v>329</v>
      </c>
      <c r="B83" s="218"/>
      <c r="C83" s="22"/>
      <c r="D83" s="22"/>
      <c r="E83" s="219"/>
    </row>
    <row r="84" spans="1:6" ht="13.5" thickBot="1" x14ac:dyDescent="0.25">
      <c r="A84" s="216" t="s">
        <v>330</v>
      </c>
      <c r="B84" s="212"/>
      <c r="C84" s="3"/>
      <c r="D84" s="3"/>
      <c r="E84" s="213"/>
    </row>
    <row r="85" spans="1:6" ht="13.5" thickBot="1" x14ac:dyDescent="0.25">
      <c r="B85" s="69"/>
    </row>
    <row r="86" spans="1:6" x14ac:dyDescent="0.2">
      <c r="A86" s="217" t="s">
        <v>326</v>
      </c>
      <c r="B86" s="230" t="s">
        <v>365</v>
      </c>
      <c r="C86" s="214" t="s">
        <v>325</v>
      </c>
      <c r="D86" s="120"/>
      <c r="E86" s="117"/>
      <c r="F86" s="24" t="s">
        <v>336</v>
      </c>
    </row>
    <row r="87" spans="1:6" ht="13.5" thickBot="1" x14ac:dyDescent="0.25">
      <c r="A87" s="215"/>
      <c r="B87" s="3" t="s">
        <v>327</v>
      </c>
      <c r="C87" s="3" t="s">
        <v>328</v>
      </c>
      <c r="D87" s="3" t="s">
        <v>329</v>
      </c>
      <c r="E87" s="213" t="s">
        <v>330</v>
      </c>
    </row>
    <row r="88" spans="1:6" x14ac:dyDescent="0.2">
      <c r="A88" s="215" t="s">
        <v>327</v>
      </c>
      <c r="B88" s="118"/>
      <c r="C88" s="120"/>
      <c r="D88" s="120"/>
      <c r="E88" s="117"/>
    </row>
    <row r="89" spans="1:6" x14ac:dyDescent="0.2">
      <c r="A89" s="215" t="s">
        <v>328</v>
      </c>
      <c r="B89" s="218"/>
      <c r="C89" s="22"/>
      <c r="D89" s="22"/>
      <c r="E89" s="219"/>
    </row>
    <row r="90" spans="1:6" x14ac:dyDescent="0.2">
      <c r="A90" s="215" t="s">
        <v>329</v>
      </c>
      <c r="B90" s="218"/>
      <c r="C90" s="22"/>
      <c r="D90" s="22"/>
      <c r="E90" s="219"/>
    </row>
    <row r="91" spans="1:6" ht="13.5" thickBot="1" x14ac:dyDescent="0.25">
      <c r="A91" s="216" t="s">
        <v>330</v>
      </c>
      <c r="B91" s="212"/>
      <c r="C91" s="3"/>
      <c r="D91" s="3"/>
      <c r="E91" s="213"/>
    </row>
    <row r="92" spans="1:6" ht="13.5" thickBot="1" x14ac:dyDescent="0.25">
      <c r="B92" s="69"/>
    </row>
    <row r="93" spans="1:6" x14ac:dyDescent="0.2">
      <c r="A93" s="217" t="s">
        <v>326</v>
      </c>
      <c r="B93" s="230" t="s">
        <v>363</v>
      </c>
      <c r="C93" s="214" t="s">
        <v>325</v>
      </c>
      <c r="D93" s="120"/>
      <c r="E93" s="117"/>
      <c r="F93" s="113" t="s">
        <v>337</v>
      </c>
    </row>
    <row r="94" spans="1:6" ht="13.5" thickBot="1" x14ac:dyDescent="0.25">
      <c r="A94" s="215"/>
      <c r="B94" s="3" t="s">
        <v>327</v>
      </c>
      <c r="C94" s="3" t="s">
        <v>328</v>
      </c>
      <c r="D94" s="3" t="s">
        <v>329</v>
      </c>
      <c r="E94" s="213" t="s">
        <v>330</v>
      </c>
    </row>
    <row r="95" spans="1:6" x14ac:dyDescent="0.2">
      <c r="A95" s="215" t="s">
        <v>327</v>
      </c>
      <c r="B95" s="118"/>
      <c r="C95" s="120"/>
      <c r="D95" s="120"/>
      <c r="E95" s="117"/>
    </row>
    <row r="96" spans="1:6" x14ac:dyDescent="0.2">
      <c r="A96" s="215" t="s">
        <v>328</v>
      </c>
      <c r="B96" s="218"/>
      <c r="C96" s="22"/>
      <c r="D96" s="22"/>
      <c r="E96" s="219"/>
    </row>
    <row r="97" spans="1:12" x14ac:dyDescent="0.2">
      <c r="A97" s="215" t="s">
        <v>329</v>
      </c>
      <c r="B97" s="218"/>
      <c r="C97" s="22"/>
      <c r="D97" s="22"/>
      <c r="E97" s="219"/>
    </row>
    <row r="98" spans="1:12" ht="13.5" thickBot="1" x14ac:dyDescent="0.25">
      <c r="A98" s="216" t="s">
        <v>330</v>
      </c>
      <c r="B98" s="212"/>
      <c r="C98" s="3"/>
      <c r="D98" s="3"/>
      <c r="E98" s="213"/>
    </row>
    <row r="99" spans="1:12" ht="13.5" thickBot="1" x14ac:dyDescent="0.25">
      <c r="B99" s="69"/>
    </row>
    <row r="100" spans="1:12" x14ac:dyDescent="0.2">
      <c r="A100" s="217" t="s">
        <v>326</v>
      </c>
      <c r="B100" s="230" t="s">
        <v>363</v>
      </c>
      <c r="C100" s="214" t="s">
        <v>325</v>
      </c>
      <c r="D100" s="120"/>
      <c r="E100" s="117"/>
      <c r="F100" s="113" t="s">
        <v>338</v>
      </c>
    </row>
    <row r="101" spans="1:12" ht="13.5" thickBot="1" x14ac:dyDescent="0.25">
      <c r="A101" s="215"/>
      <c r="B101" s="3" t="s">
        <v>327</v>
      </c>
      <c r="C101" s="3" t="s">
        <v>328</v>
      </c>
      <c r="D101" s="3" t="s">
        <v>329</v>
      </c>
      <c r="E101" s="213" t="s">
        <v>330</v>
      </c>
    </row>
    <row r="102" spans="1:12" x14ac:dyDescent="0.2">
      <c r="A102" s="215" t="s">
        <v>327</v>
      </c>
      <c r="B102" s="118"/>
      <c r="C102" s="120"/>
      <c r="D102" s="120"/>
      <c r="E102" s="117"/>
    </row>
    <row r="103" spans="1:12" x14ac:dyDescent="0.2">
      <c r="A103" s="215" t="s">
        <v>328</v>
      </c>
      <c r="B103" s="218"/>
      <c r="C103" s="22"/>
      <c r="D103" s="22"/>
      <c r="E103" s="219"/>
    </row>
    <row r="104" spans="1:12" x14ac:dyDescent="0.2">
      <c r="A104" s="215" t="s">
        <v>329</v>
      </c>
      <c r="B104" s="218"/>
      <c r="C104" s="22"/>
      <c r="D104" s="22"/>
      <c r="E104" s="219"/>
    </row>
    <row r="105" spans="1:12" ht="13.5" thickBot="1" x14ac:dyDescent="0.25">
      <c r="A105" s="216" t="s">
        <v>330</v>
      </c>
      <c r="B105" s="212"/>
      <c r="C105" s="3"/>
      <c r="D105" s="3"/>
      <c r="E105" s="213"/>
    </row>
    <row r="106" spans="1:12" ht="13.5" thickBot="1" x14ac:dyDescent="0.25">
      <c r="B106" s="69"/>
      <c r="I106" s="3"/>
    </row>
    <row r="107" spans="1:12" x14ac:dyDescent="0.2">
      <c r="A107" s="217" t="s">
        <v>326</v>
      </c>
      <c r="B107" s="230" t="s">
        <v>362</v>
      </c>
      <c r="C107" s="214" t="s">
        <v>325</v>
      </c>
      <c r="D107" s="120"/>
      <c r="E107" s="117"/>
      <c r="F107" s="113" t="s">
        <v>339</v>
      </c>
      <c r="H107" s="217" t="s">
        <v>326</v>
      </c>
      <c r="I107" s="230" t="s">
        <v>363</v>
      </c>
      <c r="J107" s="214" t="s">
        <v>325</v>
      </c>
      <c r="K107" s="120"/>
      <c r="L107" s="117"/>
    </row>
    <row r="108" spans="1:12" ht="13.5" thickBot="1" x14ac:dyDescent="0.25">
      <c r="A108" s="215"/>
      <c r="B108" s="3" t="s">
        <v>327</v>
      </c>
      <c r="C108" s="3" t="s">
        <v>328</v>
      </c>
      <c r="D108" s="3" t="s">
        <v>329</v>
      </c>
      <c r="E108" s="213" t="s">
        <v>330</v>
      </c>
      <c r="H108" s="215"/>
      <c r="I108" s="3" t="s">
        <v>327</v>
      </c>
      <c r="J108" s="3" t="s">
        <v>328</v>
      </c>
      <c r="K108" s="3" t="s">
        <v>329</v>
      </c>
      <c r="L108" s="213" t="s">
        <v>330</v>
      </c>
    </row>
    <row r="109" spans="1:12" x14ac:dyDescent="0.2">
      <c r="A109" s="215" t="s">
        <v>327</v>
      </c>
      <c r="B109" s="118"/>
      <c r="C109" s="120"/>
      <c r="D109" s="120"/>
      <c r="E109" s="117"/>
      <c r="H109" s="215" t="s">
        <v>327</v>
      </c>
      <c r="L109" s="219"/>
    </row>
    <row r="110" spans="1:12" x14ac:dyDescent="0.2">
      <c r="A110" s="215" t="s">
        <v>328</v>
      </c>
      <c r="B110" s="218"/>
      <c r="C110" s="22"/>
      <c r="D110" s="22"/>
      <c r="E110" s="219"/>
      <c r="H110" s="215" t="s">
        <v>328</v>
      </c>
      <c r="L110" s="219"/>
    </row>
    <row r="111" spans="1:12" x14ac:dyDescent="0.2">
      <c r="A111" s="215" t="s">
        <v>329</v>
      </c>
      <c r="B111" s="218"/>
      <c r="C111" s="22"/>
      <c r="D111" s="22"/>
      <c r="E111" s="219"/>
      <c r="H111" s="215" t="s">
        <v>329</v>
      </c>
      <c r="L111" s="219"/>
    </row>
    <row r="112" spans="1:12" ht="13.5" thickBot="1" x14ac:dyDescent="0.25">
      <c r="A112" s="216" t="s">
        <v>330</v>
      </c>
      <c r="B112" s="212"/>
      <c r="C112" s="3"/>
      <c r="D112" s="3"/>
      <c r="E112" s="213"/>
      <c r="H112" s="216" t="s">
        <v>330</v>
      </c>
      <c r="I112" s="3"/>
      <c r="J112" s="3"/>
      <c r="K112" s="3"/>
      <c r="L112" s="213"/>
    </row>
    <row r="113" spans="1:19" ht="13.5" thickBot="1" x14ac:dyDescent="0.25">
      <c r="B113" s="69"/>
      <c r="I113" s="3"/>
      <c r="P113" s="3"/>
    </row>
    <row r="114" spans="1:19" x14ac:dyDescent="0.2">
      <c r="A114" s="217" t="s">
        <v>326</v>
      </c>
      <c r="B114" s="230" t="s">
        <v>362</v>
      </c>
      <c r="C114" s="214" t="s">
        <v>325</v>
      </c>
      <c r="D114" s="120"/>
      <c r="E114" s="117"/>
      <c r="F114" s="113" t="s">
        <v>340</v>
      </c>
      <c r="H114" s="217" t="s">
        <v>326</v>
      </c>
      <c r="I114" s="230" t="s">
        <v>363</v>
      </c>
      <c r="J114" s="214" t="s">
        <v>325</v>
      </c>
      <c r="K114" s="120"/>
      <c r="L114" s="117"/>
      <c r="O114" s="217" t="s">
        <v>326</v>
      </c>
      <c r="P114" s="230" t="s">
        <v>364</v>
      </c>
      <c r="Q114" s="214" t="s">
        <v>325</v>
      </c>
      <c r="R114" s="120"/>
      <c r="S114" s="117"/>
    </row>
    <row r="115" spans="1:19" ht="13.5" thickBot="1" x14ac:dyDescent="0.25">
      <c r="A115" s="215"/>
      <c r="B115" s="3" t="s">
        <v>327</v>
      </c>
      <c r="C115" s="3" t="s">
        <v>328</v>
      </c>
      <c r="D115" s="3" t="s">
        <v>329</v>
      </c>
      <c r="E115" s="213" t="s">
        <v>330</v>
      </c>
      <c r="H115" s="215"/>
      <c r="I115" s="3" t="s">
        <v>327</v>
      </c>
      <c r="J115" s="3" t="s">
        <v>328</v>
      </c>
      <c r="K115" s="3" t="s">
        <v>329</v>
      </c>
      <c r="L115" s="213" t="s">
        <v>330</v>
      </c>
      <c r="O115" s="215"/>
      <c r="P115" s="3" t="s">
        <v>327</v>
      </c>
      <c r="Q115" s="3" t="s">
        <v>328</v>
      </c>
      <c r="R115" s="3" t="s">
        <v>329</v>
      </c>
      <c r="S115" s="213" t="s">
        <v>330</v>
      </c>
    </row>
    <row r="116" spans="1:19" x14ac:dyDescent="0.2">
      <c r="A116" s="215" t="s">
        <v>327</v>
      </c>
      <c r="B116" s="118"/>
      <c r="C116" s="120"/>
      <c r="D116" s="120"/>
      <c r="E116" s="117"/>
      <c r="H116" s="215" t="s">
        <v>327</v>
      </c>
      <c r="I116" s="118"/>
      <c r="J116" s="120"/>
      <c r="K116" s="120"/>
      <c r="L116" s="117"/>
      <c r="O116" s="215" t="s">
        <v>327</v>
      </c>
      <c r="P116" s="118"/>
      <c r="Q116" s="120"/>
      <c r="R116" s="120"/>
      <c r="S116" s="117"/>
    </row>
    <row r="117" spans="1:19" x14ac:dyDescent="0.2">
      <c r="A117" s="215" t="s">
        <v>328</v>
      </c>
      <c r="B117" s="218"/>
      <c r="C117" s="22"/>
      <c r="D117" s="22"/>
      <c r="E117" s="219"/>
      <c r="H117" s="215" t="s">
        <v>328</v>
      </c>
      <c r="I117" s="218"/>
      <c r="J117" s="22"/>
      <c r="K117" s="22"/>
      <c r="L117" s="219"/>
      <c r="O117" s="215" t="s">
        <v>328</v>
      </c>
      <c r="P117" s="218"/>
      <c r="Q117" s="22"/>
      <c r="R117" s="22"/>
      <c r="S117" s="219"/>
    </row>
    <row r="118" spans="1:19" x14ac:dyDescent="0.2">
      <c r="A118" s="215" t="s">
        <v>329</v>
      </c>
      <c r="B118" s="218"/>
      <c r="C118" s="22"/>
      <c r="D118" s="22"/>
      <c r="E118" s="219"/>
      <c r="H118" s="215" t="s">
        <v>329</v>
      </c>
      <c r="I118" s="218"/>
      <c r="J118" s="22"/>
      <c r="K118" s="22"/>
      <c r="L118" s="219"/>
      <c r="O118" s="215" t="s">
        <v>329</v>
      </c>
      <c r="P118" s="218"/>
      <c r="Q118" s="22"/>
      <c r="R118" s="22"/>
      <c r="S118" s="219"/>
    </row>
    <row r="119" spans="1:19" ht="13.5" thickBot="1" x14ac:dyDescent="0.25">
      <c r="A119" s="216" t="s">
        <v>330</v>
      </c>
      <c r="B119" s="212"/>
      <c r="C119" s="3"/>
      <c r="D119" s="3"/>
      <c r="E119" s="213"/>
      <c r="H119" s="216" t="s">
        <v>330</v>
      </c>
      <c r="I119" s="212"/>
      <c r="J119" s="3"/>
      <c r="K119" s="3"/>
      <c r="L119" s="213"/>
      <c r="O119" s="216" t="s">
        <v>330</v>
      </c>
      <c r="P119" s="212"/>
      <c r="Q119" s="3"/>
      <c r="R119" s="3"/>
      <c r="S119" s="213"/>
    </row>
    <row r="120" spans="1:19" ht="13.5" thickBot="1" x14ac:dyDescent="0.25">
      <c r="B120" s="69"/>
      <c r="I120" s="69"/>
    </row>
    <row r="121" spans="1:19" x14ac:dyDescent="0.2">
      <c r="A121" s="217" t="s">
        <v>326</v>
      </c>
      <c r="B121" s="230" t="s">
        <v>363</v>
      </c>
      <c r="C121" s="214" t="s">
        <v>325</v>
      </c>
      <c r="D121" s="120"/>
      <c r="E121" s="117"/>
      <c r="F121" s="113" t="s">
        <v>341</v>
      </c>
      <c r="H121" s="217" t="s">
        <v>326</v>
      </c>
      <c r="I121" s="230" t="s">
        <v>364</v>
      </c>
      <c r="J121" s="214" t="s">
        <v>325</v>
      </c>
      <c r="K121" s="120"/>
      <c r="L121" s="117"/>
    </row>
    <row r="122" spans="1:19" ht="13.5" thickBot="1" x14ac:dyDescent="0.25">
      <c r="A122" s="215"/>
      <c r="B122" s="3" t="s">
        <v>327</v>
      </c>
      <c r="C122" s="3" t="s">
        <v>328</v>
      </c>
      <c r="D122" s="3" t="s">
        <v>329</v>
      </c>
      <c r="E122" s="213" t="s">
        <v>330</v>
      </c>
      <c r="H122" s="215"/>
      <c r="I122" s="3" t="s">
        <v>327</v>
      </c>
      <c r="J122" s="3" t="s">
        <v>328</v>
      </c>
      <c r="K122" s="3" t="s">
        <v>329</v>
      </c>
      <c r="L122" s="213" t="s">
        <v>330</v>
      </c>
    </row>
    <row r="123" spans="1:19" x14ac:dyDescent="0.2">
      <c r="A123" s="215" t="s">
        <v>327</v>
      </c>
      <c r="B123" s="118"/>
      <c r="C123" s="120"/>
      <c r="D123" s="120"/>
      <c r="E123" s="117"/>
      <c r="H123" s="215" t="s">
        <v>327</v>
      </c>
      <c r="L123" s="219"/>
    </row>
    <row r="124" spans="1:19" x14ac:dyDescent="0.2">
      <c r="A124" s="215" t="s">
        <v>328</v>
      </c>
      <c r="B124" s="218"/>
      <c r="C124" s="22"/>
      <c r="D124" s="22"/>
      <c r="E124" s="219"/>
      <c r="H124" s="215" t="s">
        <v>328</v>
      </c>
      <c r="L124" s="219"/>
    </row>
    <row r="125" spans="1:19" x14ac:dyDescent="0.2">
      <c r="A125" s="215" t="s">
        <v>329</v>
      </c>
      <c r="B125" s="218"/>
      <c r="C125" s="22"/>
      <c r="D125" s="22"/>
      <c r="E125" s="219"/>
      <c r="H125" s="215" t="s">
        <v>329</v>
      </c>
      <c r="L125" s="219"/>
    </row>
    <row r="126" spans="1:19" ht="13.5" thickBot="1" x14ac:dyDescent="0.25">
      <c r="A126" s="216" t="s">
        <v>330</v>
      </c>
      <c r="B126" s="212"/>
      <c r="C126" s="3"/>
      <c r="D126" s="3"/>
      <c r="E126" s="213"/>
      <c r="H126" s="216" t="s">
        <v>330</v>
      </c>
      <c r="I126" s="3"/>
      <c r="J126" s="3"/>
      <c r="K126" s="3"/>
      <c r="L126" s="213"/>
    </row>
  </sheetData>
  <phoneticPr fontId="0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Header>&amp;LKluane Monitoring Program&amp;C&amp;A&amp;R&amp;F</oddHeader>
    <oddFooter>&amp;CPage &amp;P&amp;R&amp;D 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6"/>
  <sheetViews>
    <sheetView workbookViewId="0">
      <selection activeCell="M13" sqref="M13"/>
    </sheetView>
  </sheetViews>
  <sheetFormatPr defaultRowHeight="12.75" x14ac:dyDescent="0.2"/>
  <cols>
    <col min="1" max="1" width="15.28515625" customWidth="1"/>
    <col min="2" max="3" width="13.5703125" customWidth="1"/>
    <col min="4" max="4" width="14.85546875" customWidth="1"/>
    <col min="5" max="5" width="16" customWidth="1"/>
    <col min="6" max="6" width="19.28515625" customWidth="1"/>
    <col min="7" max="8" width="12.140625" customWidth="1"/>
    <col min="9" max="9" width="14.5703125" customWidth="1"/>
    <col min="10" max="10" width="15.5703125" customWidth="1"/>
    <col min="11" max="11" width="19.28515625" customWidth="1"/>
  </cols>
  <sheetData>
    <row r="1" spans="1:19" ht="21.95" customHeight="1" thickBot="1" x14ac:dyDescent="0.3">
      <c r="A1" s="314" t="s">
        <v>458</v>
      </c>
      <c r="B1" s="76"/>
      <c r="C1" s="76"/>
      <c r="D1" s="76"/>
      <c r="E1" s="77"/>
    </row>
    <row r="2" spans="1:19" ht="15.95" customHeight="1" x14ac:dyDescent="0.2">
      <c r="A2" s="313" t="s">
        <v>466</v>
      </c>
    </row>
    <row r="3" spans="1:19" ht="15.95" customHeight="1" x14ac:dyDescent="0.2">
      <c r="A3" s="313" t="s">
        <v>467</v>
      </c>
    </row>
    <row r="4" spans="1:19" ht="15.95" customHeight="1" x14ac:dyDescent="0.2">
      <c r="A4" s="313" t="s">
        <v>468</v>
      </c>
    </row>
    <row r="5" spans="1:19" ht="15.95" customHeight="1" thickBot="1" x14ac:dyDescent="0.25"/>
    <row r="6" spans="1:19" ht="15.95" customHeight="1" thickBot="1" x14ac:dyDescent="0.3">
      <c r="B6" s="305"/>
      <c r="C6" s="109"/>
      <c r="D6" s="306" t="s">
        <v>464</v>
      </c>
      <c r="E6" s="306"/>
      <c r="F6" s="110"/>
      <c r="G6" s="310"/>
      <c r="H6" s="321"/>
      <c r="I6" s="311" t="s">
        <v>465</v>
      </c>
      <c r="J6" s="311"/>
      <c r="K6" s="312"/>
    </row>
    <row r="7" spans="1:19" ht="27.95" customHeight="1" thickBot="1" x14ac:dyDescent="0.25">
      <c r="A7" s="303" t="s">
        <v>459</v>
      </c>
      <c r="B7" s="307" t="s">
        <v>469</v>
      </c>
      <c r="C7" s="307" t="s">
        <v>471</v>
      </c>
      <c r="D7" s="307" t="s">
        <v>461</v>
      </c>
      <c r="E7" s="308" t="s">
        <v>462</v>
      </c>
      <c r="F7" s="309" t="s">
        <v>463</v>
      </c>
      <c r="G7" s="307" t="s">
        <v>460</v>
      </c>
      <c r="H7" s="307" t="s">
        <v>471</v>
      </c>
      <c r="I7" s="307" t="s">
        <v>461</v>
      </c>
      <c r="J7" s="308" t="s">
        <v>462</v>
      </c>
      <c r="K7" s="309" t="s">
        <v>463</v>
      </c>
      <c r="L7" s="302"/>
      <c r="M7" s="302"/>
      <c r="N7" s="302"/>
      <c r="O7" s="302"/>
      <c r="P7" s="302"/>
      <c r="Q7" s="302"/>
      <c r="R7" s="302"/>
      <c r="S7" s="302"/>
    </row>
    <row r="8" spans="1:19" ht="20.100000000000001" customHeight="1" x14ac:dyDescent="0.2">
      <c r="A8" s="189">
        <v>1997</v>
      </c>
      <c r="G8" s="318"/>
      <c r="H8" s="22"/>
    </row>
    <row r="9" spans="1:19" ht="20.100000000000001" customHeight="1" thickBot="1" x14ac:dyDescent="0.25">
      <c r="A9" s="315" t="s">
        <v>470</v>
      </c>
      <c r="B9" s="3"/>
      <c r="C9" s="3"/>
      <c r="D9" s="3"/>
      <c r="E9" s="3"/>
      <c r="F9" s="3"/>
      <c r="G9" s="319"/>
      <c r="H9" s="3"/>
      <c r="I9" s="3"/>
      <c r="J9" s="3"/>
      <c r="K9" s="3"/>
    </row>
    <row r="10" spans="1:19" ht="20.100000000000001" customHeight="1" x14ac:dyDescent="0.2">
      <c r="A10" s="316">
        <v>2001</v>
      </c>
      <c r="G10" s="320"/>
      <c r="H10" s="22"/>
    </row>
    <row r="11" spans="1:19" ht="20.100000000000001" customHeight="1" thickBot="1" x14ac:dyDescent="0.25">
      <c r="A11" s="315" t="s">
        <v>470</v>
      </c>
      <c r="B11" s="3"/>
      <c r="C11" s="3"/>
      <c r="D11" s="3"/>
      <c r="E11" s="3"/>
      <c r="F11" s="3"/>
      <c r="G11" s="319"/>
      <c r="H11" s="3"/>
      <c r="I11" s="3"/>
      <c r="J11" s="3"/>
      <c r="K11" s="3"/>
    </row>
    <row r="12" spans="1:19" ht="20.100000000000001" customHeight="1" x14ac:dyDescent="0.2">
      <c r="A12" s="317">
        <v>2006</v>
      </c>
      <c r="G12" s="320"/>
      <c r="H12" s="22"/>
    </row>
    <row r="13" spans="1:19" ht="20.100000000000001" customHeight="1" thickBot="1" x14ac:dyDescent="0.25">
      <c r="A13" s="315" t="s">
        <v>470</v>
      </c>
      <c r="B13" s="3"/>
      <c r="C13" s="3"/>
      <c r="D13" s="3"/>
      <c r="E13" s="3"/>
      <c r="F13" s="3"/>
      <c r="G13" s="319"/>
      <c r="H13" s="3"/>
      <c r="I13" s="3"/>
      <c r="J13" s="3"/>
      <c r="K13" s="3"/>
    </row>
    <row r="14" spans="1:19" ht="20.100000000000001" customHeight="1" x14ac:dyDescent="0.2">
      <c r="A14" s="189">
        <v>2007</v>
      </c>
      <c r="G14" s="320"/>
      <c r="H14" s="22"/>
    </row>
    <row r="15" spans="1:19" ht="20.100000000000001" customHeight="1" thickBot="1" x14ac:dyDescent="0.25">
      <c r="A15" s="315" t="s">
        <v>470</v>
      </c>
      <c r="B15" s="3"/>
      <c r="C15" s="3"/>
      <c r="D15" s="3"/>
      <c r="E15" s="3"/>
      <c r="F15" s="3"/>
      <c r="G15" s="319"/>
      <c r="H15" s="3"/>
      <c r="I15" s="3"/>
      <c r="J15" s="3"/>
      <c r="K15" s="3"/>
    </row>
    <row r="16" spans="1:19" ht="20.100000000000001" customHeight="1" x14ac:dyDescent="0.2">
      <c r="A16" s="7"/>
    </row>
    <row r="17" spans="1:1" ht="20.100000000000001" customHeight="1" x14ac:dyDescent="0.2">
      <c r="A17" s="7"/>
    </row>
    <row r="18" spans="1:1" ht="15.95" customHeight="1" x14ac:dyDescent="0.2">
      <c r="A18" s="7"/>
    </row>
    <row r="19" spans="1:1" ht="15.95" customHeight="1" x14ac:dyDescent="0.2">
      <c r="A19" s="7"/>
    </row>
    <row r="20" spans="1:1" ht="15.95" customHeight="1" x14ac:dyDescent="0.2">
      <c r="A20" s="7"/>
    </row>
    <row r="21" spans="1:1" ht="15.95" customHeight="1" x14ac:dyDescent="0.2">
      <c r="A21" s="7"/>
    </row>
    <row r="22" spans="1:1" ht="15.95" customHeight="1" x14ac:dyDescent="0.2">
      <c r="A22" s="7"/>
    </row>
    <row r="23" spans="1:1" ht="15.95" customHeight="1" x14ac:dyDescent="0.2">
      <c r="A23" s="7"/>
    </row>
    <row r="24" spans="1:1" ht="15.95" customHeight="1" x14ac:dyDescent="0.2">
      <c r="A24" s="7"/>
    </row>
    <row r="25" spans="1:1" ht="15.95" customHeight="1" x14ac:dyDescent="0.2">
      <c r="A25" s="7"/>
    </row>
    <row r="26" spans="1:1" ht="15.95" customHeight="1" x14ac:dyDescent="0.2">
      <c r="A26" s="7"/>
    </row>
    <row r="27" spans="1:1" ht="15.95" customHeight="1" x14ac:dyDescent="0.2">
      <c r="A27" s="7"/>
    </row>
    <row r="28" spans="1:1" ht="15.95" customHeight="1" x14ac:dyDescent="0.2">
      <c r="A28" s="7"/>
    </row>
    <row r="29" spans="1:1" ht="15.95" customHeight="1" x14ac:dyDescent="0.2"/>
    <row r="30" spans="1:1" ht="15.95" customHeight="1" x14ac:dyDescent="0.2"/>
    <row r="31" spans="1:1" ht="15.95" customHeight="1" x14ac:dyDescent="0.2"/>
    <row r="32" spans="1:1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6"/>
  <sheetViews>
    <sheetView workbookViewId="0">
      <pane ySplit="4" topLeftCell="A62" activePane="bottomLeft" state="frozenSplit"/>
      <selection activeCell="G2" sqref="G2"/>
      <selection pane="bottomLeft" activeCell="B3" sqref="B3"/>
    </sheetView>
  </sheetViews>
  <sheetFormatPr defaultRowHeight="12.75" x14ac:dyDescent="0.2"/>
  <cols>
    <col min="3" max="3" width="23.5703125" customWidth="1"/>
    <col min="4" max="4" width="14.85546875" customWidth="1"/>
    <col min="5" max="5" width="11" customWidth="1"/>
    <col min="6" max="6" width="14.140625" customWidth="1"/>
    <col min="7" max="7" width="10.85546875" customWidth="1"/>
    <col min="8" max="8" width="11" customWidth="1"/>
    <col min="13" max="13" width="10" customWidth="1"/>
    <col min="14" max="14" width="9.7109375" style="7" customWidth="1"/>
    <col min="15" max="15" width="10.140625" style="7" customWidth="1"/>
    <col min="16" max="16" width="24.85546875" style="7" customWidth="1"/>
    <col min="17" max="17" width="10.5703125" customWidth="1"/>
  </cols>
  <sheetData>
    <row r="1" spans="1:17" ht="16.5" thickBot="1" x14ac:dyDescent="0.3">
      <c r="A1" s="301" t="s">
        <v>124</v>
      </c>
      <c r="B1" s="76"/>
      <c r="C1" s="76"/>
      <c r="D1" s="77"/>
      <c r="E1" s="77"/>
      <c r="G1" s="24" t="s">
        <v>240</v>
      </c>
      <c r="N1" s="75" t="s">
        <v>124</v>
      </c>
      <c r="O1" s="93"/>
      <c r="P1" s="94"/>
    </row>
    <row r="2" spans="1:17" x14ac:dyDescent="0.2">
      <c r="A2" s="29"/>
      <c r="F2" s="37" t="s">
        <v>237</v>
      </c>
      <c r="J2" s="347" t="s">
        <v>287</v>
      </c>
      <c r="L2" s="271" t="s">
        <v>488</v>
      </c>
      <c r="Q2" s="37" t="s">
        <v>487</v>
      </c>
    </row>
    <row r="3" spans="1:17" ht="13.5" thickBot="1" x14ac:dyDescent="0.25">
      <c r="A3" s="7"/>
      <c r="B3" s="7"/>
      <c r="C3" s="7"/>
      <c r="D3" s="40" t="s">
        <v>241</v>
      </c>
      <c r="N3"/>
      <c r="O3"/>
      <c r="P3"/>
    </row>
    <row r="4" spans="1:17" ht="13.5" thickBot="1" x14ac:dyDescent="0.25">
      <c r="A4" s="4" t="s">
        <v>16</v>
      </c>
      <c r="B4" s="3" t="s">
        <v>125</v>
      </c>
      <c r="C4" s="198" t="s">
        <v>239</v>
      </c>
      <c r="N4"/>
      <c r="O4"/>
      <c r="P4"/>
    </row>
    <row r="5" spans="1:17" x14ac:dyDescent="0.2">
      <c r="A5" s="189">
        <v>1993</v>
      </c>
      <c r="B5" t="s">
        <v>129</v>
      </c>
      <c r="C5" s="27">
        <v>320</v>
      </c>
      <c r="D5" s="37" t="s">
        <v>130</v>
      </c>
      <c r="G5">
        <v>1993</v>
      </c>
      <c r="H5" s="35">
        <f>C6</f>
        <v>25.004810753448883</v>
      </c>
      <c r="J5" t="s">
        <v>644</v>
      </c>
      <c r="L5" s="35">
        <f>AVERAGE(H5:H11)</f>
        <v>12.174837308605788</v>
      </c>
      <c r="N5"/>
      <c r="O5"/>
      <c r="P5"/>
    </row>
    <row r="6" spans="1:17" x14ac:dyDescent="0.2">
      <c r="A6" s="7"/>
      <c r="B6" t="s">
        <v>131</v>
      </c>
      <c r="C6" s="90">
        <v>25.004810753448883</v>
      </c>
      <c r="D6" s="37" t="s">
        <v>132</v>
      </c>
      <c r="G6">
        <f>G5+1</f>
        <v>1994</v>
      </c>
      <c r="H6" s="35">
        <f>C10</f>
        <v>0.1</v>
      </c>
      <c r="J6" t="s">
        <v>643</v>
      </c>
      <c r="L6" s="35">
        <f>AVERAGE(H12:H25)</f>
        <v>23.736264285714288</v>
      </c>
      <c r="N6"/>
      <c r="O6"/>
      <c r="P6"/>
    </row>
    <row r="7" spans="1:17" x14ac:dyDescent="0.2">
      <c r="A7" s="7"/>
      <c r="B7" t="s">
        <v>133</v>
      </c>
      <c r="C7" s="61">
        <v>20.351715599575524</v>
      </c>
      <c r="D7" s="89" t="s">
        <v>235</v>
      </c>
      <c r="F7" s="363">
        <f>1-(C7/C6)</f>
        <v>0.18608799721595826</v>
      </c>
      <c r="G7">
        <f t="shared" ref="G7:G17" si="0">G6+1</f>
        <v>1995</v>
      </c>
      <c r="H7" s="35">
        <f>C14</f>
        <v>0.31378493102228511</v>
      </c>
      <c r="N7"/>
      <c r="O7"/>
      <c r="P7"/>
    </row>
    <row r="8" spans="1:17" x14ac:dyDescent="0.2">
      <c r="A8" s="92"/>
      <c r="B8" s="34" t="s">
        <v>134</v>
      </c>
      <c r="C8" s="61">
        <v>29.908029713477184</v>
      </c>
      <c r="F8" s="363">
        <f>-1+(C8/C6)</f>
        <v>0.19609102457822059</v>
      </c>
      <c r="G8">
        <f t="shared" si="0"/>
        <v>1996</v>
      </c>
      <c r="H8" s="35">
        <f>C18</f>
        <v>0.8687654757693668</v>
      </c>
      <c r="N8"/>
      <c r="O8"/>
      <c r="P8"/>
    </row>
    <row r="9" spans="1:17" x14ac:dyDescent="0.2">
      <c r="A9" s="189">
        <v>1994</v>
      </c>
      <c r="B9" t="s">
        <v>129</v>
      </c>
      <c r="C9" s="27">
        <v>320</v>
      </c>
      <c r="D9" s="37" t="s">
        <v>130</v>
      </c>
      <c r="G9">
        <f t="shared" si="0"/>
        <v>1997</v>
      </c>
      <c r="H9" s="35">
        <f>C22</f>
        <v>57.87</v>
      </c>
      <c r="N9"/>
      <c r="O9"/>
      <c r="P9"/>
    </row>
    <row r="10" spans="1:17" x14ac:dyDescent="0.2">
      <c r="A10" s="7"/>
      <c r="B10" t="s">
        <v>131</v>
      </c>
      <c r="C10" s="90">
        <v>0.1</v>
      </c>
      <c r="D10" s="37" t="s">
        <v>135</v>
      </c>
      <c r="G10">
        <f t="shared" si="0"/>
        <v>1998</v>
      </c>
      <c r="H10" s="35">
        <f>C26</f>
        <v>0.1065</v>
      </c>
      <c r="N10"/>
      <c r="O10"/>
      <c r="P10"/>
    </row>
    <row r="11" spans="1:17" x14ac:dyDescent="0.2">
      <c r="A11" s="7"/>
      <c r="B11" t="s">
        <v>133</v>
      </c>
      <c r="C11" s="61">
        <v>2.8694729395118499E-2</v>
      </c>
      <c r="D11" s="89" t="s">
        <v>235</v>
      </c>
      <c r="F11" s="363">
        <f>1-(C11/C10)</f>
        <v>0.71305270604881499</v>
      </c>
      <c r="G11">
        <f t="shared" si="0"/>
        <v>1999</v>
      </c>
      <c r="H11" s="35">
        <f>C30</f>
        <v>0.96</v>
      </c>
      <c r="N11"/>
      <c r="O11"/>
      <c r="P11"/>
    </row>
    <row r="12" spans="1:17" x14ac:dyDescent="0.2">
      <c r="A12" s="92"/>
      <c r="B12" s="34" t="s">
        <v>134</v>
      </c>
      <c r="C12" s="61">
        <v>0.12522108241952598</v>
      </c>
      <c r="F12" s="363">
        <f>-1+(C12/C10)</f>
        <v>0.25221082419525964</v>
      </c>
      <c r="G12">
        <f t="shared" si="0"/>
        <v>2000</v>
      </c>
      <c r="H12" s="35">
        <f>C34</f>
        <v>59.09</v>
      </c>
      <c r="N12"/>
      <c r="O12"/>
      <c r="P12"/>
    </row>
    <row r="13" spans="1:17" x14ac:dyDescent="0.2">
      <c r="A13" s="189">
        <v>1995</v>
      </c>
      <c r="B13" t="s">
        <v>129</v>
      </c>
      <c r="C13" s="27">
        <v>332</v>
      </c>
      <c r="D13" s="37" t="s">
        <v>130</v>
      </c>
      <c r="G13">
        <f t="shared" si="0"/>
        <v>2001</v>
      </c>
      <c r="H13" s="35">
        <f>C38</f>
        <v>14</v>
      </c>
      <c r="N13"/>
      <c r="O13"/>
      <c r="P13"/>
    </row>
    <row r="14" spans="1:17" x14ac:dyDescent="0.2">
      <c r="A14" s="7"/>
      <c r="B14" t="s">
        <v>131</v>
      </c>
      <c r="C14" s="90">
        <v>0.31378493102228511</v>
      </c>
      <c r="D14" s="37" t="s">
        <v>135</v>
      </c>
      <c r="G14">
        <f t="shared" si="0"/>
        <v>2002</v>
      </c>
      <c r="H14" s="35">
        <f>C42</f>
        <v>1.87</v>
      </c>
      <c r="N14"/>
      <c r="O14"/>
      <c r="P14"/>
    </row>
    <row r="15" spans="1:17" x14ac:dyDescent="0.2">
      <c r="A15" s="7"/>
      <c r="B15" t="s">
        <v>133</v>
      </c>
      <c r="C15" s="61">
        <v>0.17852847541563496</v>
      </c>
      <c r="D15" s="89" t="s">
        <v>235</v>
      </c>
      <c r="F15" s="363">
        <f>1-(C15/C14)</f>
        <v>0.43104828254816419</v>
      </c>
      <c r="G15">
        <f t="shared" si="0"/>
        <v>2003</v>
      </c>
      <c r="H15" s="35">
        <f>C46</f>
        <v>9.0376999999999992</v>
      </c>
      <c r="N15"/>
      <c r="O15"/>
      <c r="P15"/>
    </row>
    <row r="16" spans="1:17" ht="13.5" thickBot="1" x14ac:dyDescent="0.25">
      <c r="A16" s="4"/>
      <c r="B16" s="3" t="s">
        <v>134</v>
      </c>
      <c r="C16" s="152">
        <v>0.51054120976299966</v>
      </c>
      <c r="F16" s="363">
        <f>-1+(C16/C14)</f>
        <v>0.62704183435354599</v>
      </c>
      <c r="G16">
        <f t="shared" si="0"/>
        <v>2004</v>
      </c>
      <c r="H16" s="35">
        <v>4.58</v>
      </c>
      <c r="N16"/>
      <c r="O16"/>
      <c r="P16"/>
    </row>
    <row r="17" spans="1:16" x14ac:dyDescent="0.2">
      <c r="A17" s="189">
        <v>1996</v>
      </c>
      <c r="B17" t="s">
        <v>129</v>
      </c>
      <c r="C17" s="27">
        <v>80</v>
      </c>
      <c r="D17" s="37" t="s">
        <v>130</v>
      </c>
      <c r="G17">
        <f t="shared" si="0"/>
        <v>2005</v>
      </c>
      <c r="H17" s="35">
        <f>C54</f>
        <v>36.53</v>
      </c>
      <c r="N17"/>
      <c r="O17"/>
      <c r="P17"/>
    </row>
    <row r="18" spans="1:16" x14ac:dyDescent="0.2">
      <c r="A18" s="7"/>
      <c r="B18" t="s">
        <v>131</v>
      </c>
      <c r="C18" s="90">
        <v>0.8687654757693668</v>
      </c>
      <c r="D18" s="37" t="s">
        <v>236</v>
      </c>
      <c r="G18">
        <v>2006</v>
      </c>
      <c r="H18" s="35">
        <f>C58</f>
        <v>10.61</v>
      </c>
      <c r="N18"/>
      <c r="O18"/>
      <c r="P18"/>
    </row>
    <row r="19" spans="1:16" x14ac:dyDescent="0.2">
      <c r="A19" s="7"/>
      <c r="B19" t="s">
        <v>133</v>
      </c>
      <c r="C19" s="61">
        <v>0.52670675627874075</v>
      </c>
      <c r="D19" s="89" t="s">
        <v>235</v>
      </c>
      <c r="F19" s="363">
        <f>1-(C19/C18)</f>
        <v>0.39372964169381097</v>
      </c>
      <c r="G19">
        <v>2007</v>
      </c>
      <c r="H19" s="35">
        <f>C62</f>
        <v>109.96</v>
      </c>
      <c r="N19"/>
      <c r="O19"/>
      <c r="P19"/>
    </row>
    <row r="20" spans="1:16" ht="13.5" thickBot="1" x14ac:dyDescent="0.25">
      <c r="A20" s="4"/>
      <c r="B20" s="3" t="s">
        <v>134</v>
      </c>
      <c r="C20" s="152">
        <v>1.2755571276972055</v>
      </c>
      <c r="F20" s="363">
        <f>-1+(C20/C18)</f>
        <v>0.46824104234527697</v>
      </c>
      <c r="G20">
        <v>2008</v>
      </c>
      <c r="H20" s="35">
        <f>C66</f>
        <v>1.32</v>
      </c>
      <c r="N20"/>
      <c r="O20"/>
      <c r="P20"/>
    </row>
    <row r="21" spans="1:16" x14ac:dyDescent="0.2">
      <c r="A21" s="189">
        <v>1997</v>
      </c>
      <c r="B21" t="s">
        <v>129</v>
      </c>
      <c r="C21" s="27">
        <v>166</v>
      </c>
      <c r="D21" s="37" t="s">
        <v>136</v>
      </c>
      <c r="G21">
        <v>2009</v>
      </c>
      <c r="H21">
        <v>1.37</v>
      </c>
      <c r="N21"/>
      <c r="O21"/>
      <c r="P21"/>
    </row>
    <row r="22" spans="1:16" x14ac:dyDescent="0.2">
      <c r="A22" s="7"/>
      <c r="B22" t="s">
        <v>131</v>
      </c>
      <c r="C22" s="90">
        <v>57.87</v>
      </c>
      <c r="D22" s="37" t="s">
        <v>137</v>
      </c>
      <c r="G22">
        <v>2010</v>
      </c>
      <c r="H22">
        <v>7.48</v>
      </c>
      <c r="N22"/>
      <c r="O22"/>
      <c r="P22"/>
    </row>
    <row r="23" spans="1:16" x14ac:dyDescent="0.2">
      <c r="A23" s="7"/>
      <c r="B23" t="s">
        <v>133</v>
      </c>
      <c r="C23" s="61">
        <v>44.01</v>
      </c>
      <c r="D23" s="89" t="s">
        <v>235</v>
      </c>
      <c r="F23" s="363">
        <f>1-(C23/C22)</f>
        <v>0.23950233281493005</v>
      </c>
      <c r="G23">
        <v>2011</v>
      </c>
      <c r="H23">
        <v>45.72</v>
      </c>
      <c r="N23"/>
      <c r="O23"/>
      <c r="P23"/>
    </row>
    <row r="24" spans="1:16" ht="13.5" thickBot="1" x14ac:dyDescent="0.25">
      <c r="A24" s="4"/>
      <c r="B24" s="3" t="s">
        <v>134</v>
      </c>
      <c r="C24" s="152">
        <v>75.790000000000006</v>
      </c>
      <c r="F24" s="363">
        <f>-1+(C24/C22)</f>
        <v>0.30965958182132391</v>
      </c>
      <c r="G24">
        <v>2012</v>
      </c>
      <c r="H24">
        <v>26.7</v>
      </c>
      <c r="N24"/>
      <c r="O24"/>
      <c r="P24"/>
    </row>
    <row r="25" spans="1:16" x14ac:dyDescent="0.2">
      <c r="A25" s="189">
        <v>1998</v>
      </c>
      <c r="B25" t="s">
        <v>129</v>
      </c>
      <c r="C25" s="27">
        <v>166</v>
      </c>
      <c r="D25" s="40" t="s">
        <v>138</v>
      </c>
      <c r="G25">
        <v>2013</v>
      </c>
      <c r="H25">
        <v>4.04</v>
      </c>
      <c r="N25"/>
      <c r="O25"/>
      <c r="P25"/>
    </row>
    <row r="26" spans="1:16" x14ac:dyDescent="0.2">
      <c r="A26" s="7"/>
      <c r="B26" t="s">
        <v>131</v>
      </c>
      <c r="C26" s="90">
        <v>0.1065</v>
      </c>
      <c r="D26" s="89" t="s">
        <v>235</v>
      </c>
      <c r="G26">
        <v>2014</v>
      </c>
      <c r="H26">
        <v>1.53</v>
      </c>
      <c r="N26"/>
      <c r="O26"/>
      <c r="P26"/>
    </row>
    <row r="27" spans="1:16" x14ac:dyDescent="0.2">
      <c r="A27" s="7"/>
      <c r="B27" t="s">
        <v>133</v>
      </c>
      <c r="C27" s="61">
        <v>0</v>
      </c>
      <c r="F27" s="363">
        <f>1-(C27/C26)</f>
        <v>1</v>
      </c>
      <c r="G27">
        <v>2015</v>
      </c>
      <c r="H27">
        <v>2.7</v>
      </c>
      <c r="N27"/>
      <c r="O27"/>
      <c r="P27"/>
    </row>
    <row r="28" spans="1:16" ht="13.5" thickBot="1" x14ac:dyDescent="0.25">
      <c r="A28" s="4"/>
      <c r="B28" s="3" t="s">
        <v>134</v>
      </c>
      <c r="C28" s="152">
        <v>0.31</v>
      </c>
      <c r="F28" s="363">
        <f>-1+(C28/C26)</f>
        <v>1.910798122065728</v>
      </c>
      <c r="G28">
        <v>2016</v>
      </c>
      <c r="H28">
        <v>13.22</v>
      </c>
      <c r="N28"/>
      <c r="O28"/>
      <c r="P28"/>
    </row>
    <row r="29" spans="1:16" x14ac:dyDescent="0.2">
      <c r="A29" s="189">
        <v>1999</v>
      </c>
      <c r="B29" t="s">
        <v>129</v>
      </c>
      <c r="C29" s="27">
        <v>196</v>
      </c>
      <c r="D29" s="89" t="s">
        <v>235</v>
      </c>
      <c r="F29" s="30"/>
      <c r="G29">
        <v>2017</v>
      </c>
      <c r="H29">
        <v>29.21</v>
      </c>
      <c r="N29"/>
      <c r="O29"/>
      <c r="P29"/>
    </row>
    <row r="30" spans="1:16" x14ac:dyDescent="0.2">
      <c r="A30" s="7"/>
      <c r="B30" t="s">
        <v>131</v>
      </c>
      <c r="C30" s="90">
        <v>0.96</v>
      </c>
      <c r="G30">
        <v>2018</v>
      </c>
      <c r="H30">
        <v>0.16</v>
      </c>
      <c r="N30"/>
      <c r="O30"/>
      <c r="P30"/>
    </row>
    <row r="31" spans="1:16" x14ac:dyDescent="0.2">
      <c r="A31" s="7"/>
      <c r="B31" t="s">
        <v>133</v>
      </c>
      <c r="C31" s="61">
        <v>0.56999999999999995</v>
      </c>
      <c r="F31" s="363">
        <f>1-(C31/C30)</f>
        <v>0.40625</v>
      </c>
      <c r="N31"/>
      <c r="O31"/>
      <c r="P31"/>
    </row>
    <row r="32" spans="1:16" ht="13.5" thickBot="1" x14ac:dyDescent="0.25">
      <c r="A32" s="4"/>
      <c r="B32" s="3" t="s">
        <v>134</v>
      </c>
      <c r="C32" s="152">
        <v>1.43</v>
      </c>
      <c r="F32" s="363">
        <f>-1+(C32/C30)</f>
        <v>0.48958333333333326</v>
      </c>
      <c r="N32"/>
      <c r="O32"/>
      <c r="P32"/>
    </row>
    <row r="33" spans="1:16" x14ac:dyDescent="0.2">
      <c r="A33" s="189">
        <v>2000</v>
      </c>
      <c r="B33" t="s">
        <v>129</v>
      </c>
      <c r="C33" s="27">
        <v>672</v>
      </c>
      <c r="D33" s="89" t="s">
        <v>235</v>
      </c>
      <c r="N33"/>
      <c r="O33"/>
      <c r="P33"/>
    </row>
    <row r="34" spans="1:16" x14ac:dyDescent="0.2">
      <c r="A34" s="7"/>
      <c r="B34" t="s">
        <v>131</v>
      </c>
      <c r="C34" s="90">
        <v>59.09</v>
      </c>
      <c r="D34" s="35"/>
      <c r="M34">
        <f>14/0.98</f>
        <v>14.285714285714286</v>
      </c>
      <c r="N34"/>
      <c r="O34"/>
      <c r="P34"/>
    </row>
    <row r="35" spans="1:16" x14ac:dyDescent="0.2">
      <c r="A35" s="7"/>
      <c r="B35" t="s">
        <v>133</v>
      </c>
      <c r="C35" s="61">
        <v>52</v>
      </c>
      <c r="F35" s="363">
        <f>1-(C35/C34)</f>
        <v>0.11998646133017432</v>
      </c>
      <c r="K35" s="229" t="s">
        <v>505</v>
      </c>
      <c r="N35"/>
      <c r="O35"/>
      <c r="P35"/>
    </row>
    <row r="36" spans="1:16" ht="13.5" thickBot="1" x14ac:dyDescent="0.25">
      <c r="A36" s="4"/>
      <c r="B36" s="3" t="s">
        <v>134</v>
      </c>
      <c r="C36" s="152">
        <v>66.989999999999995</v>
      </c>
      <c r="F36" s="363">
        <f>-1+(C36/C34)</f>
        <v>0.13369436452868499</v>
      </c>
      <c r="K36" s="229"/>
      <c r="N36"/>
      <c r="O36"/>
      <c r="P36"/>
    </row>
    <row r="37" spans="1:16" x14ac:dyDescent="0.2">
      <c r="A37" s="189">
        <v>2001</v>
      </c>
      <c r="B37" t="s">
        <v>129</v>
      </c>
      <c r="C37" s="27">
        <v>940</v>
      </c>
      <c r="D37" s="89" t="s">
        <v>235</v>
      </c>
      <c r="J37">
        <v>2001</v>
      </c>
      <c r="K37" s="229">
        <v>0.98</v>
      </c>
      <c r="L37" s="369">
        <f>C38/M34</f>
        <v>0.98</v>
      </c>
      <c r="N37"/>
      <c r="O37"/>
      <c r="P37"/>
    </row>
    <row r="38" spans="1:16" x14ac:dyDescent="0.2">
      <c r="A38" s="7"/>
      <c r="B38" t="s">
        <v>131</v>
      </c>
      <c r="C38" s="90">
        <v>14</v>
      </c>
      <c r="D38" s="35"/>
      <c r="J38">
        <v>2002</v>
      </c>
      <c r="K38" s="229">
        <v>0.32</v>
      </c>
      <c r="L38" s="369">
        <f>C42/M34</f>
        <v>0.13089999999999999</v>
      </c>
      <c r="N38"/>
      <c r="O38"/>
      <c r="P38"/>
    </row>
    <row r="39" spans="1:16" x14ac:dyDescent="0.2">
      <c r="A39" s="7"/>
      <c r="B39" t="s">
        <v>133</v>
      </c>
      <c r="C39" s="61">
        <v>12.58</v>
      </c>
      <c r="F39" s="363">
        <f>1-(C39/C38)</f>
        <v>0.10142857142857142</v>
      </c>
      <c r="J39">
        <v>2003</v>
      </c>
      <c r="K39" s="229">
        <v>0.57999999999999996</v>
      </c>
      <c r="L39" s="369">
        <f>C46/M34</f>
        <v>0.63263899999999995</v>
      </c>
      <c r="N39"/>
      <c r="O39"/>
      <c r="P39"/>
    </row>
    <row r="40" spans="1:16" ht="13.5" thickBot="1" x14ac:dyDescent="0.25">
      <c r="A40" s="4"/>
      <c r="B40" s="3" t="s">
        <v>134</v>
      </c>
      <c r="C40" s="152">
        <v>15.5</v>
      </c>
      <c r="F40" s="363">
        <f>-1+(C40/C38)</f>
        <v>0.10714285714285721</v>
      </c>
      <c r="K40" s="229"/>
      <c r="L40" s="369"/>
      <c r="N40"/>
      <c r="O40"/>
      <c r="P40"/>
    </row>
    <row r="41" spans="1:16" x14ac:dyDescent="0.2">
      <c r="A41" s="197">
        <v>2002</v>
      </c>
      <c r="B41" t="s">
        <v>129</v>
      </c>
      <c r="C41" s="27">
        <v>972</v>
      </c>
      <c r="D41" s="89" t="s">
        <v>235</v>
      </c>
      <c r="J41">
        <v>2005</v>
      </c>
      <c r="K41" s="229">
        <v>1.94</v>
      </c>
      <c r="L41" s="369">
        <f>C54/M34</f>
        <v>2.5571000000000002</v>
      </c>
      <c r="N41"/>
      <c r="O41"/>
      <c r="P41"/>
    </row>
    <row r="42" spans="1:16" x14ac:dyDescent="0.2">
      <c r="A42" s="91"/>
      <c r="B42" t="s">
        <v>131</v>
      </c>
      <c r="C42" s="90">
        <v>1.87</v>
      </c>
      <c r="D42" s="35"/>
      <c r="N42"/>
      <c r="O42"/>
      <c r="P42"/>
    </row>
    <row r="43" spans="1:16" x14ac:dyDescent="0.2">
      <c r="A43" s="91"/>
      <c r="B43" t="s">
        <v>133</v>
      </c>
      <c r="C43" s="61">
        <v>1.38</v>
      </c>
      <c r="F43" s="363">
        <f>1-(C43/C42)</f>
        <v>0.26203208556149737</v>
      </c>
      <c r="N43"/>
      <c r="O43"/>
      <c r="P43"/>
    </row>
    <row r="44" spans="1:16" ht="13.5" thickBot="1" x14ac:dyDescent="0.25">
      <c r="A44" s="153"/>
      <c r="B44" s="3" t="s">
        <v>134</v>
      </c>
      <c r="C44" s="152">
        <v>2.52</v>
      </c>
      <c r="F44" s="363">
        <f>-1+(C44/C42)</f>
        <v>0.34759358288770037</v>
      </c>
      <c r="N44"/>
      <c r="O44"/>
      <c r="P44"/>
    </row>
    <row r="45" spans="1:16" x14ac:dyDescent="0.2">
      <c r="A45" s="197">
        <v>2003</v>
      </c>
      <c r="B45" t="s">
        <v>129</v>
      </c>
      <c r="C45" s="27">
        <v>1007</v>
      </c>
      <c r="D45" s="89" t="s">
        <v>235</v>
      </c>
      <c r="N45"/>
      <c r="O45"/>
      <c r="P45"/>
    </row>
    <row r="46" spans="1:16" x14ac:dyDescent="0.2">
      <c r="A46" s="91"/>
      <c r="B46" t="s">
        <v>131</v>
      </c>
      <c r="C46" s="90">
        <v>9.0376999999999992</v>
      </c>
      <c r="D46" s="35"/>
      <c r="N46"/>
      <c r="O46"/>
      <c r="P46"/>
    </row>
    <row r="47" spans="1:16" x14ac:dyDescent="0.2">
      <c r="A47" s="91"/>
      <c r="B47" t="s">
        <v>133</v>
      </c>
      <c r="C47" s="61">
        <v>7.6719999999999997</v>
      </c>
      <c r="F47" s="363">
        <f>1-(C47/C46)</f>
        <v>0.15111145534815273</v>
      </c>
      <c r="N47"/>
      <c r="O47"/>
      <c r="P47"/>
    </row>
    <row r="48" spans="1:16" ht="13.5" thickBot="1" x14ac:dyDescent="0.25">
      <c r="A48" s="153"/>
      <c r="B48" s="3" t="s">
        <v>134</v>
      </c>
      <c r="C48" s="152">
        <v>10.45</v>
      </c>
      <c r="F48" s="363">
        <f>-1+(C48/C46)</f>
        <v>0.15626763446452085</v>
      </c>
      <c r="N48"/>
      <c r="O48"/>
      <c r="P48"/>
    </row>
    <row r="49" spans="1:16" x14ac:dyDescent="0.2">
      <c r="A49" s="221">
        <v>2004</v>
      </c>
      <c r="B49" t="s">
        <v>129</v>
      </c>
      <c r="C49" s="27">
        <v>922</v>
      </c>
      <c r="D49" s="89" t="s">
        <v>235</v>
      </c>
      <c r="N49"/>
      <c r="O49"/>
      <c r="P49"/>
    </row>
    <row r="50" spans="1:16" x14ac:dyDescent="0.2">
      <c r="A50" s="91"/>
      <c r="B50" t="s">
        <v>131</v>
      </c>
      <c r="C50" s="90">
        <v>4.4800000000000004</v>
      </c>
      <c r="D50" s="35"/>
      <c r="N50"/>
      <c r="O50"/>
      <c r="P50"/>
    </row>
    <row r="51" spans="1:16" x14ac:dyDescent="0.2">
      <c r="A51" s="91"/>
      <c r="B51" t="s">
        <v>133</v>
      </c>
      <c r="C51" s="61">
        <v>3.45</v>
      </c>
      <c r="D51" s="229" t="s">
        <v>476</v>
      </c>
      <c r="F51" s="363">
        <f>1-(C51/C50)</f>
        <v>0.2299107142857143</v>
      </c>
      <c r="N51"/>
      <c r="O51"/>
      <c r="P51"/>
    </row>
    <row r="52" spans="1:16" ht="13.5" thickBot="1" x14ac:dyDescent="0.25">
      <c r="A52" s="220"/>
      <c r="B52" s="34" t="s">
        <v>134</v>
      </c>
      <c r="C52" s="152">
        <v>5.71</v>
      </c>
      <c r="F52" s="363">
        <f>-1+(C52/C50)</f>
        <v>0.2745535714285714</v>
      </c>
      <c r="N52"/>
      <c r="O52"/>
      <c r="P52"/>
    </row>
    <row r="53" spans="1:16" x14ac:dyDescent="0.2">
      <c r="A53" s="189">
        <v>2005</v>
      </c>
      <c r="B53" t="s">
        <v>129</v>
      </c>
      <c r="C53" s="27">
        <v>922</v>
      </c>
      <c r="D53" s="89" t="s">
        <v>235</v>
      </c>
      <c r="N53"/>
      <c r="O53"/>
      <c r="P53"/>
    </row>
    <row r="54" spans="1:16" x14ac:dyDescent="0.2">
      <c r="B54" t="s">
        <v>131</v>
      </c>
      <c r="C54" s="90">
        <v>36.53</v>
      </c>
      <c r="D54" s="35"/>
      <c r="N54"/>
      <c r="O54"/>
      <c r="P54"/>
    </row>
    <row r="55" spans="1:16" x14ac:dyDescent="0.2">
      <c r="B55" t="s">
        <v>133</v>
      </c>
      <c r="C55" s="61">
        <v>32.549999999999997</v>
      </c>
      <c r="D55" s="229" t="s">
        <v>476</v>
      </c>
      <c r="F55" s="363">
        <f>1-(C55/C54)</f>
        <v>0.10895154667396667</v>
      </c>
      <c r="N55"/>
      <c r="O55"/>
      <c r="P55"/>
    </row>
    <row r="56" spans="1:16" ht="13.5" thickBot="1" x14ac:dyDescent="0.25">
      <c r="A56" s="34"/>
      <c r="B56" s="34" t="s">
        <v>134</v>
      </c>
      <c r="C56" s="152">
        <v>40.799999999999997</v>
      </c>
      <c r="F56" s="363">
        <f>-1+(C56/C54)</f>
        <v>0.1168902272105119</v>
      </c>
      <c r="N56"/>
      <c r="O56"/>
      <c r="P56"/>
    </row>
    <row r="57" spans="1:16" x14ac:dyDescent="0.2">
      <c r="A57" s="189">
        <v>2006</v>
      </c>
      <c r="B57" t="s">
        <v>129</v>
      </c>
      <c r="C57" s="27">
        <v>913</v>
      </c>
      <c r="D57" s="89" t="s">
        <v>235</v>
      </c>
      <c r="N57"/>
      <c r="O57"/>
      <c r="P57"/>
    </row>
    <row r="58" spans="1:16" x14ac:dyDescent="0.2">
      <c r="B58" t="s">
        <v>131</v>
      </c>
      <c r="C58" s="90">
        <v>10.61</v>
      </c>
      <c r="N58"/>
      <c r="O58"/>
      <c r="P58"/>
    </row>
    <row r="59" spans="1:16" x14ac:dyDescent="0.2">
      <c r="B59" t="s">
        <v>133</v>
      </c>
      <c r="C59" s="61">
        <v>8.99</v>
      </c>
      <c r="F59" s="363">
        <f>1-(C59/C58)</f>
        <v>0.15268614514608858</v>
      </c>
      <c r="N59"/>
      <c r="O59"/>
      <c r="P59"/>
    </row>
    <row r="60" spans="1:16" x14ac:dyDescent="0.2">
      <c r="A60" s="34"/>
      <c r="B60" s="34" t="s">
        <v>134</v>
      </c>
      <c r="C60" s="345">
        <v>12.69</v>
      </c>
      <c r="F60" s="363">
        <f>-1+(C60/C58)</f>
        <v>0.19604147031102737</v>
      </c>
      <c r="N60"/>
      <c r="O60"/>
      <c r="P60"/>
    </row>
    <row r="61" spans="1:16" x14ac:dyDescent="0.2">
      <c r="A61" s="189">
        <v>2007</v>
      </c>
      <c r="B61" t="s">
        <v>129</v>
      </c>
      <c r="C61" s="49">
        <v>722</v>
      </c>
      <c r="D61" s="89" t="s">
        <v>235</v>
      </c>
      <c r="N61"/>
      <c r="O61"/>
      <c r="P61"/>
    </row>
    <row r="62" spans="1:16" x14ac:dyDescent="0.2">
      <c r="A62" s="22"/>
      <c r="B62" t="s">
        <v>131</v>
      </c>
      <c r="C62" s="90">
        <v>109.96</v>
      </c>
      <c r="N62"/>
      <c r="O62"/>
      <c r="P62"/>
    </row>
    <row r="63" spans="1:16" x14ac:dyDescent="0.2">
      <c r="A63" s="22"/>
      <c r="B63" t="s">
        <v>133</v>
      </c>
      <c r="C63" s="61">
        <v>98.9</v>
      </c>
      <c r="F63" s="363">
        <f>1-(C63/C62)</f>
        <v>0.10058202982902864</v>
      </c>
      <c r="N63"/>
      <c r="O63"/>
      <c r="P63"/>
    </row>
    <row r="64" spans="1:16" x14ac:dyDescent="0.2">
      <c r="A64" s="34"/>
      <c r="B64" s="34" t="s">
        <v>134</v>
      </c>
      <c r="C64" s="61">
        <v>121.36</v>
      </c>
      <c r="F64" s="363">
        <f>-1+(C64/C62)</f>
        <v>0.10367406329574402</v>
      </c>
      <c r="N64"/>
      <c r="O64"/>
      <c r="P64"/>
    </row>
    <row r="65" spans="1:16" x14ac:dyDescent="0.2">
      <c r="A65" s="361">
        <v>2008</v>
      </c>
      <c r="B65" t="s">
        <v>129</v>
      </c>
      <c r="C65" s="366">
        <v>421</v>
      </c>
      <c r="D65" s="89" t="s">
        <v>235</v>
      </c>
      <c r="H65" s="271" t="s">
        <v>506</v>
      </c>
      <c r="N65"/>
      <c r="O65"/>
      <c r="P65"/>
    </row>
    <row r="66" spans="1:16" x14ac:dyDescent="0.2">
      <c r="A66" s="22"/>
      <c r="B66" t="s">
        <v>131</v>
      </c>
      <c r="C66" s="90">
        <v>1.32</v>
      </c>
      <c r="N66"/>
      <c r="O66"/>
      <c r="P66"/>
    </row>
    <row r="67" spans="1:16" x14ac:dyDescent="0.2">
      <c r="A67" s="22"/>
      <c r="B67" t="s">
        <v>133</v>
      </c>
      <c r="C67" s="61">
        <v>0.93</v>
      </c>
      <c r="F67" s="363">
        <f>1-(C67/C66)</f>
        <v>0.29545454545454541</v>
      </c>
      <c r="N67"/>
      <c r="O67"/>
      <c r="P67"/>
    </row>
    <row r="68" spans="1:16" x14ac:dyDescent="0.2">
      <c r="A68" s="92"/>
      <c r="B68" s="34" t="s">
        <v>134</v>
      </c>
      <c r="C68" s="61">
        <v>1.76</v>
      </c>
      <c r="F68" s="363">
        <f>-1+(C68/C66)</f>
        <v>0.33333333333333326</v>
      </c>
      <c r="N68"/>
      <c r="O68"/>
      <c r="P68"/>
    </row>
    <row r="69" spans="1:16" x14ac:dyDescent="0.2">
      <c r="A69" s="361">
        <v>2009</v>
      </c>
      <c r="B69" t="s">
        <v>129</v>
      </c>
      <c r="C69" s="366">
        <v>422</v>
      </c>
      <c r="D69" s="89" t="s">
        <v>235</v>
      </c>
    </row>
    <row r="70" spans="1:16" x14ac:dyDescent="0.2">
      <c r="A70" s="22"/>
      <c r="B70" t="s">
        <v>131</v>
      </c>
      <c r="C70" s="90">
        <v>1.37</v>
      </c>
      <c r="D70" s="271" t="s">
        <v>514</v>
      </c>
    </row>
    <row r="71" spans="1:16" x14ac:dyDescent="0.2">
      <c r="A71" s="22"/>
      <c r="B71" t="s">
        <v>133</v>
      </c>
      <c r="C71" s="61">
        <v>0.68</v>
      </c>
      <c r="P71" s="2"/>
    </row>
    <row r="72" spans="1:16" x14ac:dyDescent="0.2">
      <c r="A72" s="92"/>
      <c r="B72" s="34" t="s">
        <v>134</v>
      </c>
      <c r="C72" s="61">
        <v>2.27</v>
      </c>
      <c r="O72" s="7" t="s">
        <v>486</v>
      </c>
      <c r="P72" s="6">
        <f>AVERAGE(C5,C9,C13,C17,C21,C25,C29,C33,C37,C41,C45,C49,C53,C57,C61)</f>
        <v>576.66666666666663</v>
      </c>
    </row>
    <row r="73" spans="1:16" x14ac:dyDescent="0.2">
      <c r="A73" s="479">
        <v>2010</v>
      </c>
      <c r="B73" t="s">
        <v>129</v>
      </c>
      <c r="C73" s="49">
        <v>408</v>
      </c>
      <c r="P73" s="6"/>
    </row>
    <row r="74" spans="1:16" x14ac:dyDescent="0.2">
      <c r="A74" s="23"/>
      <c r="B74" t="s">
        <v>131</v>
      </c>
      <c r="C74" s="90">
        <v>7.48</v>
      </c>
      <c r="P74" s="6"/>
    </row>
    <row r="75" spans="1:16" x14ac:dyDescent="0.2">
      <c r="A75" s="23"/>
      <c r="B75" t="s">
        <v>133</v>
      </c>
      <c r="C75" s="61">
        <v>5.4</v>
      </c>
      <c r="P75" s="6"/>
    </row>
    <row r="76" spans="1:16" x14ac:dyDescent="0.2">
      <c r="A76" s="92"/>
      <c r="B76" s="34" t="s">
        <v>134</v>
      </c>
      <c r="C76" s="61">
        <v>10.039999999999999</v>
      </c>
      <c r="P76" s="6"/>
    </row>
    <row r="77" spans="1:16" x14ac:dyDescent="0.2">
      <c r="A77" s="479">
        <v>2011</v>
      </c>
      <c r="B77" t="s">
        <v>129</v>
      </c>
      <c r="C77" s="49">
        <v>408</v>
      </c>
      <c r="P77" s="6"/>
    </row>
    <row r="78" spans="1:16" x14ac:dyDescent="0.2">
      <c r="A78" s="23"/>
      <c r="B78" t="s">
        <v>131</v>
      </c>
      <c r="C78" s="90">
        <v>45.72</v>
      </c>
      <c r="D78" s="178" t="s">
        <v>581</v>
      </c>
      <c r="P78" s="6"/>
    </row>
    <row r="79" spans="1:16" x14ac:dyDescent="0.2">
      <c r="A79" s="23"/>
      <c r="B79" t="s">
        <v>133</v>
      </c>
      <c r="C79" s="61">
        <v>37.83</v>
      </c>
      <c r="P79" s="6"/>
    </row>
    <row r="80" spans="1:16" x14ac:dyDescent="0.2">
      <c r="A80" s="92"/>
      <c r="B80" s="34" t="s">
        <v>134</v>
      </c>
      <c r="C80" s="61">
        <v>54.29</v>
      </c>
      <c r="P80" s="6"/>
    </row>
    <row r="81" spans="1:17" x14ac:dyDescent="0.2">
      <c r="A81" s="509">
        <v>2012</v>
      </c>
      <c r="B81" t="s">
        <v>129</v>
      </c>
      <c r="C81" s="49">
        <v>408</v>
      </c>
      <c r="P81" s="6"/>
    </row>
    <row r="82" spans="1:17" x14ac:dyDescent="0.2">
      <c r="A82" s="23"/>
      <c r="B82" t="s">
        <v>131</v>
      </c>
      <c r="C82" s="90">
        <v>26.7</v>
      </c>
      <c r="D82" s="512" t="s">
        <v>514</v>
      </c>
      <c r="P82" s="6"/>
    </row>
    <row r="83" spans="1:17" x14ac:dyDescent="0.2">
      <c r="A83" s="23"/>
      <c r="B83" t="s">
        <v>133</v>
      </c>
      <c r="C83" s="61">
        <v>23.43</v>
      </c>
      <c r="P83" s="6"/>
    </row>
    <row r="84" spans="1:17" x14ac:dyDescent="0.2">
      <c r="A84" s="92"/>
      <c r="B84" s="34" t="s">
        <v>134</v>
      </c>
      <c r="C84" s="61">
        <v>30.13</v>
      </c>
      <c r="P84" s="6"/>
    </row>
    <row r="85" spans="1:17" x14ac:dyDescent="0.2">
      <c r="A85" s="509">
        <v>2013</v>
      </c>
      <c r="B85" t="s">
        <v>129</v>
      </c>
      <c r="C85" s="49">
        <v>405</v>
      </c>
      <c r="P85" s="6"/>
    </row>
    <row r="86" spans="1:17" x14ac:dyDescent="0.2">
      <c r="A86" s="23"/>
      <c r="B86" t="s">
        <v>131</v>
      </c>
      <c r="C86" s="564">
        <v>4.04</v>
      </c>
      <c r="D86" s="512" t="s">
        <v>714</v>
      </c>
      <c r="P86" s="6"/>
    </row>
    <row r="87" spans="1:17" x14ac:dyDescent="0.2">
      <c r="A87" s="23"/>
      <c r="B87" t="s">
        <v>133</v>
      </c>
      <c r="C87" s="61">
        <v>2.8</v>
      </c>
      <c r="P87" s="6"/>
    </row>
    <row r="88" spans="1:17" x14ac:dyDescent="0.2">
      <c r="A88" s="92"/>
      <c r="B88" s="34" t="s">
        <v>134</v>
      </c>
      <c r="C88" s="61">
        <v>5.6</v>
      </c>
      <c r="P88" s="6"/>
    </row>
    <row r="89" spans="1:17" x14ac:dyDescent="0.2">
      <c r="A89" s="509">
        <v>2014</v>
      </c>
      <c r="B89" t="s">
        <v>129</v>
      </c>
      <c r="C89" s="49">
        <v>407</v>
      </c>
      <c r="D89" s="512" t="s">
        <v>645</v>
      </c>
      <c r="P89" s="6"/>
    </row>
    <row r="90" spans="1:17" x14ac:dyDescent="0.2">
      <c r="A90" s="23"/>
      <c r="B90" t="s">
        <v>131</v>
      </c>
      <c r="C90" s="564">
        <v>1.53</v>
      </c>
      <c r="P90" s="6"/>
    </row>
    <row r="91" spans="1:17" x14ac:dyDescent="0.2">
      <c r="A91" s="23"/>
      <c r="B91" t="s">
        <v>133</v>
      </c>
      <c r="C91" s="61">
        <v>1.17</v>
      </c>
      <c r="P91" s="6"/>
    </row>
    <row r="92" spans="1:17" x14ac:dyDescent="0.2">
      <c r="A92" s="92"/>
      <c r="B92" s="34" t="s">
        <v>134</v>
      </c>
      <c r="C92" s="61">
        <v>1.93</v>
      </c>
      <c r="O92" s="7" t="s">
        <v>129</v>
      </c>
      <c r="P92" s="6">
        <f>AVERAGE(C5,C9,C13,C17,C21,C25,C29,C33,C37,C81,C85,C45,C49,C53,C57,C61,C65,C69,C73,C77,C81,C85,C89,C93,C97,C101)</f>
        <v>484.15384615384613</v>
      </c>
    </row>
    <row r="93" spans="1:17" x14ac:dyDescent="0.2">
      <c r="A93" s="509">
        <v>2015</v>
      </c>
      <c r="B93" t="s">
        <v>129</v>
      </c>
      <c r="C93" s="49">
        <v>408</v>
      </c>
      <c r="O93" s="205" t="s">
        <v>380</v>
      </c>
      <c r="P93" s="2">
        <f>AVERAGE(C6,C10,C14,C18,C22,C26,C30,C34,C38,C82,C86,C46,C50,C54,C58,C62,C66,C70,C74,C78,C82,C86,C90,C94,C98,C102)</f>
        <v>18.960060044624633</v>
      </c>
      <c r="Q93" s="178" t="s">
        <v>733</v>
      </c>
    </row>
    <row r="94" spans="1:17" x14ac:dyDescent="0.2">
      <c r="B94" t="s">
        <v>131</v>
      </c>
      <c r="C94" s="564">
        <v>2.7</v>
      </c>
      <c r="P94" s="7" t="s">
        <v>381</v>
      </c>
    </row>
    <row r="95" spans="1:17" x14ac:dyDescent="0.2">
      <c r="B95" t="s">
        <v>133</v>
      </c>
      <c r="C95" s="61">
        <v>2.14</v>
      </c>
    </row>
    <row r="96" spans="1:17" x14ac:dyDescent="0.2">
      <c r="A96" s="34"/>
      <c r="B96" s="34" t="s">
        <v>134</v>
      </c>
      <c r="C96" s="61">
        <v>3.3</v>
      </c>
      <c r="O96" s="7" t="s">
        <v>382</v>
      </c>
      <c r="P96" s="2">
        <f>MAX(C6,C10,C14,C18,C22,C26,C30,C34,C38,C42,C46,C50,C54,C58,C62,C66,C70,C74,C78,C82,C86,C90,C94,C98)</f>
        <v>109.96</v>
      </c>
    </row>
    <row r="97" spans="1:16" x14ac:dyDescent="0.2">
      <c r="A97" s="509">
        <v>2016</v>
      </c>
      <c r="B97" t="s">
        <v>129</v>
      </c>
      <c r="C97" s="49">
        <v>408</v>
      </c>
      <c r="E97" s="20" t="s">
        <v>711</v>
      </c>
      <c r="G97" s="624">
        <f>SUM(C5,C9,C13,C17,C21,C25,C29,C33,C37,C41,C45,C49,C53,C57,C61,C65,C69,C73,C77,C81,C85,C89,C93,C97,C101)</f>
        <v>12747</v>
      </c>
      <c r="H97" s="623" t="s">
        <v>732</v>
      </c>
    </row>
    <row r="98" spans="1:16" x14ac:dyDescent="0.2">
      <c r="B98" t="s">
        <v>131</v>
      </c>
      <c r="C98" s="564">
        <v>13.22</v>
      </c>
      <c r="E98" s="20" t="s">
        <v>710</v>
      </c>
      <c r="G98" s="625">
        <f>G97/25</f>
        <v>509.88</v>
      </c>
      <c r="O98" s="7" t="s">
        <v>383</v>
      </c>
      <c r="P98" s="2">
        <f>MIN(C6,C10,C14,C18,C22,C26,C30,C34,C38,C42,C46,C50,C54,C58, C62,C66,C70,C74,C78,C82,C86,C90,C94,C98)</f>
        <v>0.1</v>
      </c>
    </row>
    <row r="99" spans="1:16" x14ac:dyDescent="0.2">
      <c r="B99" t="s">
        <v>133</v>
      </c>
      <c r="C99" s="61">
        <v>10.84</v>
      </c>
      <c r="E99" s="20" t="s">
        <v>712</v>
      </c>
      <c r="G99" s="6">
        <f>MAX(C6,C10,C14,C18,C22,C26,C30,C34,C38,C42,C46,C50,C54,C58,C62,C66,C70,C74,C78,C82,C86,C90,C94,C98,C102)</f>
        <v>109.96</v>
      </c>
      <c r="H99" s="627" t="s">
        <v>718</v>
      </c>
    </row>
    <row r="100" spans="1:16" x14ac:dyDescent="0.2">
      <c r="A100" s="34"/>
      <c r="B100" s="34" t="s">
        <v>134</v>
      </c>
      <c r="C100" s="61">
        <v>16</v>
      </c>
      <c r="E100" s="20" t="s">
        <v>713</v>
      </c>
      <c r="G100" s="2">
        <v>0.11</v>
      </c>
      <c r="H100" s="627" t="s">
        <v>718</v>
      </c>
      <c r="O100" s="7" t="s">
        <v>390</v>
      </c>
      <c r="P100" s="2">
        <f>STDEV(C6,C10,C14,C18,C22,C26,C30,C34,C38,C42,C46,C50,C54,C58,C62,C66,C70,C74,C78,C82,C86,C90,C94,C98,C102)</f>
        <v>26.306326594237621</v>
      </c>
    </row>
    <row r="101" spans="1:16" x14ac:dyDescent="0.2">
      <c r="A101" s="509">
        <v>2017</v>
      </c>
      <c r="B101" t="s">
        <v>129</v>
      </c>
      <c r="C101" s="49">
        <v>402</v>
      </c>
    </row>
    <row r="102" spans="1:16" x14ac:dyDescent="0.2">
      <c r="B102" t="s">
        <v>131</v>
      </c>
      <c r="C102" s="564">
        <v>29.21</v>
      </c>
      <c r="O102" s="7" t="s">
        <v>391</v>
      </c>
      <c r="P102" s="206">
        <f>P100/P93</f>
        <v>1.3874600888564026</v>
      </c>
    </row>
    <row r="103" spans="1:16" x14ac:dyDescent="0.2">
      <c r="B103" t="s">
        <v>133</v>
      </c>
      <c r="C103" s="61">
        <v>24.19</v>
      </c>
    </row>
    <row r="104" spans="1:16" x14ac:dyDescent="0.2">
      <c r="A104" s="34"/>
      <c r="B104" s="34" t="s">
        <v>134</v>
      </c>
      <c r="C104" s="61">
        <v>34.76</v>
      </c>
    </row>
    <row r="105" spans="1:16" x14ac:dyDescent="0.2">
      <c r="A105" s="636">
        <v>2018</v>
      </c>
      <c r="B105" t="s">
        <v>129</v>
      </c>
      <c r="C105" s="49">
        <v>404</v>
      </c>
      <c r="D105" s="512" t="s">
        <v>736</v>
      </c>
      <c r="F105" s="20"/>
    </row>
    <row r="106" spans="1:16" x14ac:dyDescent="0.2">
      <c r="B106" t="s">
        <v>131</v>
      </c>
      <c r="C106" s="564">
        <v>0.12</v>
      </c>
    </row>
    <row r="107" spans="1:16" x14ac:dyDescent="0.2">
      <c r="B107" t="s">
        <v>133</v>
      </c>
      <c r="C107" s="61">
        <v>0.01</v>
      </c>
    </row>
    <row r="108" spans="1:16" x14ac:dyDescent="0.2">
      <c r="A108" s="34"/>
      <c r="B108" s="34" t="s">
        <v>134</v>
      </c>
      <c r="C108" s="61">
        <v>0.28000000000000003</v>
      </c>
    </row>
    <row r="112" spans="1:16" x14ac:dyDescent="0.2">
      <c r="F112">
        <v>0.16</v>
      </c>
    </row>
    <row r="120" spans="4:8" x14ac:dyDescent="0.2">
      <c r="F120" t="s">
        <v>133</v>
      </c>
      <c r="G120" t="s">
        <v>375</v>
      </c>
      <c r="H120" t="s">
        <v>483</v>
      </c>
    </row>
    <row r="121" spans="4:8" x14ac:dyDescent="0.2">
      <c r="E121">
        <v>1993</v>
      </c>
      <c r="F121" s="35">
        <f>C6-C7</f>
        <v>4.6530951538733589</v>
      </c>
      <c r="G121" s="35">
        <f>C8-C6</f>
        <v>4.9032189600283012</v>
      </c>
      <c r="H121" s="35">
        <f>C6</f>
        <v>25.004810753448883</v>
      </c>
    </row>
    <row r="122" spans="4:8" x14ac:dyDescent="0.2">
      <c r="E122">
        <f>E121+1</f>
        <v>1994</v>
      </c>
      <c r="F122" s="35">
        <f>C10-C11</f>
        <v>7.130527060488151E-2</v>
      </c>
      <c r="G122" s="35">
        <f>C12-C10</f>
        <v>2.5221082419525975E-2</v>
      </c>
      <c r="H122" s="35">
        <f>C10</f>
        <v>0.1</v>
      </c>
    </row>
    <row r="123" spans="4:8" x14ac:dyDescent="0.2">
      <c r="D123" s="35"/>
      <c r="E123">
        <f t="shared" ref="E123:E138" si="1">E122+1</f>
        <v>1995</v>
      </c>
      <c r="F123" s="35">
        <f>C14-C15</f>
        <v>0.13525645560665014</v>
      </c>
      <c r="G123" s="35">
        <f>C16-C14</f>
        <v>0.19675627874071455</v>
      </c>
      <c r="H123" s="35">
        <f>C14</f>
        <v>0.31378493102228511</v>
      </c>
    </row>
    <row r="124" spans="4:8" x14ac:dyDescent="0.2">
      <c r="D124" s="35"/>
      <c r="E124">
        <f t="shared" si="1"/>
        <v>1996</v>
      </c>
      <c r="F124" s="35">
        <f>C18-C19</f>
        <v>0.34205871949062605</v>
      </c>
      <c r="G124" s="35">
        <f>C20-C18</f>
        <v>0.40679165192783873</v>
      </c>
      <c r="H124" s="35">
        <f>C18</f>
        <v>0.8687654757693668</v>
      </c>
    </row>
    <row r="125" spans="4:8" x14ac:dyDescent="0.2">
      <c r="D125" s="35"/>
      <c r="E125">
        <f t="shared" si="1"/>
        <v>1997</v>
      </c>
      <c r="F125" s="35">
        <f>C22-C23</f>
        <v>13.86</v>
      </c>
      <c r="G125" s="35">
        <f>C24-C22</f>
        <v>17.920000000000009</v>
      </c>
      <c r="H125" s="35">
        <f>C22</f>
        <v>57.87</v>
      </c>
    </row>
    <row r="126" spans="4:8" x14ac:dyDescent="0.2">
      <c r="D126" s="35"/>
      <c r="E126">
        <f t="shared" si="1"/>
        <v>1998</v>
      </c>
      <c r="F126" s="35">
        <f>C26-C27</f>
        <v>0.1065</v>
      </c>
      <c r="G126" s="35">
        <f>C28-C26</f>
        <v>0.20350000000000001</v>
      </c>
      <c r="H126" s="35">
        <f>C26</f>
        <v>0.1065</v>
      </c>
    </row>
    <row r="127" spans="4:8" x14ac:dyDescent="0.2">
      <c r="D127" s="35"/>
      <c r="E127">
        <f t="shared" si="1"/>
        <v>1999</v>
      </c>
      <c r="F127" s="35">
        <f>C30-C31</f>
        <v>0.39</v>
      </c>
      <c r="G127" s="35">
        <f>C32-C30</f>
        <v>0.47</v>
      </c>
      <c r="H127" s="35">
        <f>C30</f>
        <v>0.96</v>
      </c>
    </row>
    <row r="128" spans="4:8" x14ac:dyDescent="0.2">
      <c r="D128" s="35"/>
      <c r="E128">
        <f t="shared" si="1"/>
        <v>2000</v>
      </c>
      <c r="F128" s="35">
        <f>C34-C35</f>
        <v>7.0900000000000034</v>
      </c>
      <c r="G128" s="35">
        <f>C36-C34</f>
        <v>7.8999999999999915</v>
      </c>
      <c r="H128" s="35">
        <f>C34</f>
        <v>59.09</v>
      </c>
    </row>
    <row r="129" spans="4:8" x14ac:dyDescent="0.2">
      <c r="D129" s="35"/>
      <c r="E129">
        <f t="shared" si="1"/>
        <v>2001</v>
      </c>
      <c r="F129" s="35">
        <f>C38-C39</f>
        <v>1.42</v>
      </c>
      <c r="G129" s="35">
        <f>C40-C38</f>
        <v>1.5</v>
      </c>
      <c r="H129" s="35">
        <f>C38</f>
        <v>14</v>
      </c>
    </row>
    <row r="130" spans="4:8" x14ac:dyDescent="0.2">
      <c r="D130" s="11"/>
      <c r="E130">
        <f t="shared" si="1"/>
        <v>2002</v>
      </c>
      <c r="F130" s="35">
        <f>C42-C43</f>
        <v>0.49000000000000021</v>
      </c>
      <c r="G130" s="35">
        <f>C44-C42</f>
        <v>0.64999999999999991</v>
      </c>
      <c r="H130" s="35">
        <f>C42</f>
        <v>1.87</v>
      </c>
    </row>
    <row r="131" spans="4:8" x14ac:dyDescent="0.2">
      <c r="D131" s="11"/>
      <c r="E131">
        <f t="shared" si="1"/>
        <v>2003</v>
      </c>
      <c r="F131" s="35">
        <f>C46-C47</f>
        <v>1.3656999999999995</v>
      </c>
      <c r="G131" s="35">
        <f>C48-C46</f>
        <v>1.4123000000000001</v>
      </c>
      <c r="H131" s="35">
        <f>C46</f>
        <v>9.0376999999999992</v>
      </c>
    </row>
    <row r="132" spans="4:8" x14ac:dyDescent="0.2">
      <c r="D132" s="11"/>
      <c r="E132">
        <f t="shared" si="1"/>
        <v>2004</v>
      </c>
      <c r="F132" s="35">
        <f>C50-C51</f>
        <v>1.0300000000000002</v>
      </c>
      <c r="G132" s="35">
        <f>C52-C50</f>
        <v>1.2299999999999995</v>
      </c>
      <c r="H132" s="35">
        <f>C50</f>
        <v>4.4800000000000004</v>
      </c>
    </row>
    <row r="133" spans="4:8" x14ac:dyDescent="0.2">
      <c r="E133">
        <f t="shared" si="1"/>
        <v>2005</v>
      </c>
      <c r="F133" s="35">
        <f>C54-C55</f>
        <v>3.980000000000004</v>
      </c>
      <c r="G133" s="35">
        <f>C56-C54</f>
        <v>4.269999999999996</v>
      </c>
      <c r="H133" s="35">
        <f>C54</f>
        <v>36.53</v>
      </c>
    </row>
    <row r="134" spans="4:8" x14ac:dyDescent="0.2">
      <c r="E134">
        <f t="shared" si="1"/>
        <v>2006</v>
      </c>
      <c r="F134" s="35">
        <f>C58-C59</f>
        <v>1.6199999999999992</v>
      </c>
      <c r="G134" s="35">
        <f>C60-C58</f>
        <v>2.08</v>
      </c>
      <c r="H134" s="35">
        <f>C58</f>
        <v>10.61</v>
      </c>
    </row>
    <row r="135" spans="4:8" x14ac:dyDescent="0.2">
      <c r="E135">
        <f t="shared" si="1"/>
        <v>2007</v>
      </c>
      <c r="F135" s="35">
        <f>C62-C63</f>
        <v>11.059999999999988</v>
      </c>
      <c r="G135" s="35">
        <f>C64-C62</f>
        <v>11.400000000000006</v>
      </c>
      <c r="H135" s="35">
        <f>C62</f>
        <v>109.96</v>
      </c>
    </row>
    <row r="136" spans="4:8" x14ac:dyDescent="0.2">
      <c r="E136">
        <f t="shared" si="1"/>
        <v>2008</v>
      </c>
      <c r="F136" s="35">
        <f>C66-C67</f>
        <v>0.39</v>
      </c>
      <c r="G136" s="35">
        <f>C68-C66</f>
        <v>0.43999999999999995</v>
      </c>
      <c r="H136" s="35">
        <f>C66</f>
        <v>1.32</v>
      </c>
    </row>
    <row r="137" spans="4:8" x14ac:dyDescent="0.2">
      <c r="E137">
        <f t="shared" si="1"/>
        <v>2009</v>
      </c>
      <c r="F137" s="35">
        <f>C70-C71</f>
        <v>0.69000000000000006</v>
      </c>
      <c r="G137" s="35">
        <f>C72-C70</f>
        <v>0.89999999999999991</v>
      </c>
      <c r="H137" s="35">
        <f>C70</f>
        <v>1.37</v>
      </c>
    </row>
    <row r="138" spans="4:8" x14ac:dyDescent="0.2">
      <c r="E138">
        <f t="shared" si="1"/>
        <v>2010</v>
      </c>
      <c r="F138" s="35">
        <f>C74-C75</f>
        <v>2.08</v>
      </c>
      <c r="G138" s="35">
        <f>C76-C74</f>
        <v>2.5599999999999987</v>
      </c>
      <c r="H138" s="35">
        <f>C74</f>
        <v>7.48</v>
      </c>
    </row>
    <row r="139" spans="4:8" x14ac:dyDescent="0.2">
      <c r="E139">
        <v>2011</v>
      </c>
      <c r="F139" s="35">
        <f>C78-C79</f>
        <v>7.8900000000000006</v>
      </c>
      <c r="G139" s="35">
        <f>C80-C78</f>
        <v>8.57</v>
      </c>
      <c r="H139" s="35">
        <v>45.72</v>
      </c>
    </row>
    <row r="140" spans="4:8" x14ac:dyDescent="0.2">
      <c r="E140">
        <v>2012</v>
      </c>
      <c r="F140" s="35">
        <f>C82-C83</f>
        <v>3.2699999999999996</v>
      </c>
      <c r="G140" s="35">
        <f>C84-C82</f>
        <v>3.4299999999999997</v>
      </c>
      <c r="H140">
        <v>26.7</v>
      </c>
    </row>
    <row r="141" spans="4:8" x14ac:dyDescent="0.2">
      <c r="E141">
        <v>2013</v>
      </c>
      <c r="F141" s="35">
        <f>C86-C87</f>
        <v>1.2400000000000002</v>
      </c>
      <c r="G141" s="35">
        <f>C88-C86</f>
        <v>1.5599999999999996</v>
      </c>
      <c r="H141" s="35">
        <f>C86</f>
        <v>4.04</v>
      </c>
    </row>
    <row r="142" spans="4:8" x14ac:dyDescent="0.2">
      <c r="E142">
        <v>2014</v>
      </c>
      <c r="F142" s="35">
        <f>C90-C91</f>
        <v>0.3600000000000001</v>
      </c>
      <c r="G142" s="35">
        <f>C92-C90</f>
        <v>0.39999999999999991</v>
      </c>
      <c r="H142" s="35">
        <f>C90</f>
        <v>1.53</v>
      </c>
    </row>
    <row r="143" spans="4:8" x14ac:dyDescent="0.2">
      <c r="E143">
        <v>2015</v>
      </c>
      <c r="F143" s="35">
        <f>C94-C95</f>
        <v>0.56000000000000005</v>
      </c>
      <c r="G143" s="35">
        <f>C96-C94</f>
        <v>0.59999999999999964</v>
      </c>
      <c r="H143" s="35">
        <f>C94</f>
        <v>2.7</v>
      </c>
    </row>
    <row r="144" spans="4:8" x14ac:dyDescent="0.2">
      <c r="E144">
        <v>2016</v>
      </c>
      <c r="F144" s="35">
        <f>C98-C99</f>
        <v>2.3800000000000008</v>
      </c>
      <c r="G144" s="35">
        <f>C100-C98</f>
        <v>2.7799999999999994</v>
      </c>
      <c r="H144" s="35">
        <f>C98</f>
        <v>13.22</v>
      </c>
    </row>
    <row r="145" spans="5:8" x14ac:dyDescent="0.2">
      <c r="E145">
        <v>2017</v>
      </c>
      <c r="F145" s="35">
        <f>C102-C103</f>
        <v>5.0199999999999996</v>
      </c>
      <c r="G145" s="35">
        <f>C104-C102</f>
        <v>5.5499999999999972</v>
      </c>
      <c r="H145" s="35">
        <f>C102</f>
        <v>29.21</v>
      </c>
    </row>
    <row r="146" spans="5:8" x14ac:dyDescent="0.2">
      <c r="E146">
        <v>2018</v>
      </c>
      <c r="F146">
        <v>0.02</v>
      </c>
      <c r="G146">
        <v>0.38</v>
      </c>
      <c r="H146">
        <v>0.16</v>
      </c>
    </row>
  </sheetData>
  <phoneticPr fontId="0" type="noConversion"/>
  <printOptions horizontalCentered="1" gridLines="1"/>
  <pageMargins left="0.74803149606299213" right="0.74803149606299213" top="0.82" bottom="0.55000000000000004" header="0.39" footer="0.31"/>
  <pageSetup orientation="landscape" horizontalDpi="4294967292" verticalDpi="300" r:id="rId1"/>
  <headerFooter alignWithMargins="0">
    <oddHeader>&amp;L&amp;"Arial,Bold"&amp;11Kluane Monitoring Program&amp;C&amp;A&amp;R&amp;F</oddHeader>
    <oddFooter>&amp;CPage &amp;P&amp;R&amp;D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Browse</vt:lpstr>
      <vt:lpstr>Shrub Growth</vt:lpstr>
      <vt:lpstr>Tree Growth</vt:lpstr>
      <vt:lpstr>Cones-index</vt:lpstr>
      <vt:lpstr>Total Cones</vt:lpstr>
      <vt:lpstr>Seeds</vt:lpstr>
      <vt:lpstr>Bark Beetle</vt:lpstr>
      <vt:lpstr>Seedlings</vt:lpstr>
      <vt:lpstr>Mushroom</vt:lpstr>
      <vt:lpstr>Berry</vt:lpstr>
      <vt:lpstr>Soapberry</vt:lpstr>
      <vt:lpstr>Hares</vt:lpstr>
      <vt:lpstr>Hare Pellets</vt:lpstr>
      <vt:lpstr>Red Squirrel</vt:lpstr>
      <vt:lpstr>Ground Squirrel</vt:lpstr>
      <vt:lpstr>Clethrionomys</vt:lpstr>
      <vt:lpstr>Microtus</vt:lpstr>
      <vt:lpstr>Peromyscus</vt:lpstr>
      <vt:lpstr>Predator</vt:lpstr>
      <vt:lpstr>Coyote Tracks</vt:lpstr>
      <vt:lpstr>Lynx Tracks</vt:lpstr>
      <vt:lpstr>Marten Tracks</vt:lpstr>
      <vt:lpstr>Weasel Tracks</vt:lpstr>
      <vt:lpstr>G-H Owl</vt:lpstr>
      <vt:lpstr>Bear Problems</vt:lpstr>
    </vt:vector>
  </TitlesOfParts>
  <Company>Department of Zoology,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Charles J. Krebs</dc:creator>
  <cp:lastModifiedBy>Charles Krebs</cp:lastModifiedBy>
  <cp:lastPrinted>2009-10-26T22:35:42Z</cp:lastPrinted>
  <dcterms:created xsi:type="dcterms:W3CDTF">1998-09-12T18:58:58Z</dcterms:created>
  <dcterms:modified xsi:type="dcterms:W3CDTF">2018-11-26T21:46:36Z</dcterms:modified>
</cp:coreProperties>
</file>