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 Inspiron 15\Dropbox\CEFIP 2\Electricidad\para mapa\"/>
    </mc:Choice>
  </mc:AlternateContent>
  <xr:revisionPtr revIDLastSave="0" documentId="13_ncr:1_{2B6392BA-0F53-40C1-A1AB-239CF99813E7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deera" sheetId="2" state="hidden" r:id="rId1"/>
    <sheet name="Hoja1" sheetId="1" r:id="rId2"/>
    <sheet name="Hoja2" sheetId="3" state="hidden" r:id="rId3"/>
  </sheets>
  <definedNames>
    <definedName name="_xlnm.Print_Area" localSheetId="0">adeera!$B$1:$AU$9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3" l="1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F32" i="1"/>
  <c r="E32" i="1"/>
  <c r="D32" i="1"/>
  <c r="F33" i="1"/>
  <c r="E33" i="1"/>
  <c r="D33" i="1"/>
  <c r="E31" i="1"/>
  <c r="F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 l="1"/>
  <c r="E19" i="1"/>
  <c r="D19" i="1"/>
  <c r="E18" i="1"/>
  <c r="F18" i="1"/>
  <c r="D18" i="1"/>
  <c r="F17" i="1"/>
  <c r="E17" i="1"/>
  <c r="D17" i="1"/>
  <c r="F16" i="1"/>
  <c r="E16" i="1"/>
  <c r="D16" i="1"/>
  <c r="E15" i="1"/>
  <c r="D15" i="1"/>
  <c r="F15" i="1"/>
  <c r="F14" i="1"/>
  <c r="E14" i="1"/>
  <c r="D14" i="1"/>
  <c r="F13" i="1"/>
  <c r="E13" i="1"/>
  <c r="D13" i="1"/>
  <c r="F12" i="1"/>
  <c r="E12" i="1"/>
  <c r="D12" i="1"/>
  <c r="F10" i="1"/>
  <c r="F11" i="1"/>
  <c r="F9" i="1"/>
  <c r="F8" i="1"/>
  <c r="E10" i="1"/>
  <c r="E9" i="1"/>
  <c r="D10" i="1"/>
  <c r="E8" i="1"/>
  <c r="D9" i="1"/>
  <c r="D8" i="1"/>
  <c r="E11" i="1"/>
  <c r="D11" i="1" l="1"/>
  <c r="F6" i="1"/>
  <c r="F7" i="1"/>
  <c r="E7" i="1"/>
  <c r="E6" i="1"/>
  <c r="D6" i="1"/>
  <c r="D7" i="1"/>
  <c r="AT37" i="2"/>
  <c r="AS37" i="2"/>
  <c r="AR37" i="2"/>
  <c r="AP37" i="2"/>
  <c r="AO37" i="2"/>
  <c r="AN37" i="2"/>
  <c r="AM37" i="2"/>
  <c r="AL37" i="2"/>
  <c r="AJ37" i="2"/>
  <c r="AI37" i="2"/>
  <c r="AH37" i="2"/>
  <c r="AG37" i="2"/>
  <c r="AF37" i="2"/>
  <c r="AE37" i="2"/>
  <c r="AD37" i="2"/>
  <c r="AC37" i="2"/>
  <c r="AB37" i="2"/>
  <c r="AK37" i="2" s="1"/>
  <c r="AQ37" i="2" s="1"/>
  <c r="AQ39" i="2" s="1"/>
  <c r="AA37" i="2"/>
  <c r="Z37" i="2"/>
  <c r="Y37" i="2"/>
  <c r="AA39" i="2" s="1"/>
  <c r="X37" i="2"/>
  <c r="Y39" i="2" s="1"/>
  <c r="W37" i="2"/>
  <c r="V37" i="2"/>
  <c r="U37" i="2"/>
  <c r="T37" i="2"/>
  <c r="S37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D37" i="2"/>
  <c r="O39" i="2" s="1"/>
  <c r="C37" i="2"/>
  <c r="AW35" i="2"/>
  <c r="AX35" i="2" s="1"/>
  <c r="AY35" i="2" s="1"/>
  <c r="AZ35" i="2" s="1"/>
  <c r="AV35" i="2"/>
  <c r="AK35" i="2"/>
  <c r="AQ35" i="2" s="1"/>
  <c r="O35" i="2"/>
  <c r="AW34" i="2"/>
  <c r="AX34" i="2" s="1"/>
  <c r="AV34" i="2"/>
  <c r="AK34" i="2"/>
  <c r="AQ34" i="2" s="1"/>
  <c r="O34" i="2"/>
  <c r="AW33" i="2"/>
  <c r="AX33" i="2" s="1"/>
  <c r="AV33" i="2"/>
  <c r="AK33" i="2"/>
  <c r="AQ33" i="2" s="1"/>
  <c r="O33" i="2"/>
  <c r="AW32" i="2"/>
  <c r="AX32" i="2" s="1"/>
  <c r="AY32" i="2" s="1"/>
  <c r="AZ32" i="2" s="1"/>
  <c r="AV32" i="2"/>
  <c r="AW31" i="2"/>
  <c r="AX31" i="2" s="1"/>
  <c r="AY31" i="2" s="1"/>
  <c r="AZ31" i="2" s="1"/>
  <c r="AV31" i="2"/>
  <c r="O31" i="2"/>
  <c r="AW30" i="2"/>
  <c r="AX30" i="2" s="1"/>
  <c r="AY30" i="2" s="1"/>
  <c r="AZ30" i="2" s="1"/>
  <c r="AV30" i="2"/>
  <c r="O30" i="2"/>
  <c r="AW29" i="2"/>
  <c r="AX29" i="2" s="1"/>
  <c r="AY29" i="2" s="1"/>
  <c r="AZ29" i="2" s="1"/>
  <c r="AV29" i="2"/>
  <c r="AW28" i="2"/>
  <c r="AX28" i="2" s="1"/>
  <c r="AV28" i="2"/>
  <c r="O28" i="2"/>
  <c r="AW27" i="2"/>
  <c r="AX27" i="2" s="1"/>
  <c r="AV27" i="2"/>
  <c r="AW26" i="2"/>
  <c r="AX26" i="2" s="1"/>
  <c r="AY26" i="2" s="1"/>
  <c r="AZ26" i="2" s="1"/>
  <c r="AV26" i="2"/>
  <c r="AW25" i="2"/>
  <c r="AX25" i="2" s="1"/>
  <c r="AY25" i="2" s="1"/>
  <c r="AZ25" i="2" s="1"/>
  <c r="AV25" i="2"/>
  <c r="O25" i="2"/>
  <c r="AW24" i="2"/>
  <c r="AX24" i="2" s="1"/>
  <c r="AY24" i="2" s="1"/>
  <c r="AZ24" i="2" s="1"/>
  <c r="AV24" i="2"/>
  <c r="AW23" i="2"/>
  <c r="AX23" i="2" s="1"/>
  <c r="AY23" i="2" s="1"/>
  <c r="AZ23" i="2" s="1"/>
  <c r="AV23" i="2"/>
  <c r="AW22" i="2"/>
  <c r="AX22" i="2" s="1"/>
  <c r="AV22" i="2"/>
  <c r="AK22" i="2"/>
  <c r="AQ22" i="2" s="1"/>
  <c r="O22" i="2"/>
  <c r="AW21" i="2"/>
  <c r="AX21" i="2" s="1"/>
  <c r="AY21" i="2" s="1"/>
  <c r="AZ21" i="2" s="1"/>
  <c r="AV21" i="2"/>
  <c r="AQ21" i="2"/>
  <c r="AK21" i="2"/>
  <c r="O21" i="2"/>
  <c r="AW20" i="2"/>
  <c r="AX20" i="2" s="1"/>
  <c r="AV20" i="2"/>
  <c r="AW19" i="2"/>
  <c r="AX19" i="2" s="1"/>
  <c r="AY19" i="2" s="1"/>
  <c r="AZ19" i="2" s="1"/>
  <c r="AV19" i="2"/>
  <c r="O19" i="2"/>
  <c r="AW18" i="2"/>
  <c r="AX18" i="2" s="1"/>
  <c r="AY18" i="2" s="1"/>
  <c r="AZ18" i="2" s="1"/>
  <c r="AV18" i="2"/>
  <c r="AW17" i="2"/>
  <c r="AX17" i="2" s="1"/>
  <c r="AY17" i="2" s="1"/>
  <c r="AZ17" i="2" s="1"/>
  <c r="AV17" i="2"/>
  <c r="AW16" i="2"/>
  <c r="AX16" i="2" s="1"/>
  <c r="AY16" i="2" s="1"/>
  <c r="AZ16" i="2" s="1"/>
  <c r="AV16" i="2"/>
  <c r="AW15" i="2"/>
  <c r="AX15" i="2" s="1"/>
  <c r="AV15" i="2"/>
  <c r="AW14" i="2"/>
  <c r="AX14" i="2" s="1"/>
  <c r="AY14" i="2" s="1"/>
  <c r="AZ14" i="2" s="1"/>
  <c r="AV14" i="2"/>
  <c r="O14" i="2"/>
  <c r="AW13" i="2"/>
  <c r="AX13" i="2" s="1"/>
  <c r="AY13" i="2" s="1"/>
  <c r="AZ13" i="2" s="1"/>
  <c r="AV13" i="2"/>
  <c r="AW12" i="2"/>
  <c r="AX12" i="2" s="1"/>
  <c r="AV12" i="2"/>
  <c r="AW11" i="2"/>
  <c r="AX11" i="2" s="1"/>
  <c r="AY11" i="2" s="1"/>
  <c r="AZ11" i="2" s="1"/>
  <c r="AV11" i="2"/>
  <c r="O11" i="2"/>
  <c r="AX10" i="2"/>
  <c r="AY10" i="2" s="1"/>
  <c r="AZ10" i="2" s="1"/>
  <c r="AW10" i="2"/>
  <c r="AV10" i="2"/>
  <c r="AY33" i="2" l="1"/>
  <c r="AZ33" i="2" s="1"/>
  <c r="W39" i="2"/>
  <c r="O37" i="2"/>
  <c r="AY34" i="2"/>
  <c r="AZ34" i="2" s="1"/>
  <c r="AY28" i="2"/>
  <c r="AZ28" i="2" s="1"/>
  <c r="AY20" i="2"/>
  <c r="AZ20" i="2" s="1"/>
  <c r="AY15" i="2"/>
  <c r="AZ15" i="2" s="1"/>
  <c r="AV36" i="2"/>
  <c r="AY22" i="2"/>
  <c r="AZ22" i="2" s="1"/>
  <c r="AY27" i="2"/>
  <c r="AZ27" i="2" s="1"/>
  <c r="AY12" i="2"/>
  <c r="AZ12" i="2" s="1"/>
  <c r="AW36" i="2"/>
  <c r="AX36" i="2" s="1"/>
  <c r="AY36" i="2" s="1"/>
  <c r="AZ36" i="2" s="1"/>
</calcChain>
</file>

<file path=xl/sharedStrings.xml><?xml version="1.0" encoding="utf-8"?>
<sst xmlns="http://schemas.openxmlformats.org/spreadsheetml/2006/main" count="413" uniqueCount="228">
  <si>
    <t>AMBA</t>
  </si>
  <si>
    <r>
      <t>EDESUR</t>
    </r>
    <r>
      <rPr>
        <sz val="10"/>
        <color rgb="FF000000"/>
        <rFont val="Arial"/>
        <family val="2"/>
      </rPr>
      <t> (Distribuidora de Energia Sur S.A.)</t>
    </r>
  </si>
  <si>
    <r>
      <t>EDENOR </t>
    </r>
    <r>
      <rPr>
        <sz val="10"/>
        <color rgb="FF000000"/>
        <rFont val="Arial"/>
        <family val="2"/>
      </rPr>
      <t>(Distribuidora y Comercializadora de Energia Norte S.A.)</t>
    </r>
  </si>
  <si>
    <t>Buenos Aires</t>
  </si>
  <si>
    <r>
      <t>EDEA </t>
    </r>
    <r>
      <rPr>
        <sz val="10"/>
        <color rgb="FF000000"/>
        <rFont val="Arial"/>
        <family val="2"/>
      </rPr>
      <t>(Empresa Distribuidora de Energía Atlántica S.A.)</t>
    </r>
  </si>
  <si>
    <r>
      <t>EDEN</t>
    </r>
    <r>
      <rPr>
        <sz val="10"/>
        <color rgb="FF000000"/>
        <rFont val="Arial"/>
        <family val="2"/>
      </rPr>
      <t> (Empresa Distribuidora de Energia Norte S.A)</t>
    </r>
  </si>
  <si>
    <r>
      <t>EDES</t>
    </r>
    <r>
      <rPr>
        <sz val="10"/>
        <color rgb="FF000000"/>
        <rFont val="Arial"/>
        <family val="2"/>
      </rPr>
      <t> (Empresa Distribuidora de Energia Sur S.A)</t>
    </r>
  </si>
  <si>
    <r>
      <t>EDELAP</t>
    </r>
    <r>
      <rPr>
        <sz val="10"/>
        <color rgb="FF000000"/>
        <rFont val="Arial"/>
        <family val="2"/>
      </rPr>
      <t> (Empresa Distribuidora La Plata S.A.)</t>
    </r>
  </si>
  <si>
    <t>Catamarca</t>
  </si>
  <si>
    <r>
      <t>ECS.A.P.E.M. Energía Catamarca S.A.P.E.M.</t>
    </r>
    <r>
      <rPr>
        <sz val="10"/>
        <color rgb="FF000000"/>
        <rFont val="Arial"/>
        <family val="2"/>
      </rPr>
      <t> (Sociedad Anónima con Participación Estatal Mayoritaria)</t>
    </r>
  </si>
  <si>
    <r>
      <t>SECHEEP</t>
    </r>
    <r>
      <rPr>
        <sz val="10"/>
        <color rgb="FF000000"/>
        <rFont val="Arial"/>
        <family val="2"/>
      </rPr>
      <t> (Servicios Energéticos del Chaco Empresa del Estado Provincial)</t>
    </r>
  </si>
  <si>
    <t>Chubut</t>
  </si>
  <si>
    <t>Córdoba</t>
  </si>
  <si>
    <r>
      <t>EPEC</t>
    </r>
    <r>
      <rPr>
        <sz val="10"/>
        <color rgb="FF000000"/>
        <rFont val="Arial"/>
        <family val="2"/>
      </rPr>
      <t> (Empresa Provincial de Energía de Córdoba S.A.)</t>
    </r>
  </si>
  <si>
    <t>Corrientes</t>
  </si>
  <si>
    <r>
      <t>DPEC</t>
    </r>
    <r>
      <rPr>
        <sz val="10"/>
        <color rgb="FF000000"/>
        <rFont val="Arial"/>
        <family val="2"/>
      </rPr>
      <t> (Dirección Provincial de Energía de Corrientes S.A.)</t>
    </r>
  </si>
  <si>
    <t>Entre Ríos</t>
  </si>
  <si>
    <r>
      <t>ENERSA S.A.</t>
    </r>
    <r>
      <rPr>
        <sz val="10"/>
        <color rgb="FF000000"/>
        <rFont val="Arial"/>
        <family val="2"/>
      </rPr>
      <t> (Energía de Entre Ríos S.A.)</t>
    </r>
  </si>
  <si>
    <t>Formosa</t>
  </si>
  <si>
    <r>
      <t>Servicio Eléctrico de Recursos y Energía Formosa</t>
    </r>
    <r>
      <rPr>
        <sz val="10"/>
        <color rgb="FF000000"/>
        <rFont val="Arial"/>
        <family val="2"/>
      </rPr>
      <t> (REFSA S.A.)</t>
    </r>
  </si>
  <si>
    <t>Jujuy</t>
  </si>
  <si>
    <r>
      <t>EJE S.A. </t>
    </r>
    <r>
      <rPr>
        <sz val="10"/>
        <color rgb="FF000000"/>
        <rFont val="Arial"/>
        <family val="2"/>
      </rPr>
      <t>(Empresa Jujeña De Energía S.A.)</t>
    </r>
  </si>
  <si>
    <t>La Pampa</t>
  </si>
  <si>
    <r>
      <t>APE</t>
    </r>
    <r>
      <rPr>
        <sz val="10"/>
        <color rgb="FF000000"/>
        <rFont val="Arial"/>
        <family val="2"/>
      </rPr>
      <t> (Administración Provincial de Energía de la Pampa)</t>
    </r>
  </si>
  <si>
    <t>La Rioja</t>
  </si>
  <si>
    <r>
      <t>EDELAR</t>
    </r>
    <r>
      <rPr>
        <sz val="10"/>
        <color rgb="FF000000"/>
        <rFont val="Arial"/>
        <family val="2"/>
      </rPr>
      <t> (Empresa Distribuidora de Electricidad de La Rioja S.A)</t>
    </r>
  </si>
  <si>
    <t>Mendoza</t>
  </si>
  <si>
    <r>
      <t>EDEMSA</t>
    </r>
    <r>
      <rPr>
        <sz val="10"/>
        <color rgb="FF000000"/>
        <rFont val="Arial"/>
        <family val="2"/>
      </rPr>
      <t> (Empresa Distribuidora de Electricidad de Mendoza S.A.)</t>
    </r>
  </si>
  <si>
    <t>Misiones</t>
  </si>
  <si>
    <r>
      <t>EMSA </t>
    </r>
    <r>
      <rPr>
        <sz val="10"/>
        <color rgb="FF000000"/>
        <rFont val="Arial"/>
        <family val="2"/>
      </rPr>
      <t>(Electricidad de Misiones S.A.)</t>
    </r>
  </si>
  <si>
    <t>Neuquén</t>
  </si>
  <si>
    <r>
      <t>EPEN </t>
    </r>
    <r>
      <rPr>
        <sz val="10"/>
        <color rgb="FF000000"/>
        <rFont val="Arial"/>
        <family val="2"/>
      </rPr>
      <t>(Ente Provincial de Energía de Neuquén)</t>
    </r>
  </si>
  <si>
    <t>Rio Negro</t>
  </si>
  <si>
    <r>
      <t>EDERSA</t>
    </r>
    <r>
      <rPr>
        <sz val="10"/>
        <color rgb="FF000000"/>
        <rFont val="Arial"/>
        <family val="2"/>
      </rPr>
      <t> (Empresa de Energía de Rio Negro S.A.)</t>
    </r>
  </si>
  <si>
    <t>Salta</t>
  </si>
  <si>
    <r>
      <t>EDESA </t>
    </r>
    <r>
      <rPr>
        <sz val="10"/>
        <color rgb="FF000000"/>
        <rFont val="Arial"/>
        <family val="2"/>
      </rPr>
      <t>(Empresa Distribuidora de Electricidad de Salta)</t>
    </r>
  </si>
  <si>
    <t>San Juan</t>
  </si>
  <si>
    <r>
      <t>ESJ S.A.</t>
    </r>
    <r>
      <rPr>
        <sz val="10"/>
        <color rgb="FF000000"/>
        <rFont val="Arial"/>
        <family val="2"/>
      </rPr>
      <t> (Energía San Juan S.A.)</t>
    </r>
  </si>
  <si>
    <t>San Luis</t>
  </si>
  <si>
    <r>
      <t>EDESAL S.A.</t>
    </r>
    <r>
      <rPr>
        <sz val="10"/>
        <color rgb="FF000000"/>
        <rFont val="Arial"/>
        <family val="2"/>
      </rPr>
      <t> (Empresa Distribuidora San Luis S.A.)</t>
    </r>
  </si>
  <si>
    <t>Santa Cruz</t>
  </si>
  <si>
    <t>SPSE S.A. (Servicios Públicos SA)</t>
  </si>
  <si>
    <t>Santa Fe</t>
  </si>
  <si>
    <r>
      <t>EPESF</t>
    </r>
    <r>
      <rPr>
        <sz val="10"/>
        <color rgb="FF000000"/>
        <rFont val="Arial"/>
        <family val="2"/>
      </rPr>
      <t> (Empresa Provincial De Energía De Santa Fe S.A.)</t>
    </r>
  </si>
  <si>
    <t>Santiago del Estero</t>
  </si>
  <si>
    <r>
      <t>EDESE</t>
    </r>
    <r>
      <rPr>
        <sz val="10"/>
        <color rgb="FF000000"/>
        <rFont val="Arial"/>
        <family val="2"/>
      </rPr>
      <t> (Empresa Distribuidora de Electricidad de Santiago del Estero S.A.)</t>
    </r>
  </si>
  <si>
    <t>Tierra del Fuego</t>
  </si>
  <si>
    <t>Tucumán</t>
  </si>
  <si>
    <r>
      <t>EDET</t>
    </r>
    <r>
      <rPr>
        <sz val="10"/>
        <color rgb="FF000000"/>
        <rFont val="Arial"/>
        <family val="2"/>
      </rPr>
      <t> (Empresa de Distribución Eléctrica De Tucumán S.A.)</t>
    </r>
  </si>
  <si>
    <t>N1</t>
  </si>
  <si>
    <t>N2</t>
  </si>
  <si>
    <t>N3</t>
  </si>
  <si>
    <t>ASOCIACIÓN DE DISTRIBUIDORES DE ENERGÍA ELÉCTRICA DE LA REPÚBLICA ARGENTINA</t>
  </si>
  <si>
    <t>DATOS CARACTERISTICOS DE LAS EMPRESAS</t>
  </si>
  <si>
    <t xml:space="preserve">Año </t>
  </si>
  <si>
    <t>Anterior o Sin Datos (s/d)</t>
  </si>
  <si>
    <t>Instalaciones</t>
  </si>
  <si>
    <t xml:space="preserve"> </t>
  </si>
  <si>
    <t>Número de Clientes</t>
  </si>
  <si>
    <t>Dotación</t>
  </si>
  <si>
    <t>Líneas</t>
  </si>
  <si>
    <t>Potencia Instalada</t>
  </si>
  <si>
    <t>Energía facturada a cada tipo de Cliente</t>
  </si>
  <si>
    <t>Residencial [kWh/bim]</t>
  </si>
  <si>
    <t>General &lt; 10kW [kWh/bim]</t>
  </si>
  <si>
    <t>Ado.Público</t>
  </si>
  <si>
    <t>Com e Ind</t>
  </si>
  <si>
    <t>GGUU</t>
  </si>
  <si>
    <t>PAFTT</t>
  </si>
  <si>
    <t>Cooperativas</t>
  </si>
  <si>
    <t>Total</t>
  </si>
  <si>
    <t>Propios</t>
  </si>
  <si>
    <t>Contratados</t>
  </si>
  <si>
    <t>BT</t>
  </si>
  <si>
    <t>MT</t>
  </si>
  <si>
    <t>AT</t>
  </si>
  <si>
    <t>AT/MT</t>
  </si>
  <si>
    <t>MT/BT</t>
  </si>
  <si>
    <t>Com. e Ind.</t>
  </si>
  <si>
    <t>Total Energ. Clientes Propios</t>
  </si>
  <si>
    <t>Total Venta Energ</t>
  </si>
  <si>
    <t>PAFTT DIST</t>
  </si>
  <si>
    <t>Pot. Máx.</t>
  </si>
  <si>
    <t>Pérdidas</t>
  </si>
  <si>
    <t>Empresa</t>
  </si>
  <si>
    <t>Área</t>
  </si>
  <si>
    <t xml:space="preserve"> &lt;= 1000 </t>
  </si>
  <si>
    <t xml:space="preserve"> &gt;1000 y &lt;=1400 </t>
  </si>
  <si>
    <t>&gt;1400 y &lt;=2800</t>
  </si>
  <si>
    <t xml:space="preserve"> &gt; 2800 </t>
  </si>
  <si>
    <t xml:space="preserve">&lt;4000 </t>
  </si>
  <si>
    <t>&gt;= 4000</t>
  </si>
  <si>
    <t xml:space="preserve"> ≥10y&lt;300 kW</t>
  </si>
  <si>
    <t>≥ 300 kW</t>
  </si>
  <si>
    <t>Clientes</t>
  </si>
  <si>
    <t>Aéreo</t>
  </si>
  <si>
    <t>Subterráneo</t>
  </si>
  <si>
    <t>EETT</t>
  </si>
  <si>
    <t>Instalada</t>
  </si>
  <si>
    <t>CCTT</t>
  </si>
  <si>
    <t xml:space="preserve"> ≥ 10 y &lt; 300 kW</t>
  </si>
  <si>
    <t>Un. físicas</t>
  </si>
  <si>
    <t>Facturado</t>
  </si>
  <si>
    <t>[km2]</t>
  </si>
  <si>
    <t>nº</t>
  </si>
  <si>
    <t>km</t>
  </si>
  <si>
    <t>MVA</t>
  </si>
  <si>
    <t>GWh</t>
  </si>
  <si>
    <t>Miles de $</t>
  </si>
  <si>
    <t>MW</t>
  </si>
  <si>
    <t>%</t>
  </si>
  <si>
    <t>usuarios</t>
  </si>
  <si>
    <t>khw</t>
  </si>
  <si>
    <r>
      <t>14</t>
    </r>
    <r>
      <rPr>
        <sz val="8"/>
        <rFont val="Optima"/>
        <family val="2"/>
      </rPr>
      <t xml:space="preserve">= suma </t>
    </r>
    <r>
      <rPr>
        <sz val="7"/>
        <rFont val="Optima"/>
        <family val="2"/>
      </rPr>
      <t>(3 a 13)</t>
    </r>
  </si>
  <si>
    <r>
      <t>42</t>
    </r>
    <r>
      <rPr>
        <sz val="8"/>
        <rFont val="Optima"/>
        <family val="2"/>
      </rPr>
      <t>=36+38+40</t>
    </r>
  </si>
  <si>
    <r>
      <t>43</t>
    </r>
    <r>
      <rPr>
        <sz val="8"/>
        <rFont val="Optima"/>
        <family val="2"/>
      </rPr>
      <t>=37+39+41</t>
    </r>
  </si>
  <si>
    <t>EDENOR</t>
  </si>
  <si>
    <t xml:space="preserve">EDESUR </t>
  </si>
  <si>
    <t>EPESF</t>
  </si>
  <si>
    <t>EPEC</t>
  </si>
  <si>
    <t>EDEMSA</t>
  </si>
  <si>
    <t>ENERSA</t>
  </si>
  <si>
    <t>EDEN</t>
  </si>
  <si>
    <t>EDELAP</t>
  </si>
  <si>
    <t>EDEA</t>
  </si>
  <si>
    <t>-</t>
  </si>
  <si>
    <t>EDET</t>
  </si>
  <si>
    <t>SECHEEP</t>
  </si>
  <si>
    <r>
      <t xml:space="preserve">Servicios Públicos SE  </t>
    </r>
    <r>
      <rPr>
        <sz val="8"/>
        <color indexed="10"/>
        <rFont val="Optima"/>
        <charset val="1"/>
      </rPr>
      <t>(datos 2014)</t>
    </r>
  </si>
  <si>
    <r>
      <rPr>
        <b/>
        <sz val="8"/>
        <rFont val="Optima"/>
        <charset val="1"/>
      </rPr>
      <t>EMSA</t>
    </r>
    <r>
      <rPr>
        <sz val="8"/>
        <color rgb="FFFF0000"/>
        <rFont val="Optima"/>
      </rPr>
      <t xml:space="preserve"> (datos 2017)</t>
    </r>
  </si>
  <si>
    <t>EDESA</t>
  </si>
  <si>
    <r>
      <t>ESJ SA</t>
    </r>
    <r>
      <rPr>
        <b/>
        <sz val="8"/>
        <color rgb="FFFF0000"/>
        <rFont val="Optima"/>
      </rPr>
      <t/>
    </r>
  </si>
  <si>
    <t>EDESE</t>
  </si>
  <si>
    <t>EDESAL</t>
  </si>
  <si>
    <t>EDELAR</t>
  </si>
  <si>
    <t>EDERSA</t>
  </si>
  <si>
    <t>EDES</t>
  </si>
  <si>
    <t xml:space="preserve">EPEN </t>
  </si>
  <si>
    <t>---</t>
  </si>
  <si>
    <r>
      <t xml:space="preserve">EJESA </t>
    </r>
    <r>
      <rPr>
        <sz val="8"/>
        <color rgb="FFFF0000"/>
        <rFont val="Optima"/>
      </rPr>
      <t>(datos 2021)</t>
    </r>
  </si>
  <si>
    <t>Energía de Catamarca SAPEM</t>
  </si>
  <si>
    <r>
      <t>APELP</t>
    </r>
    <r>
      <rPr>
        <sz val="8"/>
        <color rgb="FFFF0000"/>
        <rFont val="Optima"/>
      </rPr>
      <t xml:space="preserve"> (datos 2018)</t>
    </r>
  </si>
  <si>
    <r>
      <t>REFSA</t>
    </r>
    <r>
      <rPr>
        <sz val="8"/>
        <color indexed="10"/>
        <rFont val="Optima"/>
        <family val="2"/>
      </rPr>
      <t xml:space="preserve"> (datos 2013)</t>
    </r>
  </si>
  <si>
    <t>s/d</t>
  </si>
  <si>
    <r>
      <t xml:space="preserve">EDESTESA </t>
    </r>
    <r>
      <rPr>
        <sz val="8"/>
        <color rgb="FFFF0000"/>
        <rFont val="Optima"/>
      </rPr>
      <t>(datos 2017)</t>
    </r>
  </si>
  <si>
    <t>TOTALES</t>
  </si>
  <si>
    <t>REFERENCIAS</t>
  </si>
  <si>
    <t>Columna</t>
  </si>
  <si>
    <t>Detalle</t>
  </si>
  <si>
    <t>Nombre de la Distribuidora.</t>
  </si>
  <si>
    <t>Área de la Concesión [km2]</t>
  </si>
  <si>
    <t>Cantidad de Clientes RESIDENCIALES a los que prestaba servicio al 31/12/2022, con demanda igual o menor a 1000 kWh/bimestre.</t>
  </si>
  <si>
    <t>Idem anterior, con demanda mayor a 1000 y menor o igual a 1400 kWh/bimestre.</t>
  </si>
  <si>
    <t>Idem anterior, con demanda mayor a 1400 y menor o igual a 2800 kWh/bimestre.</t>
  </si>
  <si>
    <t>Idem anterior, con demanda mayor a 2800  kWh/bimestre.</t>
  </si>
  <si>
    <t>Número de Clientes GENERALES con potencia menor a 10 kW, a los que prestaba servicio al 31/12/2022, con demanda menor a 4000 kWh/bimestre.</t>
  </si>
  <si>
    <t>Idem anterior, con demanda igual o mayor a 4000 kWh/bimestre.</t>
  </si>
  <si>
    <t>Número de clientes de Alumbrado Público, al 31/12/2022.</t>
  </si>
  <si>
    <t>Número de Clientes COMERCIALES e IINDUSTRIALES con potencia superior a 10 kW y menor a 300 kW, a los que prestaba servicio al 31/12/2022.</t>
  </si>
  <si>
    <t>Número de GGUU INDUSTRIALES con potencia igual o superior a 300 kW, a los que prestaba servicio al 31/12/2022.</t>
  </si>
  <si>
    <t>Número de Clientes a los que prestaba servicio de PAFTT al 31/12/2022.</t>
  </si>
  <si>
    <t>Cantidad de Distribuidores NO Agentes del MEM (Cooperativas), a las cuales se da suministro como cliente final dentro del área de Concesión. 
Se considera a la Cooperativa como un solo cliente final (no se contabilizan los clientes propios de la misma).</t>
  </si>
  <si>
    <r>
      <t xml:space="preserve">Cantidad Total de clientes del Distribuidor (suma de valores contabilizados en </t>
    </r>
    <r>
      <rPr>
        <sz val="8"/>
        <color indexed="10"/>
        <rFont val="Optima"/>
        <family val="2"/>
      </rPr>
      <t xml:space="preserve">col </t>
    </r>
    <r>
      <rPr>
        <sz val="8"/>
        <color indexed="10"/>
        <rFont val="Optima"/>
        <family val="2"/>
      </rPr>
      <t>3 a 13</t>
    </r>
    <r>
      <rPr>
        <sz val="8"/>
        <rFont val="Optima"/>
        <family val="2"/>
      </rPr>
      <t>).</t>
    </r>
  </si>
  <si>
    <t>Número de empleados y trabajadores propios al 31/12/2022.</t>
  </si>
  <si>
    <t>Número de empleados y trabajadores contratados al 31/12/2022.</t>
  </si>
  <si>
    <t>km de líneas de Baja Tensión Aéreas al 31/12/2022.</t>
  </si>
  <si>
    <t>km de líneas de Baja Tensión Subterráneas al 31/12/2022.</t>
  </si>
  <si>
    <t>km de líneas de Media Tensión Aéreas (hasta 33 kV inclusive) al 31/12/2022.</t>
  </si>
  <si>
    <t>km de líneas de Media Tensión Subterráneas (hasta 33 kV inclusive) al 31/12/2022.</t>
  </si>
  <si>
    <t>km de líneas de Alta Tensión Aéreas (incluye las de tensión de 66 kV y mayores) al 31/12/2022.</t>
  </si>
  <si>
    <t>km de líneas de Alta Tensión Subterráneas (incluye las de tensión de 66 kV y mayores) al 31/12/2022.</t>
  </si>
  <si>
    <t>Cantidad de Estaciones Transformadoreas AT/MT al 31/12/2022 
(incluye Centros de Distribución y/o Centros de rebaje MT/MT).</t>
  </si>
  <si>
    <r>
      <t xml:space="preserve">Sumatoria de las potencias [MVA] de los transformadores contabilizados en </t>
    </r>
    <r>
      <rPr>
        <sz val="8"/>
        <color indexed="10"/>
        <rFont val="Optima"/>
        <family val="2"/>
      </rPr>
      <t xml:space="preserve">col </t>
    </r>
    <r>
      <rPr>
        <sz val="8"/>
        <color indexed="10"/>
        <rFont val="Optima"/>
        <family val="2"/>
      </rPr>
      <t>23</t>
    </r>
  </si>
  <si>
    <t>Cantidad de Centros de Transformación MT/BT (Cámaras + Plataformas urbanas y rurales) al 31/12/2022. 
NO incluye las SSEE de AT/MT, ni los  Centros de Distribución y/o Centros de rebaje MT/MT).</t>
  </si>
  <si>
    <r>
      <t xml:space="preserve">Sumatoria de las Potencias [MVA] de los Transformadores indicados en </t>
    </r>
    <r>
      <rPr>
        <sz val="8"/>
        <color indexed="10"/>
        <rFont val="Optima"/>
        <family val="2"/>
      </rPr>
      <t xml:space="preserve">col </t>
    </r>
    <r>
      <rPr>
        <sz val="8"/>
        <color indexed="10"/>
        <rFont val="Optima"/>
        <family val="2"/>
      </rPr>
      <t>25.</t>
    </r>
  </si>
  <si>
    <t>27 a 35</t>
  </si>
  <si>
    <t>Energía vendida [GWh] en el año 2022 a cada tipo de cliente final.</t>
  </si>
  <si>
    <t>Energía vendida [GWh] en el año 2022 a clientes finales (NO incluye la de los sumistros a otras Distribuidoras si los hubiera, NI la energía distribuida como PAFTT a GUMAs, GUMEs,y GUPAs).</t>
  </si>
  <si>
    <t>Monto [Miles de $]  facturado en el año 2022 , sin impuestos , por la energía vendida y contabilizada en col 36</t>
  </si>
  <si>
    <t>Energía transportada [GWh] en el año 2022, por el servicio de PAFTT a GUMAs, GUMEs y GUPAs.</t>
  </si>
  <si>
    <t>Monto facturado [Miles de $] (por la Distribuidora o CAMMESA, según corresponda) en el año 2022 y sin impuestos, por el servicio de PAFTT a GUMAs, GUMEs y GUPAs.</t>
  </si>
  <si>
    <t>Energía suministrada [GWh] a las Cooperativas clientes durante el año 2022.</t>
  </si>
  <si>
    <t>Monto [Miles de $] facturado en el año 2022 , sin impuestos , por la energía vendida y contabilizada en col 40.</t>
  </si>
  <si>
    <r>
      <t xml:space="preserve">Total de Energía [GWh] Facturada (suma de valores contabilizados en </t>
    </r>
    <r>
      <rPr>
        <sz val="8"/>
        <color indexed="10"/>
        <rFont val="Optima"/>
        <family val="2"/>
      </rPr>
      <t xml:space="preserve">col </t>
    </r>
    <r>
      <rPr>
        <sz val="8"/>
        <color indexed="10"/>
        <rFont val="Optima"/>
        <family val="2"/>
      </rPr>
      <t>36, 38 y 40</t>
    </r>
    <r>
      <rPr>
        <sz val="8"/>
        <rFont val="Optima"/>
        <family val="2"/>
      </rPr>
      <t>).</t>
    </r>
  </si>
  <si>
    <t>Monto [Miles de $] facturado en el año 2022 , sin impuestos , por la energía vendida y contabilizada en col 42.</t>
  </si>
  <si>
    <t>Energía sumnistrada [GWh] a otras Distribuidoras durante el año 2022 (PAFTT No Firme).</t>
  </si>
  <si>
    <t>Potencia Máxima [MW] total demandada, transportada y/o distribuida por las redes del Distribuidor registrada en el año 2022 (incluye la del servicio de PAFTT a GUMAs, GUMEs y GUPAs).</t>
  </si>
  <si>
    <t>Relación de Pérdidas Totales [%], como la suma de energía de pérdidas Técnicas y No Técnicas, referidas al total de Enería Operada.</t>
  </si>
  <si>
    <t>consumo promedio mensual</t>
  </si>
  <si>
    <t>Provincia</t>
  </si>
  <si>
    <t>Distribuidora</t>
  </si>
  <si>
    <t>Tarifas para consumo promedio nacional de 265 kwh/mes.</t>
  </si>
  <si>
    <t>Categoría</t>
  </si>
  <si>
    <t>R2</t>
  </si>
  <si>
    <t>R3</t>
  </si>
  <si>
    <t>Chaco</t>
  </si>
  <si>
    <t>R1</t>
  </si>
  <si>
    <t>R4</t>
  </si>
  <si>
    <t>Cooperativa de Río Grande</t>
  </si>
  <si>
    <t>Cooperativa de Rawson</t>
  </si>
  <si>
    <t>Servicoop</t>
  </si>
  <si>
    <t>Edesur</t>
  </si>
  <si>
    <t>Edenor</t>
  </si>
  <si>
    <t>Edea</t>
  </si>
  <si>
    <t>Eden</t>
  </si>
  <si>
    <t>Edes</t>
  </si>
  <si>
    <t>Edelap</t>
  </si>
  <si>
    <t>Edet</t>
  </si>
  <si>
    <t>Cooprg</t>
  </si>
  <si>
    <t>Edese</t>
  </si>
  <si>
    <t>Epesf</t>
  </si>
  <si>
    <t>Spse</t>
  </si>
  <si>
    <t>Edesal</t>
  </si>
  <si>
    <t>Esj</t>
  </si>
  <si>
    <t>Edesa</t>
  </si>
  <si>
    <t>Edersa</t>
  </si>
  <si>
    <t>Epen</t>
  </si>
  <si>
    <t>Emsa</t>
  </si>
  <si>
    <t>Edemsa</t>
  </si>
  <si>
    <t>Edelar</t>
  </si>
  <si>
    <t>Ape</t>
  </si>
  <si>
    <t>Ejesa</t>
  </si>
  <si>
    <t>Refsa</t>
  </si>
  <si>
    <t>Enersa</t>
  </si>
  <si>
    <t>Epec</t>
  </si>
  <si>
    <t>Dpec</t>
  </si>
  <si>
    <t>Secheep</t>
  </si>
  <si>
    <t>Ecsapem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</si>
</sst>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#,##0.0"/>
    <numFmt numFmtId="166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8"/>
      <name val="Optima"/>
      <family val="2"/>
    </font>
    <font>
      <b/>
      <sz val="10"/>
      <color rgb="FFFF0000"/>
      <name val="Optima"/>
      <family val="2"/>
    </font>
    <font>
      <b/>
      <sz val="8"/>
      <color rgb="FFFF0000"/>
      <name val="Optima"/>
      <family val="2"/>
    </font>
    <font>
      <b/>
      <sz val="11"/>
      <color rgb="FF002060"/>
      <name val="Optima"/>
      <family val="2"/>
    </font>
    <font>
      <b/>
      <sz val="14"/>
      <name val="Optima"/>
      <family val="2"/>
    </font>
    <font>
      <sz val="10"/>
      <name val="Arial"/>
      <family val="2"/>
    </font>
    <font>
      <b/>
      <sz val="14"/>
      <color rgb="FF0000FF"/>
      <name val="Optima"/>
      <family val="2"/>
    </font>
    <font>
      <b/>
      <sz val="9"/>
      <color rgb="FFFF0000"/>
      <name val="Optima"/>
      <family val="2"/>
    </font>
    <font>
      <b/>
      <sz val="9"/>
      <name val="Optima"/>
      <family val="2"/>
    </font>
    <font>
      <sz val="9"/>
      <name val="Optima"/>
      <family val="2"/>
    </font>
    <font>
      <b/>
      <sz val="8"/>
      <name val="Optima"/>
      <family val="2"/>
    </font>
    <font>
      <sz val="7"/>
      <name val="Optima"/>
      <family val="2"/>
    </font>
    <font>
      <b/>
      <sz val="8"/>
      <name val="Optima"/>
      <charset val="1"/>
    </font>
    <font>
      <sz val="8"/>
      <color rgb="FF0000FF"/>
      <name val="Optima"/>
      <family val="2"/>
    </font>
    <font>
      <sz val="8"/>
      <color indexed="10"/>
      <name val="Optima"/>
      <charset val="1"/>
    </font>
    <font>
      <sz val="8"/>
      <color rgb="FFFF0000"/>
      <name val="Optima"/>
      <family val="2"/>
    </font>
    <font>
      <sz val="8"/>
      <color rgb="FFFF0000"/>
      <name val="Optima"/>
    </font>
    <font>
      <b/>
      <sz val="8"/>
      <color rgb="FFFF0000"/>
      <name val="Optima"/>
    </font>
    <font>
      <sz val="8"/>
      <color indexed="10"/>
      <name val="Optima"/>
      <family val="2"/>
    </font>
    <font>
      <b/>
      <i/>
      <sz val="8"/>
      <name val="Optima"/>
      <family val="2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6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5" fillId="0" borderId="0" xfId="2" applyFont="1"/>
    <xf numFmtId="0" fontId="6" fillId="0" borderId="0" xfId="2" applyFont="1" applyAlignment="1">
      <alignment horizontal="center" vertical="center"/>
    </xf>
    <xf numFmtId="0" fontId="7" fillId="0" borderId="0" xfId="2" applyFont="1"/>
    <xf numFmtId="165" fontId="6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3" borderId="1" xfId="3" applyNumberFormat="1" applyFont="1" applyFill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3" fontId="12" fillId="4" borderId="1" xfId="3" applyNumberFormat="1" applyFont="1" applyFill="1" applyBorder="1" applyAlignment="1">
      <alignment horizontal="left" vertical="center"/>
    </xf>
    <xf numFmtId="3" fontId="12" fillId="4" borderId="1" xfId="3" applyNumberFormat="1" applyFont="1" applyFill="1" applyBorder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  <xf numFmtId="0" fontId="5" fillId="5" borderId="3" xfId="2" applyFont="1" applyFill="1" applyBorder="1"/>
    <xf numFmtId="0" fontId="5" fillId="5" borderId="4" xfId="2" applyFont="1" applyFill="1" applyBorder="1"/>
    <xf numFmtId="0" fontId="13" fillId="5" borderId="4" xfId="2" applyFont="1" applyFill="1" applyBorder="1"/>
    <xf numFmtId="0" fontId="5" fillId="5" borderId="5" xfId="2" applyFont="1" applyFill="1" applyBorder="1"/>
    <xf numFmtId="0" fontId="6" fillId="0" borderId="6" xfId="2" applyFont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13" fillId="6" borderId="4" xfId="2" applyFont="1" applyFill="1" applyBorder="1" applyAlignment="1">
      <alignment horizontal="center"/>
    </xf>
    <xf numFmtId="0" fontId="5" fillId="6" borderId="4" xfId="2" applyFont="1" applyFill="1" applyBorder="1"/>
    <xf numFmtId="0" fontId="13" fillId="7" borderId="3" xfId="2" applyFont="1" applyFill="1" applyBorder="1" applyAlignment="1">
      <alignment horizontal="center"/>
    </xf>
    <xf numFmtId="0" fontId="13" fillId="7" borderId="5" xfId="2" applyFont="1" applyFill="1" applyBorder="1" applyAlignment="1">
      <alignment horizontal="center"/>
    </xf>
    <xf numFmtId="0" fontId="13" fillId="0" borderId="7" xfId="2" applyFont="1" applyBorder="1" applyAlignment="1">
      <alignment horizontal="center"/>
    </xf>
    <xf numFmtId="0" fontId="13" fillId="0" borderId="8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13" fillId="8" borderId="4" xfId="2" applyFont="1" applyFill="1" applyBorder="1" applyAlignment="1">
      <alignment horizontal="left" indent="1"/>
    </xf>
    <xf numFmtId="165" fontId="6" fillId="8" borderId="4" xfId="2" applyNumberFormat="1" applyFont="1" applyFill="1" applyBorder="1" applyAlignment="1">
      <alignment horizontal="center" vertical="center"/>
    </xf>
    <xf numFmtId="0" fontId="5" fillId="8" borderId="4" xfId="2" applyFont="1" applyFill="1" applyBorder="1"/>
    <xf numFmtId="0" fontId="6" fillId="8" borderId="5" xfId="2" applyFont="1" applyFill="1" applyBorder="1" applyAlignment="1">
      <alignment horizontal="center" vertical="center"/>
    </xf>
    <xf numFmtId="0" fontId="14" fillId="0" borderId="0" xfId="2" applyFont="1"/>
    <xf numFmtId="0" fontId="13" fillId="0" borderId="0" xfId="2" applyFont="1" applyAlignment="1">
      <alignment horizontal="center" vertical="center"/>
    </xf>
    <xf numFmtId="0" fontId="13" fillId="9" borderId="10" xfId="2" applyFont="1" applyFill="1" applyBorder="1" applyAlignment="1">
      <alignment horizontal="center" vertical="center"/>
    </xf>
    <xf numFmtId="0" fontId="13" fillId="9" borderId="11" xfId="2" applyFont="1" applyFill="1" applyBorder="1" applyAlignment="1">
      <alignment horizontal="left"/>
    </xf>
    <xf numFmtId="0" fontId="13" fillId="9" borderId="11" xfId="2" applyFont="1" applyFill="1" applyBorder="1" applyAlignment="1">
      <alignment horizontal="center" vertical="center"/>
    </xf>
    <xf numFmtId="0" fontId="14" fillId="9" borderId="12" xfId="2" applyFont="1" applyFill="1" applyBorder="1"/>
    <xf numFmtId="0" fontId="13" fillId="10" borderId="11" xfId="2" applyFont="1" applyFill="1" applyBorder="1" applyAlignment="1">
      <alignment horizontal="left"/>
    </xf>
    <xf numFmtId="0" fontId="13" fillId="10" borderId="12" xfId="2" applyFont="1" applyFill="1" applyBorder="1" applyAlignment="1">
      <alignment horizontal="center" vertical="center"/>
    </xf>
    <xf numFmtId="0" fontId="13" fillId="11" borderId="10" xfId="2" applyFont="1" applyFill="1" applyBorder="1" applyAlignment="1">
      <alignment horizontal="center"/>
    </xf>
    <xf numFmtId="0" fontId="13" fillId="12" borderId="10" xfId="2" applyFont="1" applyFill="1" applyBorder="1" applyAlignment="1">
      <alignment horizontal="center"/>
    </xf>
    <xf numFmtId="0" fontId="13" fillId="13" borderId="10" xfId="2" applyFont="1" applyFill="1" applyBorder="1" applyAlignment="1">
      <alignment horizontal="center"/>
    </xf>
    <xf numFmtId="0" fontId="13" fillId="14" borderId="10" xfId="2" applyFont="1" applyFill="1" applyBorder="1" applyAlignment="1">
      <alignment horizontal="center"/>
    </xf>
    <xf numFmtId="0" fontId="13" fillId="10" borderId="13" xfId="2" applyFont="1" applyFill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4" fillId="0" borderId="16" xfId="2" applyFont="1" applyBorder="1"/>
    <xf numFmtId="0" fontId="13" fillId="0" borderId="2" xfId="2" applyFont="1" applyBorder="1" applyAlignment="1">
      <alignment horizontal="left"/>
    </xf>
    <xf numFmtId="0" fontId="14" fillId="0" borderId="17" xfId="2" applyFont="1" applyBorder="1"/>
    <xf numFmtId="0" fontId="13" fillId="0" borderId="18" xfId="2" applyFont="1" applyBorder="1" applyAlignment="1">
      <alignment horizontal="left"/>
    </xf>
    <xf numFmtId="0" fontId="13" fillId="10" borderId="10" xfId="2" applyFont="1" applyFill="1" applyBorder="1" applyAlignment="1">
      <alignment horizontal="left"/>
    </xf>
    <xf numFmtId="0" fontId="13" fillId="11" borderId="13" xfId="2" applyFont="1" applyFill="1" applyBorder="1" applyAlignment="1">
      <alignment horizontal="center"/>
    </xf>
    <xf numFmtId="0" fontId="13" fillId="12" borderId="10" xfId="2" applyFont="1" applyFill="1" applyBorder="1" applyAlignment="1">
      <alignment horizontal="left" indent="1"/>
    </xf>
    <xf numFmtId="0" fontId="13" fillId="13" borderId="13" xfId="2" applyFont="1" applyFill="1" applyBorder="1" applyAlignment="1">
      <alignment horizontal="center"/>
    </xf>
    <xf numFmtId="0" fontId="13" fillId="11" borderId="7" xfId="2" applyFont="1" applyFill="1" applyBorder="1" applyAlignment="1">
      <alignment horizontal="left" indent="1"/>
    </xf>
    <xf numFmtId="0" fontId="13" fillId="11" borderId="7" xfId="2" applyFont="1" applyFill="1" applyBorder="1" applyAlignment="1">
      <alignment horizontal="center"/>
    </xf>
    <xf numFmtId="165" fontId="13" fillId="8" borderId="7" xfId="2" applyNumberFormat="1" applyFont="1" applyFill="1" applyBorder="1" applyAlignment="1">
      <alignment horizontal="center"/>
    </xf>
    <xf numFmtId="0" fontId="13" fillId="8" borderId="9" xfId="2" applyFont="1" applyFill="1" applyBorder="1" applyAlignment="1">
      <alignment horizontal="center"/>
    </xf>
    <xf numFmtId="0" fontId="13" fillId="5" borderId="8" xfId="2" applyFont="1" applyFill="1" applyBorder="1" applyAlignment="1">
      <alignment horizontal="left" indent="1"/>
    </xf>
    <xf numFmtId="0" fontId="13" fillId="5" borderId="9" xfId="2" applyFont="1" applyFill="1" applyBorder="1" applyAlignment="1">
      <alignment horizontal="center"/>
    </xf>
    <xf numFmtId="0" fontId="13" fillId="15" borderId="8" xfId="2" applyFont="1" applyFill="1" applyBorder="1" applyAlignment="1">
      <alignment horizontal="left" indent="2"/>
    </xf>
    <xf numFmtId="0" fontId="13" fillId="15" borderId="8" xfId="2" applyFont="1" applyFill="1" applyBorder="1" applyAlignment="1">
      <alignment horizontal="center"/>
    </xf>
    <xf numFmtId="0" fontId="13" fillId="3" borderId="19" xfId="2" applyFont="1" applyFill="1" applyBorder="1" applyAlignment="1">
      <alignment horizontal="center"/>
    </xf>
    <xf numFmtId="0" fontId="13" fillId="11" borderId="19" xfId="2" applyFont="1" applyFill="1" applyBorder="1" applyAlignment="1">
      <alignment horizontal="center"/>
    </xf>
    <xf numFmtId="0" fontId="13" fillId="0" borderId="19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5" fillId="0" borderId="20" xfId="2" applyFont="1" applyBorder="1" applyAlignment="1">
      <alignment horizontal="center"/>
    </xf>
    <xf numFmtId="0" fontId="5" fillId="0" borderId="21" xfId="2" applyFont="1" applyBorder="1" applyAlignment="1">
      <alignment horizontal="center"/>
    </xf>
    <xf numFmtId="0" fontId="5" fillId="0" borderId="22" xfId="2" applyFont="1" applyBorder="1" applyAlignment="1">
      <alignment horizontal="center"/>
    </xf>
    <xf numFmtId="0" fontId="15" fillId="0" borderId="23" xfId="2" applyFont="1" applyBorder="1" applyAlignment="1">
      <alignment horizontal="center"/>
    </xf>
    <xf numFmtId="0" fontId="5" fillId="0" borderId="23" xfId="2" applyFont="1" applyBorder="1" applyAlignment="1">
      <alignment horizontal="center"/>
    </xf>
    <xf numFmtId="0" fontId="13" fillId="0" borderId="23" xfId="2" applyFont="1" applyBorder="1" applyAlignment="1">
      <alignment horizontal="center"/>
    </xf>
    <xf numFmtId="0" fontId="14" fillId="0" borderId="20" xfId="2" applyFont="1" applyBorder="1"/>
    <xf numFmtId="0" fontId="14" fillId="0" borderId="24" xfId="2" applyFont="1" applyBorder="1"/>
    <xf numFmtId="0" fontId="14" fillId="0" borderId="25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4" fillId="0" borderId="26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1" xfId="2" applyFont="1" applyBorder="1" applyAlignment="1">
      <alignment horizontal="center"/>
    </xf>
    <xf numFmtId="0" fontId="13" fillId="0" borderId="26" xfId="2" applyFont="1" applyBorder="1" applyAlignment="1">
      <alignment horizontal="center"/>
    </xf>
    <xf numFmtId="0" fontId="13" fillId="0" borderId="25" xfId="2" applyFont="1" applyBorder="1" applyAlignment="1">
      <alignment horizontal="center"/>
    </xf>
    <xf numFmtId="165" fontId="13" fillId="0" borderId="25" xfId="2" applyNumberFormat="1" applyFont="1" applyBorder="1" applyAlignment="1">
      <alignment horizontal="center"/>
    </xf>
    <xf numFmtId="0" fontId="14" fillId="0" borderId="27" xfId="2" applyFont="1" applyBorder="1"/>
    <xf numFmtId="0" fontId="14" fillId="0" borderId="28" xfId="2" applyFont="1" applyBorder="1" applyAlignment="1">
      <alignment horizontal="center"/>
    </xf>
    <xf numFmtId="0" fontId="13" fillId="0" borderId="29" xfId="2" applyFont="1" applyBorder="1" applyAlignment="1">
      <alignment horizontal="center"/>
    </xf>
    <xf numFmtId="0" fontId="13" fillId="0" borderId="30" xfId="2" applyFont="1" applyBorder="1" applyAlignment="1">
      <alignment horizontal="center"/>
    </xf>
    <xf numFmtId="0" fontId="13" fillId="0" borderId="31" xfId="2" applyFont="1" applyBorder="1" applyAlignment="1">
      <alignment horizontal="center"/>
    </xf>
    <xf numFmtId="0" fontId="13" fillId="0" borderId="32" xfId="2" applyFont="1" applyBorder="1" applyAlignment="1">
      <alignment horizontal="center"/>
    </xf>
    <xf numFmtId="0" fontId="13" fillId="0" borderId="33" xfId="2" applyFont="1" applyBorder="1" applyAlignment="1">
      <alignment horizontal="center"/>
    </xf>
    <xf numFmtId="0" fontId="13" fillId="0" borderId="34" xfId="2" applyFont="1" applyBorder="1" applyAlignment="1">
      <alignment horizontal="center"/>
    </xf>
    <xf numFmtId="0" fontId="13" fillId="0" borderId="35" xfId="2" applyFont="1" applyBorder="1" applyAlignment="1">
      <alignment horizontal="center"/>
    </xf>
    <xf numFmtId="0" fontId="13" fillId="0" borderId="36" xfId="2" applyFont="1" applyBorder="1" applyAlignment="1">
      <alignment horizontal="center"/>
    </xf>
    <xf numFmtId="0" fontId="13" fillId="0" borderId="37" xfId="2" applyFont="1" applyBorder="1" applyAlignment="1">
      <alignment horizontal="center"/>
    </xf>
    <xf numFmtId="0" fontId="13" fillId="0" borderId="38" xfId="2" applyFont="1" applyBorder="1" applyAlignment="1">
      <alignment horizontal="center"/>
    </xf>
    <xf numFmtId="0" fontId="13" fillId="0" borderId="28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165" fontId="13" fillId="0" borderId="33" xfId="2" applyNumberFormat="1" applyFont="1" applyBorder="1" applyAlignment="1">
      <alignment horizontal="center"/>
    </xf>
    <xf numFmtId="0" fontId="13" fillId="0" borderId="39" xfId="2" applyFont="1" applyBorder="1" applyAlignment="1">
      <alignment horizontal="center"/>
    </xf>
    <xf numFmtId="0" fontId="5" fillId="0" borderId="0" xfId="2" applyFont="1" applyAlignment="1">
      <alignment vertical="center"/>
    </xf>
    <xf numFmtId="0" fontId="15" fillId="0" borderId="21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 wrapText="1"/>
    </xf>
    <xf numFmtId="3" fontId="15" fillId="0" borderId="2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1" fontId="17" fillId="0" borderId="1" xfId="2" applyNumberFormat="1" applyFont="1" applyBorder="1" applyAlignment="1">
      <alignment horizontal="left" indent="1"/>
    </xf>
    <xf numFmtId="3" fontId="5" fillId="16" borderId="1" xfId="2" applyNumberFormat="1" applyFont="1" applyFill="1" applyBorder="1" applyAlignment="1">
      <alignment horizontal="right" indent="1"/>
    </xf>
    <xf numFmtId="3" fontId="5" fillId="16" borderId="2" xfId="2" applyNumberFormat="1" applyFont="1" applyFill="1" applyBorder="1" applyAlignment="1">
      <alignment horizontal="right" indent="1"/>
    </xf>
    <xf numFmtId="165" fontId="5" fillId="16" borderId="2" xfId="2" applyNumberFormat="1" applyFont="1" applyFill="1" applyBorder="1" applyAlignment="1">
      <alignment horizontal="right" indent="1"/>
    </xf>
    <xf numFmtId="166" fontId="5" fillId="16" borderId="2" xfId="2" applyNumberFormat="1" applyFont="1" applyFill="1" applyBorder="1" applyAlignment="1">
      <alignment horizontal="right" indent="1"/>
    </xf>
    <xf numFmtId="3" fontId="5" fillId="0" borderId="0" xfId="2" applyNumberFormat="1" applyFont="1"/>
    <xf numFmtId="3" fontId="18" fillId="0" borderId="1" xfId="2" applyNumberFormat="1" applyFont="1" applyBorder="1" applyAlignment="1">
      <alignment horizontal="right" indent="1"/>
    </xf>
    <xf numFmtId="3" fontId="18" fillId="0" borderId="2" xfId="2" applyNumberFormat="1" applyFont="1" applyBorder="1" applyAlignment="1">
      <alignment horizontal="right" indent="1"/>
    </xf>
    <xf numFmtId="165" fontId="18" fillId="0" borderId="2" xfId="2" applyNumberFormat="1" applyFont="1" applyBorder="1" applyAlignment="1">
      <alignment horizontal="right" indent="1"/>
    </xf>
    <xf numFmtId="166" fontId="18" fillId="0" borderId="2" xfId="2" applyNumberFormat="1" applyFont="1" applyBorder="1" applyAlignment="1">
      <alignment horizontal="right" indent="1"/>
    </xf>
    <xf numFmtId="1" fontId="15" fillId="0" borderId="1" xfId="2" applyNumberFormat="1" applyFont="1" applyBorder="1" applyAlignment="1">
      <alignment horizontal="left" indent="1"/>
    </xf>
    <xf numFmtId="3" fontId="20" fillId="0" borderId="1" xfId="3" applyNumberFormat="1" applyFont="1" applyFill="1" applyBorder="1" applyAlignment="1">
      <alignment horizontal="right" indent="1"/>
    </xf>
    <xf numFmtId="165" fontId="20" fillId="0" borderId="1" xfId="3" applyNumberFormat="1" applyFont="1" applyFill="1" applyBorder="1" applyAlignment="1">
      <alignment horizontal="right" indent="1"/>
    </xf>
    <xf numFmtId="166" fontId="20" fillId="0" borderId="1" xfId="4" applyNumberFormat="1" applyFont="1" applyFill="1" applyBorder="1" applyAlignment="1">
      <alignment horizontal="right" indent="1"/>
    </xf>
    <xf numFmtId="3" fontId="20" fillId="0" borderId="1" xfId="5" applyNumberFormat="1" applyFont="1" applyFill="1" applyBorder="1" applyAlignment="1">
      <alignment horizontal="right" indent="1"/>
    </xf>
    <xf numFmtId="165" fontId="20" fillId="0" borderId="1" xfId="5" applyNumberFormat="1" applyFont="1" applyFill="1" applyBorder="1" applyAlignment="1">
      <alignment horizontal="right" indent="1"/>
    </xf>
    <xf numFmtId="3" fontId="20" fillId="0" borderId="2" xfId="3" applyNumberFormat="1" applyFont="1" applyFill="1" applyBorder="1" applyAlignment="1">
      <alignment horizontal="right" indent="1"/>
    </xf>
    <xf numFmtId="3" fontId="20" fillId="0" borderId="2" xfId="3" applyNumberFormat="1" applyFont="1" applyFill="1" applyBorder="1" applyAlignment="1">
      <alignment horizontal="center"/>
    </xf>
    <xf numFmtId="165" fontId="20" fillId="0" borderId="2" xfId="3" applyNumberFormat="1" applyFont="1" applyFill="1" applyBorder="1" applyAlignment="1">
      <alignment horizontal="right" indent="1"/>
    </xf>
    <xf numFmtId="166" fontId="20" fillId="0" borderId="2" xfId="4" applyNumberFormat="1" applyFont="1" applyFill="1" applyBorder="1" applyAlignment="1">
      <alignment horizontal="right" indent="1"/>
    </xf>
    <xf numFmtId="3" fontId="20" fillId="4" borderId="1" xfId="3" applyNumberFormat="1" applyFont="1" applyFill="1" applyBorder="1" applyAlignment="1">
      <alignment horizontal="right" indent="1"/>
    </xf>
    <xf numFmtId="165" fontId="20" fillId="4" borderId="1" xfId="3" applyNumberFormat="1" applyFont="1" applyFill="1" applyBorder="1" applyAlignment="1">
      <alignment horizontal="right" indent="1"/>
    </xf>
    <xf numFmtId="166" fontId="20" fillId="4" borderId="1" xfId="4" applyNumberFormat="1" applyFont="1" applyFill="1" applyBorder="1" applyAlignment="1">
      <alignment horizontal="right" indent="1"/>
    </xf>
    <xf numFmtId="165" fontId="5" fillId="0" borderId="0" xfId="2" applyNumberFormat="1" applyFont="1"/>
    <xf numFmtId="3" fontId="15" fillId="17" borderId="1" xfId="2" applyNumberFormat="1" applyFont="1" applyFill="1" applyBorder="1" applyAlignment="1">
      <alignment horizontal="center"/>
    </xf>
    <xf numFmtId="3" fontId="15" fillId="17" borderId="40" xfId="2" applyNumberFormat="1" applyFont="1" applyFill="1" applyBorder="1"/>
    <xf numFmtId="3" fontId="15" fillId="17" borderId="17" xfId="2" applyNumberFormat="1" applyFont="1" applyFill="1" applyBorder="1"/>
    <xf numFmtId="3" fontId="15" fillId="17" borderId="2" xfId="2" applyNumberFormat="1" applyFont="1" applyFill="1" applyBorder="1"/>
    <xf numFmtId="0" fontId="5" fillId="4" borderId="0" xfId="2" applyFont="1" applyFill="1"/>
    <xf numFmtId="0" fontId="5" fillId="0" borderId="0" xfId="2" applyFont="1" applyAlignment="1">
      <alignment horizontal="center"/>
    </xf>
    <xf numFmtId="0" fontId="15" fillId="0" borderId="0" xfId="2" applyFont="1" applyAlignment="1">
      <alignment horizontal="right"/>
    </xf>
    <xf numFmtId="3" fontId="5" fillId="0" borderId="0" xfId="2" applyNumberFormat="1" applyFont="1" applyAlignment="1">
      <alignment horizontal="center"/>
    </xf>
    <xf numFmtId="3" fontId="17" fillId="0" borderId="41" xfId="2" applyNumberFormat="1" applyFont="1" applyBorder="1"/>
    <xf numFmtId="165" fontId="5" fillId="0" borderId="0" xfId="2" applyNumberFormat="1" applyFont="1" applyAlignment="1">
      <alignment horizontal="center"/>
    </xf>
    <xf numFmtId="0" fontId="24" fillId="0" borderId="42" xfId="2" applyFont="1" applyBorder="1" applyAlignment="1">
      <alignment horizontal="right" indent="1"/>
    </xf>
    <xf numFmtId="0" fontId="24" fillId="0" borderId="43" xfId="2" applyFont="1" applyBorder="1" applyAlignment="1">
      <alignment horizontal="right" indent="1"/>
    </xf>
    <xf numFmtId="3" fontId="5" fillId="0" borderId="44" xfId="2" applyNumberFormat="1" applyFont="1" applyBorder="1" applyAlignment="1">
      <alignment horizontal="center"/>
    </xf>
    <xf numFmtId="3" fontId="5" fillId="0" borderId="45" xfId="2" applyNumberFormat="1" applyFont="1" applyBorder="1" applyAlignment="1">
      <alignment horizontal="center"/>
    </xf>
    <xf numFmtId="0" fontId="14" fillId="0" borderId="42" xfId="2" applyFont="1" applyBorder="1" applyAlignment="1">
      <alignment horizontal="center" vertical="top"/>
    </xf>
    <xf numFmtId="0" fontId="14" fillId="0" borderId="0" xfId="2" applyFont="1" applyAlignment="1">
      <alignment vertical="top" wrapText="1"/>
    </xf>
    <xf numFmtId="0" fontId="14" fillId="0" borderId="0" xfId="2" applyFont="1" applyAlignment="1">
      <alignment vertical="top"/>
    </xf>
    <xf numFmtId="0" fontId="14" fillId="0" borderId="0" xfId="2" applyFont="1" applyAlignment="1">
      <alignment horizontal="right" vertical="top" indent="1"/>
    </xf>
    <xf numFmtId="0" fontId="5" fillId="18" borderId="0" xfId="2" applyFont="1" applyFill="1"/>
    <xf numFmtId="164" fontId="0" fillId="2" borderId="0" xfId="1" applyFont="1" applyFill="1"/>
    <xf numFmtId="0" fontId="25" fillId="2" borderId="0" xfId="0" applyFont="1" applyFill="1" applyAlignment="1">
      <alignment horizontal="center"/>
    </xf>
    <xf numFmtId="0" fontId="25" fillId="2" borderId="0" xfId="0" applyFont="1" applyFill="1"/>
    <xf numFmtId="0" fontId="25" fillId="19" borderId="46" xfId="0" applyFont="1" applyFill="1" applyBorder="1" applyAlignment="1">
      <alignment horizontal="center"/>
    </xf>
    <xf numFmtId="0" fontId="25" fillId="20" borderId="46" xfId="0" applyFont="1" applyFill="1" applyBorder="1" applyAlignment="1">
      <alignment horizontal="center"/>
    </xf>
    <xf numFmtId="0" fontId="0" fillId="20" borderId="0" xfId="0" applyFill="1"/>
    <xf numFmtId="0" fontId="5" fillId="0" borderId="42" xfId="2" applyFont="1" applyBorder="1" applyAlignment="1">
      <alignment vertical="top" wrapText="1"/>
    </xf>
    <xf numFmtId="0" fontId="5" fillId="0" borderId="42" xfId="2" applyFont="1" applyBorder="1" applyAlignment="1">
      <alignment vertical="center" wrapText="1"/>
    </xf>
    <xf numFmtId="0" fontId="4" fillId="0" borderId="42" xfId="2" applyBorder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5" fillId="19" borderId="0" xfId="0" applyFont="1" applyFill="1" applyBorder="1" applyAlignment="1">
      <alignment horizontal="center"/>
    </xf>
    <xf numFmtId="0" fontId="0" fillId="0" borderId="0" xfId="0" applyBorder="1"/>
  </cellXfs>
  <cellStyles count="6">
    <cellStyle name="Millares 2" xfId="3" xr:uid="{00000000-0005-0000-0000-000000000000}"/>
    <cellStyle name="Millares 3" xfId="5" xr:uid="{00000000-0005-0000-0000-000001000000}"/>
    <cellStyle name="Moneda" xfId="1" builtinId="4"/>
    <cellStyle name="Normal" xfId="0" builtinId="0"/>
    <cellStyle name="Normal 2" xfId="2" xr:uid="{00000000-0005-0000-0000-000004000000}"/>
    <cellStyle name="Porcentaje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561974</xdr:colOff>
      <xdr:row>0</xdr:row>
      <xdr:rowOff>0</xdr:rowOff>
    </xdr:from>
    <xdr:to>
      <xdr:col>1</xdr:col>
      <xdr:colOff>1557131</xdr:colOff>
      <xdr:row>5</xdr:row>
      <xdr:rowOff>157318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46" y="0"/>
          <a:ext cx="995157" cy="985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  <pageSetUpPr fitToPage="1"/>
  </sheetPr>
  <dimension ref="A1:AZ79"/>
  <sheetViews>
    <sheetView showGridLines="0" zoomScale="115" zoomScaleNormal="11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AZ13" sqref="AZ13"/>
    </sheetView>
  </sheetViews>
  <sheetFormatPr baseColWidth="10" defaultColWidth="11.33203125" defaultRowHeight="10.199999999999999"/>
  <cols>
    <col min="1" max="1" width="4.109375" style="4" customWidth="1"/>
    <col min="2" max="2" width="27.77734375" style="4" customWidth="1"/>
    <col min="3" max="4" width="10.77734375" style="4" customWidth="1"/>
    <col min="5" max="6" width="12.77734375" style="4" customWidth="1"/>
    <col min="7" max="7" width="10.77734375" style="4" customWidth="1"/>
    <col min="8" max="14" width="10.77734375" style="4" hidden="1" customWidth="1"/>
    <col min="15" max="15" width="13.109375" style="4" hidden="1" customWidth="1"/>
    <col min="16" max="27" width="10.77734375" style="4" hidden="1" customWidth="1"/>
    <col min="28" max="28" width="10.77734375" style="4" customWidth="1"/>
    <col min="29" max="30" width="12.77734375" style="4" customWidth="1"/>
    <col min="31" max="31" width="10.77734375" style="4" customWidth="1"/>
    <col min="32" max="34" width="10.77734375" style="4" hidden="1" customWidth="1"/>
    <col min="35" max="35" width="12.77734375" style="4" hidden="1" customWidth="1"/>
    <col min="36" max="36" width="10.77734375" style="4" hidden="1" customWidth="1"/>
    <col min="37" max="38" width="12.77734375" style="4" hidden="1" customWidth="1"/>
    <col min="39" max="39" width="10.77734375" style="131" hidden="1" customWidth="1"/>
    <col min="40" max="42" width="10.77734375" style="4" hidden="1" customWidth="1"/>
    <col min="43" max="45" width="12.77734375" style="4" hidden="1" customWidth="1"/>
    <col min="46" max="47" width="10.77734375" style="4" hidden="1" customWidth="1"/>
    <col min="48" max="16384" width="11.33203125" style="4"/>
  </cols>
  <sheetData>
    <row r="1" spans="1:52" ht="12.75" customHeight="1">
      <c r="C1" s="5"/>
      <c r="E1" s="5"/>
      <c r="F1" s="5"/>
      <c r="G1" s="5"/>
      <c r="H1" s="5"/>
      <c r="I1" s="5" t="s">
        <v>52</v>
      </c>
      <c r="J1" s="5"/>
      <c r="K1" s="5"/>
      <c r="L1" s="5"/>
      <c r="M1" s="5"/>
      <c r="AB1" s="5"/>
      <c r="AD1" s="5"/>
      <c r="AE1" s="5"/>
      <c r="AF1" s="5"/>
      <c r="AG1" s="5"/>
      <c r="AH1" s="5"/>
      <c r="AI1" s="5"/>
      <c r="AJ1" s="5"/>
      <c r="AK1" s="6"/>
      <c r="AL1" s="6"/>
      <c r="AM1" s="7"/>
    </row>
    <row r="2" spans="1:52" ht="12.75" customHeight="1">
      <c r="C2" s="5"/>
      <c r="D2" s="5"/>
      <c r="E2" s="5"/>
      <c r="F2" s="5"/>
      <c r="G2" s="5"/>
      <c r="H2" s="5"/>
      <c r="I2" s="8" t="s">
        <v>53</v>
      </c>
      <c r="J2" s="5"/>
      <c r="K2" s="5"/>
      <c r="L2" s="5"/>
      <c r="M2" s="5"/>
      <c r="AB2" s="5"/>
      <c r="AC2" s="5"/>
      <c r="AD2" s="5"/>
      <c r="AE2" s="5"/>
      <c r="AF2" s="5"/>
      <c r="AG2" s="5"/>
      <c r="AH2" s="5"/>
      <c r="AI2" s="5"/>
      <c r="AJ2" s="5"/>
      <c r="AM2" s="7"/>
    </row>
    <row r="3" spans="1:52" ht="13.65" customHeight="1" thickBot="1">
      <c r="C3" s="9"/>
      <c r="D3" s="9"/>
      <c r="E3" s="9"/>
      <c r="F3" s="9"/>
      <c r="G3" s="9"/>
      <c r="H3" s="9"/>
      <c r="I3" s="9" t="s">
        <v>54</v>
      </c>
      <c r="J3" s="10">
        <v>2023</v>
      </c>
      <c r="K3" s="11">
        <v>2022</v>
      </c>
      <c r="L3" s="12" t="s">
        <v>55</v>
      </c>
      <c r="M3" s="13"/>
      <c r="AB3" s="9"/>
      <c r="AC3" s="9"/>
      <c r="AD3" s="9"/>
      <c r="AE3" s="9"/>
      <c r="AF3" s="9"/>
      <c r="AG3" s="9"/>
      <c r="AH3" s="9"/>
      <c r="AI3" s="9"/>
      <c r="AJ3" s="9"/>
      <c r="AM3" s="14"/>
    </row>
    <row r="4" spans="1:52" ht="13.65" customHeight="1" thickBo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R4" s="15"/>
      <c r="S4" s="16"/>
      <c r="T4" s="16"/>
      <c r="U4" s="16"/>
      <c r="V4" s="17" t="s">
        <v>56</v>
      </c>
      <c r="W4" s="17"/>
      <c r="X4" s="17"/>
      <c r="Y4" s="17"/>
      <c r="Z4" s="16"/>
      <c r="AA4" s="18"/>
      <c r="AB4" s="19"/>
      <c r="AC4" s="19"/>
      <c r="AD4" s="19"/>
      <c r="AE4" s="19"/>
      <c r="AF4" s="19"/>
      <c r="AG4" s="19"/>
      <c r="AH4" s="5"/>
      <c r="AI4" s="5"/>
      <c r="AJ4" s="5"/>
      <c r="AM4" s="7"/>
    </row>
    <row r="5" spans="1:52" ht="13.65" customHeight="1" thickBot="1">
      <c r="B5" s="5"/>
      <c r="C5" s="5"/>
      <c r="D5" s="20"/>
      <c r="E5" s="21" t="s">
        <v>57</v>
      </c>
      <c r="F5" s="21"/>
      <c r="G5" s="22" t="s">
        <v>58</v>
      </c>
      <c r="H5" s="23"/>
      <c r="I5" s="21"/>
      <c r="J5" s="21"/>
      <c r="K5" s="21"/>
      <c r="L5" s="21"/>
      <c r="M5" s="21"/>
      <c r="N5" s="21"/>
      <c r="O5" s="23"/>
      <c r="P5" s="24" t="s">
        <v>59</v>
      </c>
      <c r="Q5" s="25"/>
      <c r="R5" s="26"/>
      <c r="S5" s="27"/>
      <c r="T5" s="27" t="s">
        <v>60</v>
      </c>
      <c r="U5" s="27"/>
      <c r="V5" s="27"/>
      <c r="W5" s="28"/>
      <c r="X5" s="27"/>
      <c r="Y5" s="27"/>
      <c r="Z5" s="29" t="s">
        <v>61</v>
      </c>
      <c r="AA5" s="28"/>
      <c r="AB5" s="30"/>
      <c r="AC5" s="31"/>
      <c r="AD5" s="31"/>
      <c r="AE5" s="32" t="s">
        <v>62</v>
      </c>
      <c r="AF5" s="31"/>
      <c r="AG5" s="31"/>
      <c r="AH5" s="31"/>
      <c r="AI5" s="31"/>
      <c r="AJ5" s="31"/>
      <c r="AK5" s="31"/>
      <c r="AL5" s="31"/>
      <c r="AM5" s="33"/>
      <c r="AN5" s="34"/>
      <c r="AO5" s="31"/>
      <c r="AP5" s="31"/>
      <c r="AQ5" s="31"/>
      <c r="AR5" s="35"/>
    </row>
    <row r="6" spans="1:52" s="36" customFormat="1" ht="13.65" customHeight="1" thickBot="1">
      <c r="B6" s="37"/>
      <c r="C6" s="37"/>
      <c r="D6" s="38"/>
      <c r="E6" s="39" t="s">
        <v>63</v>
      </c>
      <c r="F6" s="40"/>
      <c r="G6" s="41"/>
      <c r="H6" s="42" t="s">
        <v>64</v>
      </c>
      <c r="I6" s="43"/>
      <c r="J6" s="44" t="s">
        <v>65</v>
      </c>
      <c r="K6" s="45" t="s">
        <v>66</v>
      </c>
      <c r="L6" s="46" t="s">
        <v>67</v>
      </c>
      <c r="M6" s="47" t="s">
        <v>68</v>
      </c>
      <c r="N6" s="48" t="s">
        <v>69</v>
      </c>
      <c r="O6" s="26" t="s">
        <v>70</v>
      </c>
      <c r="P6" s="49" t="s">
        <v>71</v>
      </c>
      <c r="Q6" s="50" t="s">
        <v>72</v>
      </c>
      <c r="R6" s="51"/>
      <c r="S6" s="52" t="s">
        <v>73</v>
      </c>
      <c r="T6" s="53"/>
      <c r="U6" s="52" t="s">
        <v>74</v>
      </c>
      <c r="V6" s="53"/>
      <c r="W6" s="54" t="s">
        <v>75</v>
      </c>
      <c r="X6" s="53"/>
      <c r="Y6" s="52" t="s">
        <v>76</v>
      </c>
      <c r="Z6" s="53"/>
      <c r="AA6" s="54" t="s">
        <v>77</v>
      </c>
      <c r="AB6" s="38"/>
      <c r="AC6" s="39" t="s">
        <v>63</v>
      </c>
      <c r="AD6" s="40"/>
      <c r="AE6" s="41"/>
      <c r="AF6" s="55" t="s">
        <v>64</v>
      </c>
      <c r="AG6" s="43"/>
      <c r="AH6" s="56" t="s">
        <v>65</v>
      </c>
      <c r="AI6" s="57" t="s">
        <v>78</v>
      </c>
      <c r="AJ6" s="58" t="s">
        <v>67</v>
      </c>
      <c r="AK6" s="59" t="s">
        <v>79</v>
      </c>
      <c r="AL6" s="60"/>
      <c r="AM6" s="61" t="s">
        <v>68</v>
      </c>
      <c r="AN6" s="62"/>
      <c r="AO6" s="63" t="s">
        <v>69</v>
      </c>
      <c r="AP6" s="64"/>
      <c r="AQ6" s="65" t="s">
        <v>80</v>
      </c>
      <c r="AR6" s="66"/>
      <c r="AS6" s="67" t="s">
        <v>81</v>
      </c>
      <c r="AT6" s="67" t="s">
        <v>82</v>
      </c>
      <c r="AU6" s="68" t="s">
        <v>83</v>
      </c>
    </row>
    <row r="7" spans="1:52" s="36" customFormat="1" ht="12">
      <c r="B7" s="69" t="s">
        <v>84</v>
      </c>
      <c r="C7" s="70" t="s">
        <v>85</v>
      </c>
      <c r="D7" s="71" t="s">
        <v>86</v>
      </c>
      <c r="E7" s="72" t="s">
        <v>87</v>
      </c>
      <c r="F7" s="72" t="s">
        <v>88</v>
      </c>
      <c r="G7" s="73" t="s">
        <v>89</v>
      </c>
      <c r="H7" s="71" t="s">
        <v>90</v>
      </c>
      <c r="I7" s="73" t="s">
        <v>91</v>
      </c>
      <c r="J7" s="74"/>
      <c r="K7" s="75" t="s">
        <v>92</v>
      </c>
      <c r="L7" s="75" t="s">
        <v>93</v>
      </c>
      <c r="M7" s="74"/>
      <c r="N7" s="74"/>
      <c r="O7" s="76" t="s">
        <v>94</v>
      </c>
      <c r="P7" s="77"/>
      <c r="Q7" s="78"/>
      <c r="R7" s="79" t="s">
        <v>95</v>
      </c>
      <c r="S7" s="80" t="s">
        <v>96</v>
      </c>
      <c r="T7" s="80" t="s">
        <v>95</v>
      </c>
      <c r="U7" s="80" t="s">
        <v>96</v>
      </c>
      <c r="V7" s="80" t="s">
        <v>95</v>
      </c>
      <c r="W7" s="81" t="s">
        <v>96</v>
      </c>
      <c r="X7" s="82" t="s">
        <v>97</v>
      </c>
      <c r="Y7" s="83" t="s">
        <v>98</v>
      </c>
      <c r="Z7" s="82" t="s">
        <v>99</v>
      </c>
      <c r="AA7" s="84" t="s">
        <v>98</v>
      </c>
      <c r="AB7" s="71" t="s">
        <v>86</v>
      </c>
      <c r="AC7" s="72" t="s">
        <v>87</v>
      </c>
      <c r="AD7" s="72" t="s">
        <v>88</v>
      </c>
      <c r="AE7" s="73" t="s">
        <v>89</v>
      </c>
      <c r="AF7" s="71" t="s">
        <v>90</v>
      </c>
      <c r="AG7" s="73" t="s">
        <v>91</v>
      </c>
      <c r="AH7" s="74"/>
      <c r="AI7" s="75" t="s">
        <v>100</v>
      </c>
      <c r="AJ7" s="75" t="s">
        <v>93</v>
      </c>
      <c r="AK7" s="85" t="s">
        <v>101</v>
      </c>
      <c r="AL7" s="84" t="s">
        <v>102</v>
      </c>
      <c r="AM7" s="86" t="s">
        <v>101</v>
      </c>
      <c r="AN7" s="84" t="s">
        <v>102</v>
      </c>
      <c r="AO7" s="85" t="s">
        <v>101</v>
      </c>
      <c r="AP7" s="84" t="s">
        <v>102</v>
      </c>
      <c r="AQ7" s="85" t="s">
        <v>101</v>
      </c>
      <c r="AR7" s="84" t="s">
        <v>102</v>
      </c>
      <c r="AS7" s="85" t="s">
        <v>101</v>
      </c>
      <c r="AT7" s="85" t="s">
        <v>101</v>
      </c>
      <c r="AU7" s="87"/>
    </row>
    <row r="8" spans="1:52" s="36" customFormat="1" ht="12.6" thickBot="1">
      <c r="B8" s="88"/>
      <c r="C8" s="89" t="s">
        <v>103</v>
      </c>
      <c r="D8" s="90" t="s">
        <v>104</v>
      </c>
      <c r="E8" s="91" t="s">
        <v>104</v>
      </c>
      <c r="F8" s="91" t="s">
        <v>104</v>
      </c>
      <c r="G8" s="92" t="s">
        <v>104</v>
      </c>
      <c r="H8" s="90" t="s">
        <v>104</v>
      </c>
      <c r="I8" s="92" t="s">
        <v>104</v>
      </c>
      <c r="J8" s="93" t="s">
        <v>104</v>
      </c>
      <c r="K8" s="93" t="s">
        <v>104</v>
      </c>
      <c r="L8" s="93" t="s">
        <v>104</v>
      </c>
      <c r="M8" s="93" t="s">
        <v>104</v>
      </c>
      <c r="N8" s="93" t="s">
        <v>104</v>
      </c>
      <c r="O8" s="94" t="s">
        <v>104</v>
      </c>
      <c r="P8" s="90" t="s">
        <v>104</v>
      </c>
      <c r="Q8" s="95" t="s">
        <v>104</v>
      </c>
      <c r="R8" s="90" t="s">
        <v>105</v>
      </c>
      <c r="S8" s="91" t="s">
        <v>105</v>
      </c>
      <c r="T8" s="91" t="s">
        <v>105</v>
      </c>
      <c r="U8" s="91" t="s">
        <v>105</v>
      </c>
      <c r="V8" s="91" t="s">
        <v>105</v>
      </c>
      <c r="W8" s="92" t="s">
        <v>105</v>
      </c>
      <c r="X8" s="96" t="s">
        <v>104</v>
      </c>
      <c r="Y8" s="97" t="s">
        <v>106</v>
      </c>
      <c r="Z8" s="96" t="s">
        <v>104</v>
      </c>
      <c r="AA8" s="97" t="s">
        <v>106</v>
      </c>
      <c r="AB8" s="93" t="s">
        <v>107</v>
      </c>
      <c r="AC8" s="97" t="s">
        <v>107</v>
      </c>
      <c r="AD8" s="97" t="s">
        <v>107</v>
      </c>
      <c r="AE8" s="98" t="s">
        <v>107</v>
      </c>
      <c r="AF8" s="96" t="s">
        <v>107</v>
      </c>
      <c r="AG8" s="98" t="s">
        <v>107</v>
      </c>
      <c r="AH8" s="99" t="s">
        <v>107</v>
      </c>
      <c r="AI8" s="98" t="s">
        <v>107</v>
      </c>
      <c r="AJ8" s="98" t="s">
        <v>107</v>
      </c>
      <c r="AK8" s="97" t="s">
        <v>107</v>
      </c>
      <c r="AL8" s="100" t="s">
        <v>108</v>
      </c>
      <c r="AM8" s="101" t="s">
        <v>107</v>
      </c>
      <c r="AN8" s="102" t="s">
        <v>108</v>
      </c>
      <c r="AO8" s="96" t="s">
        <v>107</v>
      </c>
      <c r="AP8" s="100" t="s">
        <v>108</v>
      </c>
      <c r="AQ8" s="93" t="s">
        <v>107</v>
      </c>
      <c r="AR8" s="102" t="s">
        <v>108</v>
      </c>
      <c r="AS8" s="99" t="s">
        <v>107</v>
      </c>
      <c r="AT8" s="89" t="s">
        <v>109</v>
      </c>
      <c r="AU8" s="89" t="s">
        <v>110</v>
      </c>
      <c r="AV8" s="36" t="s">
        <v>111</v>
      </c>
      <c r="AW8" s="36" t="s">
        <v>112</v>
      </c>
    </row>
    <row r="9" spans="1:52" s="103" customFormat="1" ht="13.65" customHeight="1">
      <c r="B9" s="104">
        <v>1</v>
      </c>
      <c r="C9" s="104">
        <v>2</v>
      </c>
      <c r="D9" s="104">
        <v>3</v>
      </c>
      <c r="E9" s="104">
        <v>4</v>
      </c>
      <c r="F9" s="104">
        <v>5</v>
      </c>
      <c r="G9" s="104">
        <v>6</v>
      </c>
      <c r="H9" s="104">
        <v>7</v>
      </c>
      <c r="I9" s="104">
        <v>8</v>
      </c>
      <c r="J9" s="104">
        <v>9</v>
      </c>
      <c r="K9" s="104">
        <v>10</v>
      </c>
      <c r="L9" s="104">
        <v>11</v>
      </c>
      <c r="M9" s="104">
        <v>12</v>
      </c>
      <c r="N9" s="104">
        <v>13</v>
      </c>
      <c r="O9" s="105" t="s">
        <v>113</v>
      </c>
      <c r="P9" s="104">
        <v>15</v>
      </c>
      <c r="Q9" s="104">
        <v>16</v>
      </c>
      <c r="R9" s="104">
        <v>17</v>
      </c>
      <c r="S9" s="104">
        <v>18</v>
      </c>
      <c r="T9" s="104">
        <v>19</v>
      </c>
      <c r="U9" s="104">
        <v>20</v>
      </c>
      <c r="V9" s="104">
        <v>21</v>
      </c>
      <c r="W9" s="104">
        <v>22</v>
      </c>
      <c r="X9" s="104">
        <v>23</v>
      </c>
      <c r="Y9" s="104">
        <v>24</v>
      </c>
      <c r="Z9" s="104">
        <v>25</v>
      </c>
      <c r="AA9" s="104">
        <v>26</v>
      </c>
      <c r="AB9" s="104">
        <v>27</v>
      </c>
      <c r="AC9" s="104">
        <v>28</v>
      </c>
      <c r="AD9" s="104">
        <v>29</v>
      </c>
      <c r="AE9" s="104">
        <v>30</v>
      </c>
      <c r="AF9" s="104">
        <v>31</v>
      </c>
      <c r="AG9" s="104">
        <v>32</v>
      </c>
      <c r="AH9" s="104">
        <v>33</v>
      </c>
      <c r="AI9" s="104">
        <v>34</v>
      </c>
      <c r="AJ9" s="104">
        <v>35</v>
      </c>
      <c r="AK9" s="104">
        <v>36</v>
      </c>
      <c r="AL9" s="104">
        <v>37</v>
      </c>
      <c r="AM9" s="106">
        <v>38</v>
      </c>
      <c r="AN9" s="104">
        <v>39</v>
      </c>
      <c r="AO9" s="104">
        <v>40</v>
      </c>
      <c r="AP9" s="104">
        <v>41</v>
      </c>
      <c r="AQ9" s="104" t="s">
        <v>114</v>
      </c>
      <c r="AR9" s="104" t="s">
        <v>115</v>
      </c>
      <c r="AS9" s="104">
        <v>44</v>
      </c>
      <c r="AT9" s="104">
        <v>45</v>
      </c>
      <c r="AU9" s="104">
        <v>46</v>
      </c>
    </row>
    <row r="10" spans="1:52">
      <c r="A10" s="107">
        <v>1</v>
      </c>
      <c r="B10" s="108" t="s">
        <v>116</v>
      </c>
      <c r="C10" s="109">
        <v>4637</v>
      </c>
      <c r="D10" s="110">
        <v>2575013</v>
      </c>
      <c r="E10" s="110">
        <v>188681</v>
      </c>
      <c r="F10" s="110">
        <v>102709</v>
      </c>
      <c r="G10" s="110">
        <v>10363</v>
      </c>
      <c r="H10" s="110">
        <v>325074</v>
      </c>
      <c r="I10" s="110">
        <v>14653</v>
      </c>
      <c r="J10" s="110">
        <v>21</v>
      </c>
      <c r="K10" s="110">
        <v>37765</v>
      </c>
      <c r="L10" s="110">
        <v>797</v>
      </c>
      <c r="M10" s="110">
        <v>722</v>
      </c>
      <c r="N10" s="110">
        <v>2</v>
      </c>
      <c r="O10" s="110">
        <v>3255800</v>
      </c>
      <c r="P10" s="110">
        <v>4668</v>
      </c>
      <c r="Q10" s="110">
        <v>0</v>
      </c>
      <c r="R10" s="111">
        <v>26421</v>
      </c>
      <c r="S10" s="111">
        <v>5465</v>
      </c>
      <c r="T10" s="111">
        <v>5664</v>
      </c>
      <c r="U10" s="111">
        <v>7059</v>
      </c>
      <c r="V10" s="111">
        <v>885</v>
      </c>
      <c r="W10" s="111">
        <v>678</v>
      </c>
      <c r="X10" s="110">
        <v>107</v>
      </c>
      <c r="Y10" s="110">
        <v>20375.599999999999</v>
      </c>
      <c r="Z10" s="110">
        <v>19275</v>
      </c>
      <c r="AA10" s="110">
        <v>9368.2989999999991</v>
      </c>
      <c r="AB10" s="110">
        <v>6008.4319943185646</v>
      </c>
      <c r="AC10" s="110">
        <v>1973.9581416154685</v>
      </c>
      <c r="AD10" s="110">
        <v>2258.6465744699785</v>
      </c>
      <c r="AE10" s="110">
        <v>592.22944755434742</v>
      </c>
      <c r="AF10" s="110">
        <v>1393.7605099586679</v>
      </c>
      <c r="AG10" s="110">
        <v>759.27717090982185</v>
      </c>
      <c r="AH10" s="110">
        <v>598.79809999999998</v>
      </c>
      <c r="AI10" s="110">
        <v>3201.5470598753245</v>
      </c>
      <c r="AJ10" s="110">
        <v>2030.5422183403427</v>
      </c>
      <c r="AK10" s="110">
        <v>18817.191217042517</v>
      </c>
      <c r="AL10" s="110">
        <v>322554486.71201003</v>
      </c>
      <c r="AM10" s="110">
        <v>3776.2117989999997</v>
      </c>
      <c r="AN10" s="110">
        <v>13971920.49845</v>
      </c>
      <c r="AO10" s="110">
        <v>60.586922999999999</v>
      </c>
      <c r="AP10" s="110">
        <v>1444243.4539600001</v>
      </c>
      <c r="AQ10" s="111">
        <v>22653.989939042516</v>
      </c>
      <c r="AR10" s="110">
        <v>337970650.66442001</v>
      </c>
      <c r="AS10" s="110">
        <v>66.511017702000004</v>
      </c>
      <c r="AT10" s="111">
        <v>5925.9314236054724</v>
      </c>
      <c r="AU10" s="112">
        <v>0.1487</v>
      </c>
      <c r="AV10" s="113">
        <f>+D10+E10+F10+G10</f>
        <v>2876766</v>
      </c>
      <c r="AW10" s="113">
        <f>+AB10+AC10+AD10+AE10</f>
        <v>10833.26615795836</v>
      </c>
      <c r="AX10" s="4">
        <f>+AW10*1000000</f>
        <v>10833266157.958361</v>
      </c>
      <c r="AY10" s="4">
        <f>+AX10/AV10</f>
        <v>3765.7794057488027</v>
      </c>
      <c r="AZ10" s="4">
        <f>+AY10/12</f>
        <v>313.81495047906691</v>
      </c>
    </row>
    <row r="11" spans="1:52">
      <c r="A11" s="107">
        <v>2</v>
      </c>
      <c r="B11" s="108" t="s">
        <v>117</v>
      </c>
      <c r="C11" s="114">
        <v>3304</v>
      </c>
      <c r="D11" s="115">
        <v>2105519.0491803279</v>
      </c>
      <c r="E11" s="115">
        <v>135572.19672131148</v>
      </c>
      <c r="F11" s="115">
        <v>78266.885245901649</v>
      </c>
      <c r="G11" s="115">
        <v>12293.475409836065</v>
      </c>
      <c r="H11" s="115">
        <v>252305.08196721305</v>
      </c>
      <c r="I11" s="115">
        <v>16424.098360655742</v>
      </c>
      <c r="J11" s="115">
        <v>14</v>
      </c>
      <c r="K11" s="115">
        <v>32295.967741935485</v>
      </c>
      <c r="L11" s="115">
        <v>854.0322580645161</v>
      </c>
      <c r="M11" s="115">
        <v>641.25</v>
      </c>
      <c r="N11" s="115">
        <v>1</v>
      </c>
      <c r="O11" s="115">
        <f t="shared" ref="O11:O35" si="0">SUM(D11:N11)</f>
        <v>2634187.0368852462</v>
      </c>
      <c r="P11" s="115">
        <v>3476</v>
      </c>
      <c r="Q11" s="115">
        <v>4236</v>
      </c>
      <c r="R11" s="116">
        <v>11401.87</v>
      </c>
      <c r="S11" s="116">
        <v>7039.76</v>
      </c>
      <c r="T11" s="116">
        <v>3471.91</v>
      </c>
      <c r="U11" s="116">
        <v>5454.66</v>
      </c>
      <c r="V11" s="116">
        <v>548</v>
      </c>
      <c r="W11" s="116">
        <v>493</v>
      </c>
      <c r="X11" s="115">
        <v>53</v>
      </c>
      <c r="Y11" s="115">
        <v>6880</v>
      </c>
      <c r="Z11" s="115">
        <v>18954</v>
      </c>
      <c r="AA11" s="115">
        <v>8330.2999999999993</v>
      </c>
      <c r="AB11" s="115">
        <v>5207.5053873774305</v>
      </c>
      <c r="AC11" s="115">
        <v>936.70120274316412</v>
      </c>
      <c r="AD11" s="115">
        <v>987.21255186312828</v>
      </c>
      <c r="AE11" s="115">
        <v>441.73406997428452</v>
      </c>
      <c r="AF11" s="115">
        <v>1024.5592126780948</v>
      </c>
      <c r="AG11" s="115">
        <v>692.25405314027478</v>
      </c>
      <c r="AH11" s="115">
        <v>490.34748400644639</v>
      </c>
      <c r="AI11" s="115">
        <v>2586.9265641831798</v>
      </c>
      <c r="AJ11" s="115">
        <v>1831.1210956950877</v>
      </c>
      <c r="AK11" s="115">
        <v>14198.361621661092</v>
      </c>
      <c r="AL11" s="115">
        <v>105289680.33347486</v>
      </c>
      <c r="AM11" s="115">
        <v>2599.9303161453054</v>
      </c>
      <c r="AN11" s="115">
        <v>3539248.086069019</v>
      </c>
      <c r="AO11" s="115">
        <v>6.28728</v>
      </c>
      <c r="AP11" s="115">
        <v>29149.366190771132</v>
      </c>
      <c r="AQ11" s="116">
        <v>16804.579217806397</v>
      </c>
      <c r="AR11" s="115">
        <v>108858077.78573465</v>
      </c>
      <c r="AS11" s="115">
        <v>1419.7452780000001</v>
      </c>
      <c r="AT11" s="116">
        <v>4173.0159999999996</v>
      </c>
      <c r="AU11" s="117">
        <v>0.19406133333333334</v>
      </c>
      <c r="AV11" s="113">
        <f t="shared" ref="AV11:AV35" si="1">+D11+E11+F11+G11</f>
        <v>2331651.6065573771</v>
      </c>
      <c r="AW11" s="113">
        <f t="shared" ref="AW11:AW34" si="2">+AB11+AC11+AD11+AE11</f>
        <v>7573.153211958007</v>
      </c>
      <c r="AX11" s="4">
        <f t="shared" ref="AX11:AX34" si="3">+AW11*1000000</f>
        <v>7573153211.9580069</v>
      </c>
      <c r="AY11" s="4">
        <f t="shared" ref="AY11:AY36" si="4">+AX11/AV11</f>
        <v>3247.9780386828761</v>
      </c>
      <c r="AZ11" s="4">
        <f t="shared" ref="AZ11:AZ36" si="5">+AY11/12</f>
        <v>270.66483655690632</v>
      </c>
    </row>
    <row r="12" spans="1:52">
      <c r="A12" s="107">
        <v>3</v>
      </c>
      <c r="B12" s="108" t="s">
        <v>118</v>
      </c>
      <c r="C12" s="109">
        <v>133696</v>
      </c>
      <c r="D12" s="110">
        <v>1227598</v>
      </c>
      <c r="E12" s="110">
        <v>29892</v>
      </c>
      <c r="F12" s="110">
        <v>14863</v>
      </c>
      <c r="G12" s="110">
        <v>2014</v>
      </c>
      <c r="H12" s="110">
        <v>156132</v>
      </c>
      <c r="I12" s="110">
        <v>10174</v>
      </c>
      <c r="J12" s="110">
        <v>8136</v>
      </c>
      <c r="K12" s="110">
        <v>5332</v>
      </c>
      <c r="L12" s="110">
        <v>348</v>
      </c>
      <c r="M12" s="110">
        <v>110</v>
      </c>
      <c r="N12" s="110">
        <v>83</v>
      </c>
      <c r="O12" s="110">
        <v>1454682</v>
      </c>
      <c r="P12" s="110">
        <v>4068</v>
      </c>
      <c r="Q12" s="110"/>
      <c r="R12" s="111">
        <v>22496.22</v>
      </c>
      <c r="S12" s="111">
        <v>1328.95</v>
      </c>
      <c r="T12" s="111">
        <v>30719.84</v>
      </c>
      <c r="U12" s="111">
        <v>1536.68</v>
      </c>
      <c r="V12" s="111">
        <v>2185.8389999999999</v>
      </c>
      <c r="W12" s="111">
        <v>63.314999999999998</v>
      </c>
      <c r="X12" s="110">
        <v>63</v>
      </c>
      <c r="Y12" s="110">
        <v>3375</v>
      </c>
      <c r="Z12" s="110">
        <v>24875</v>
      </c>
      <c r="AA12" s="110">
        <v>3966</v>
      </c>
      <c r="AB12" s="110">
        <v>2683.56106</v>
      </c>
      <c r="AC12" s="110">
        <v>407.08966800000002</v>
      </c>
      <c r="AD12" s="110">
        <v>375.92145099999999</v>
      </c>
      <c r="AE12" s="110">
        <v>105.667171</v>
      </c>
      <c r="AF12" s="110">
        <v>616.57320900000002</v>
      </c>
      <c r="AG12" s="110">
        <v>377.278189</v>
      </c>
      <c r="AH12" s="110">
        <v>411.48116071988761</v>
      </c>
      <c r="AI12" s="110">
        <v>1054.953066</v>
      </c>
      <c r="AJ12" s="110">
        <v>1471.0737099999999</v>
      </c>
      <c r="AK12" s="110">
        <v>7503.5986847198865</v>
      </c>
      <c r="AL12" s="110">
        <v>175499802.67915016</v>
      </c>
      <c r="AM12" s="110">
        <v>1327.501323</v>
      </c>
      <c r="AN12" s="110">
        <v>8043932.7561900001</v>
      </c>
      <c r="AO12" s="110">
        <v>1173.1008963800002</v>
      </c>
      <c r="AP12" s="110">
        <v>16978087.08233498</v>
      </c>
      <c r="AQ12" s="111">
        <v>10004.200904099886</v>
      </c>
      <c r="AR12" s="110">
        <v>200521822.51767516</v>
      </c>
      <c r="AS12" s="110">
        <v>216.31507199999999</v>
      </c>
      <c r="AT12" s="111">
        <v>2717.2565920000002</v>
      </c>
      <c r="AU12" s="112">
        <v>0.15343866050386223</v>
      </c>
      <c r="AV12" s="113">
        <f t="shared" si="1"/>
        <v>1274367</v>
      </c>
      <c r="AW12" s="113">
        <f t="shared" si="2"/>
        <v>3572.2393500000003</v>
      </c>
      <c r="AX12" s="4">
        <f t="shared" si="3"/>
        <v>3572239350.0000005</v>
      </c>
      <c r="AY12" s="4">
        <f t="shared" si="4"/>
        <v>2803.1480334942762</v>
      </c>
      <c r="AZ12" s="4">
        <f t="shared" si="5"/>
        <v>233.59566945785636</v>
      </c>
    </row>
    <row r="13" spans="1:52">
      <c r="A13" s="107">
        <v>4</v>
      </c>
      <c r="B13" s="108" t="s">
        <v>119</v>
      </c>
      <c r="C13" s="109">
        <v>165321</v>
      </c>
      <c r="D13" s="110">
        <v>970561</v>
      </c>
      <c r="E13" s="110">
        <v>36308</v>
      </c>
      <c r="F13" s="110">
        <v>18847</v>
      </c>
      <c r="G13" s="110">
        <v>2464</v>
      </c>
      <c r="H13" s="110">
        <v>104251</v>
      </c>
      <c r="I13" s="110">
        <v>6293</v>
      </c>
      <c r="J13" s="110">
        <v>6074</v>
      </c>
      <c r="K13" s="110">
        <v>7877</v>
      </c>
      <c r="L13" s="110">
        <v>301</v>
      </c>
      <c r="M13" s="110">
        <v>82</v>
      </c>
      <c r="N13" s="110">
        <v>203</v>
      </c>
      <c r="O13" s="110">
        <v>1153261</v>
      </c>
      <c r="P13" s="110">
        <v>2613</v>
      </c>
      <c r="Q13" s="110">
        <v>125</v>
      </c>
      <c r="R13" s="111">
        <v>15198</v>
      </c>
      <c r="S13" s="111">
        <v>1511</v>
      </c>
      <c r="T13" s="111">
        <v>5197</v>
      </c>
      <c r="U13" s="111">
        <v>1521.3</v>
      </c>
      <c r="V13" s="111">
        <v>5627.6</v>
      </c>
      <c r="W13" s="111">
        <v>51.4</v>
      </c>
      <c r="X13" s="110">
        <v>141</v>
      </c>
      <c r="Y13" s="110">
        <v>4238</v>
      </c>
      <c r="Z13" s="110">
        <v>10349</v>
      </c>
      <c r="AA13" s="110">
        <v>2618</v>
      </c>
      <c r="AB13" s="110">
        <v>1939</v>
      </c>
      <c r="AC13" s="110">
        <v>252</v>
      </c>
      <c r="AD13" s="110">
        <v>202</v>
      </c>
      <c r="AE13" s="110">
        <v>64</v>
      </c>
      <c r="AF13" s="110">
        <v>612</v>
      </c>
      <c r="AG13" s="110">
        <v>158</v>
      </c>
      <c r="AH13" s="110">
        <v>152</v>
      </c>
      <c r="AI13" s="110">
        <v>874</v>
      </c>
      <c r="AJ13" s="110">
        <v>1182</v>
      </c>
      <c r="AK13" s="110">
        <v>5478</v>
      </c>
      <c r="AL13" s="110">
        <v>133997705</v>
      </c>
      <c r="AM13" s="110">
        <v>565</v>
      </c>
      <c r="AN13" s="110">
        <v>2900678</v>
      </c>
      <c r="AO13" s="110">
        <v>3167</v>
      </c>
      <c r="AP13" s="110">
        <v>45340538</v>
      </c>
      <c r="AQ13" s="111">
        <v>9211</v>
      </c>
      <c r="AR13" s="110">
        <v>182238920</v>
      </c>
      <c r="AS13" s="110">
        <v>353</v>
      </c>
      <c r="AT13" s="111">
        <v>2233</v>
      </c>
      <c r="AU13" s="112">
        <v>0.128</v>
      </c>
      <c r="AV13" s="113">
        <f t="shared" si="1"/>
        <v>1028180</v>
      </c>
      <c r="AW13" s="113">
        <f t="shared" si="2"/>
        <v>2457</v>
      </c>
      <c r="AX13" s="4">
        <f t="shared" si="3"/>
        <v>2457000000</v>
      </c>
      <c r="AY13" s="4">
        <f t="shared" si="4"/>
        <v>2389.6593981598553</v>
      </c>
      <c r="AZ13" s="4">
        <f t="shared" si="5"/>
        <v>199.13828317998795</v>
      </c>
    </row>
    <row r="14" spans="1:52">
      <c r="A14" s="107">
        <v>5</v>
      </c>
      <c r="B14" s="108" t="s">
        <v>120</v>
      </c>
      <c r="C14" s="114">
        <v>109908</v>
      </c>
      <c r="D14" s="115">
        <v>368905</v>
      </c>
      <c r="E14" s="115">
        <v>59646</v>
      </c>
      <c r="F14" s="115">
        <v>1863</v>
      </c>
      <c r="G14" s="115">
        <v>2786</v>
      </c>
      <c r="H14" s="115">
        <v>14743</v>
      </c>
      <c r="I14" s="115">
        <v>9886</v>
      </c>
      <c r="J14" s="115">
        <v>65</v>
      </c>
      <c r="K14" s="115">
        <v>10298</v>
      </c>
      <c r="L14" s="115">
        <v>124</v>
      </c>
      <c r="M14" s="115">
        <v>54</v>
      </c>
      <c r="N14" s="115"/>
      <c r="O14" s="115">
        <f t="shared" si="0"/>
        <v>468370</v>
      </c>
      <c r="P14" s="115">
        <v>714</v>
      </c>
      <c r="Q14" s="115"/>
      <c r="R14" s="116">
        <v>7717.84</v>
      </c>
      <c r="S14" s="116">
        <v>1006.52</v>
      </c>
      <c r="T14" s="116">
        <v>7373.92</v>
      </c>
      <c r="U14" s="116">
        <v>905.18</v>
      </c>
      <c r="V14" s="116">
        <v>950.66</v>
      </c>
      <c r="W14" s="116">
        <v>19.29</v>
      </c>
      <c r="X14" s="115">
        <v>66</v>
      </c>
      <c r="Y14" s="115">
        <v>1679.2</v>
      </c>
      <c r="Z14" s="115">
        <v>13896</v>
      </c>
      <c r="AA14" s="115">
        <v>2202.9299999999998</v>
      </c>
      <c r="AB14" s="115">
        <v>773.38237599999979</v>
      </c>
      <c r="AC14" s="115">
        <v>135.37603399999998</v>
      </c>
      <c r="AD14" s="115">
        <v>157.29291899999998</v>
      </c>
      <c r="AE14" s="115">
        <v>71.594433000000009</v>
      </c>
      <c r="AF14" s="115">
        <v>226.09287400000002</v>
      </c>
      <c r="AG14" s="115">
        <v>226.09287400000002</v>
      </c>
      <c r="AH14" s="115">
        <v>132.755134</v>
      </c>
      <c r="AI14" s="115">
        <v>937.80078300000002</v>
      </c>
      <c r="AJ14" s="115">
        <v>280.42601499999995</v>
      </c>
      <c r="AK14" s="115">
        <v>2940.8134419999997</v>
      </c>
      <c r="AL14" s="115">
        <v>30136406.036370002</v>
      </c>
      <c r="AM14" s="115">
        <v>561.76550100000009</v>
      </c>
      <c r="AN14" s="115">
        <v>1937883.98948</v>
      </c>
      <c r="AO14" s="115"/>
      <c r="AP14" s="115"/>
      <c r="AQ14" s="116">
        <v>3502.5789429999995</v>
      </c>
      <c r="AR14" s="115">
        <v>32074290.025850002</v>
      </c>
      <c r="AS14" s="115"/>
      <c r="AT14" s="116">
        <v>795.46459600000003</v>
      </c>
      <c r="AU14" s="117">
        <v>0.1617505901546798</v>
      </c>
      <c r="AV14" s="113">
        <f t="shared" si="1"/>
        <v>433200</v>
      </c>
      <c r="AW14" s="113">
        <f t="shared" si="2"/>
        <v>1137.6457619999999</v>
      </c>
      <c r="AX14" s="4">
        <f t="shared" si="3"/>
        <v>1137645761.9999998</v>
      </c>
      <c r="AY14" s="4">
        <f t="shared" si="4"/>
        <v>2626.144418282548</v>
      </c>
      <c r="AZ14" s="4">
        <f t="shared" si="5"/>
        <v>218.84536819021233</v>
      </c>
    </row>
    <row r="15" spans="1:52">
      <c r="A15" s="107">
        <v>6</v>
      </c>
      <c r="B15" s="108" t="s">
        <v>121</v>
      </c>
      <c r="C15" s="109">
        <v>56287</v>
      </c>
      <c r="D15" s="110">
        <v>344315</v>
      </c>
      <c r="E15" s="110">
        <v>15573</v>
      </c>
      <c r="F15" s="110">
        <v>7121</v>
      </c>
      <c r="G15" s="110">
        <v>519</v>
      </c>
      <c r="H15" s="110">
        <v>46297</v>
      </c>
      <c r="I15" s="110">
        <v>2336</v>
      </c>
      <c r="J15" s="110">
        <v>1194</v>
      </c>
      <c r="K15" s="110">
        <v>2654</v>
      </c>
      <c r="L15" s="110">
        <v>191</v>
      </c>
      <c r="M15" s="110">
        <v>37</v>
      </c>
      <c r="N15" s="110">
        <v>88</v>
      </c>
      <c r="O15" s="110">
        <v>419131</v>
      </c>
      <c r="P15" s="110">
        <v>791</v>
      </c>
      <c r="Q15" s="110">
        <v>405</v>
      </c>
      <c r="R15" s="111">
        <v>9074.5</v>
      </c>
      <c r="S15" s="111">
        <v>809.2</v>
      </c>
      <c r="T15" s="111">
        <v>14615.25</v>
      </c>
      <c r="U15" s="111">
        <v>546.28</v>
      </c>
      <c r="V15" s="111">
        <v>1212.9000000000001</v>
      </c>
      <c r="W15" s="111">
        <v>0</v>
      </c>
      <c r="X15" s="110">
        <v>109</v>
      </c>
      <c r="Y15" s="110">
        <v>1557.05</v>
      </c>
      <c r="Z15" s="110">
        <v>14030</v>
      </c>
      <c r="AA15" s="110">
        <v>1255.8000000000002</v>
      </c>
      <c r="AB15" s="110">
        <v>724.60704699999997</v>
      </c>
      <c r="AC15" s="110">
        <v>108.292208</v>
      </c>
      <c r="AD15" s="110">
        <v>75.048828999999998</v>
      </c>
      <c r="AE15" s="110">
        <v>11.454535</v>
      </c>
      <c r="AF15" s="110">
        <v>193.573747</v>
      </c>
      <c r="AG15" s="110">
        <v>98.991517999999999</v>
      </c>
      <c r="AH15" s="110">
        <v>103.419324</v>
      </c>
      <c r="AI15" s="110">
        <v>389.17288199999996</v>
      </c>
      <c r="AJ15" s="110">
        <v>426.86049000000003</v>
      </c>
      <c r="AK15" s="110">
        <v>2131.42058</v>
      </c>
      <c r="AL15" s="110">
        <v>53213976.579750001</v>
      </c>
      <c r="AM15" s="110">
        <v>927.09703400000001</v>
      </c>
      <c r="AN15" s="110">
        <v>2001061.0968000002</v>
      </c>
      <c r="AO15" s="110">
        <v>560.319211</v>
      </c>
      <c r="AP15" s="110">
        <v>8544272.11448</v>
      </c>
      <c r="AQ15" s="111">
        <v>3618.8368249999999</v>
      </c>
      <c r="AR15" s="110">
        <v>63759309.791030005</v>
      </c>
      <c r="AS15" s="110">
        <v>0</v>
      </c>
      <c r="AT15" s="111">
        <v>966.84470400000009</v>
      </c>
      <c r="AU15" s="112">
        <v>0.10611863898767329</v>
      </c>
      <c r="AV15" s="113">
        <f t="shared" si="1"/>
        <v>367528</v>
      </c>
      <c r="AW15" s="113">
        <f t="shared" si="2"/>
        <v>919.40261899999985</v>
      </c>
      <c r="AX15" s="4">
        <f t="shared" si="3"/>
        <v>919402618.99999988</v>
      </c>
      <c r="AY15" s="4">
        <f t="shared" si="4"/>
        <v>2501.5852370431639</v>
      </c>
      <c r="AZ15" s="4">
        <f t="shared" si="5"/>
        <v>208.46543642026367</v>
      </c>
    </row>
    <row r="16" spans="1:52">
      <c r="A16" s="107">
        <v>7</v>
      </c>
      <c r="B16" s="108" t="s">
        <v>122</v>
      </c>
      <c r="C16" s="109">
        <v>109141</v>
      </c>
      <c r="D16" s="110">
        <v>325446.15481844515</v>
      </c>
      <c r="E16" s="110">
        <v>15343.890437701413</v>
      </c>
      <c r="F16" s="110">
        <v>10128.282116654333</v>
      </c>
      <c r="G16" s="110">
        <v>1514.672627199142</v>
      </c>
      <c r="H16" s="110">
        <v>49427.070730898951</v>
      </c>
      <c r="I16" s="110">
        <v>2311.9292691010469</v>
      </c>
      <c r="J16" s="110">
        <v>2150</v>
      </c>
      <c r="K16" s="110">
        <v>2889.6269448373409</v>
      </c>
      <c r="L16" s="110">
        <v>87.373055162659128</v>
      </c>
      <c r="M16" s="110">
        <v>105</v>
      </c>
      <c r="N16" s="110">
        <v>144</v>
      </c>
      <c r="O16" s="110">
        <v>409548.00000000006</v>
      </c>
      <c r="P16" s="110">
        <v>783</v>
      </c>
      <c r="Q16" s="110"/>
      <c r="R16" s="111">
        <v>9989.25</v>
      </c>
      <c r="S16" s="111">
        <v>194.99</v>
      </c>
      <c r="T16" s="111">
        <v>12351.72</v>
      </c>
      <c r="U16" s="111">
        <v>309</v>
      </c>
      <c r="V16" s="111">
        <v>322</v>
      </c>
      <c r="W16" s="111"/>
      <c r="X16" s="110">
        <v>114</v>
      </c>
      <c r="Y16" s="110">
        <v>712</v>
      </c>
      <c r="Z16" s="110">
        <v>9079</v>
      </c>
      <c r="AA16" s="110">
        <v>1189</v>
      </c>
      <c r="AB16" s="110">
        <v>692.17488565829547</v>
      </c>
      <c r="AC16" s="110">
        <v>101.06049041332587</v>
      </c>
      <c r="AD16" s="110">
        <v>98.34056262133835</v>
      </c>
      <c r="AE16" s="110">
        <v>46.693512919994994</v>
      </c>
      <c r="AF16" s="110">
        <v>195.12351823987052</v>
      </c>
      <c r="AG16" s="110">
        <v>111.21609978156437</v>
      </c>
      <c r="AH16" s="110">
        <v>89.670299459999995</v>
      </c>
      <c r="AI16" s="110">
        <v>395.48503707550623</v>
      </c>
      <c r="AJ16" s="110">
        <v>383.54568692449402</v>
      </c>
      <c r="AK16" s="110">
        <v>2113.3100930943897</v>
      </c>
      <c r="AL16" s="110">
        <v>19892685.731848639</v>
      </c>
      <c r="AM16" s="110">
        <v>729.2037670000002</v>
      </c>
      <c r="AN16" s="110">
        <v>2033690.4869499998</v>
      </c>
      <c r="AO16" s="110">
        <v>809.53847630631014</v>
      </c>
      <c r="AP16" s="110">
        <v>9876344.5424448214</v>
      </c>
      <c r="AQ16" s="111">
        <v>3652.0523364007004</v>
      </c>
      <c r="AR16" s="110">
        <v>31802720.761243459</v>
      </c>
      <c r="AS16" s="110"/>
      <c r="AT16" s="111"/>
      <c r="AU16" s="112"/>
      <c r="AV16" s="113">
        <f t="shared" si="1"/>
        <v>352433.00000000006</v>
      </c>
      <c r="AW16" s="113">
        <f t="shared" si="2"/>
        <v>938.26945161295464</v>
      </c>
      <c r="AX16" s="4">
        <f t="shared" si="3"/>
        <v>938269451.61295462</v>
      </c>
      <c r="AY16" s="4">
        <f t="shared" si="4"/>
        <v>2662.2633283856917</v>
      </c>
      <c r="AZ16" s="4">
        <f t="shared" si="5"/>
        <v>221.85527736547431</v>
      </c>
    </row>
    <row r="17" spans="1:52">
      <c r="A17" s="107">
        <v>8</v>
      </c>
      <c r="B17" s="108" t="s">
        <v>123</v>
      </c>
      <c r="C17" s="109">
        <v>5700</v>
      </c>
      <c r="D17" s="110">
        <v>324608.93913350091</v>
      </c>
      <c r="E17" s="110">
        <v>10929.662425445546</v>
      </c>
      <c r="F17" s="110">
        <v>5818.2576799381141</v>
      </c>
      <c r="G17" s="110">
        <v>768.14076111542522</v>
      </c>
      <c r="H17" s="110">
        <v>56217.785472854048</v>
      </c>
      <c r="I17" s="110">
        <v>1273.214527145976</v>
      </c>
      <c r="J17" s="110">
        <v>8</v>
      </c>
      <c r="K17" s="110">
        <v>4134.1856700785529</v>
      </c>
      <c r="L17" s="110">
        <v>51.814329921447275</v>
      </c>
      <c r="M17" s="110">
        <v>69</v>
      </c>
      <c r="N17" s="110">
        <v>5</v>
      </c>
      <c r="O17" s="110">
        <v>403884</v>
      </c>
      <c r="P17" s="110">
        <v>624</v>
      </c>
      <c r="Q17" s="110"/>
      <c r="R17" s="111">
        <v>6502</v>
      </c>
      <c r="S17" s="111">
        <v>648</v>
      </c>
      <c r="T17" s="111">
        <v>2705</v>
      </c>
      <c r="U17" s="111">
        <v>630</v>
      </c>
      <c r="V17" s="111">
        <v>264</v>
      </c>
      <c r="W17" s="111">
        <v>68</v>
      </c>
      <c r="X17" s="110">
        <v>38</v>
      </c>
      <c r="Y17" s="110">
        <v>1297</v>
      </c>
      <c r="Z17" s="110">
        <v>4317</v>
      </c>
      <c r="AA17" s="110">
        <v>1087</v>
      </c>
      <c r="AB17" s="110">
        <v>1098.3094628874919</v>
      </c>
      <c r="AC17" s="110">
        <v>118.09276738742729</v>
      </c>
      <c r="AD17" s="110">
        <v>120.70271225178848</v>
      </c>
      <c r="AE17" s="110">
        <v>42.284281473292687</v>
      </c>
      <c r="AF17" s="110">
        <v>207.56151865908927</v>
      </c>
      <c r="AG17" s="110">
        <v>62.514663340910737</v>
      </c>
      <c r="AH17" s="110">
        <v>156.698238</v>
      </c>
      <c r="AI17" s="110">
        <v>334.57956950552773</v>
      </c>
      <c r="AJ17" s="110">
        <v>195.80186349447226</v>
      </c>
      <c r="AK17" s="110">
        <v>2336.5450770000002</v>
      </c>
      <c r="AL17" s="110">
        <v>37467329.505390748</v>
      </c>
      <c r="AM17" s="110">
        <v>1096.74953</v>
      </c>
      <c r="AN17" s="110">
        <v>2794467.6824946073</v>
      </c>
      <c r="AO17" s="110">
        <v>18.699466999999999</v>
      </c>
      <c r="AP17" s="110">
        <v>300438.36613968789</v>
      </c>
      <c r="AQ17" s="111">
        <v>3451.9940740000002</v>
      </c>
      <c r="AR17" s="110">
        <v>40562235.554025047</v>
      </c>
      <c r="AS17" s="110"/>
      <c r="AT17" s="111"/>
      <c r="AU17" s="112"/>
      <c r="AV17" s="113">
        <f t="shared" si="1"/>
        <v>342125</v>
      </c>
      <c r="AW17" s="113">
        <f t="shared" si="2"/>
        <v>1379.3892240000002</v>
      </c>
      <c r="AX17" s="4">
        <f t="shared" si="3"/>
        <v>1379389224.0000002</v>
      </c>
      <c r="AY17" s="4">
        <f t="shared" si="4"/>
        <v>4031.8282031421272</v>
      </c>
      <c r="AZ17" s="4">
        <f t="shared" si="5"/>
        <v>335.98568359517725</v>
      </c>
    </row>
    <row r="18" spans="1:52">
      <c r="A18" s="107">
        <v>9</v>
      </c>
      <c r="B18" s="108" t="s">
        <v>124</v>
      </c>
      <c r="C18" s="109">
        <v>105438</v>
      </c>
      <c r="D18" s="110">
        <v>496516</v>
      </c>
      <c r="E18" s="110">
        <v>11466</v>
      </c>
      <c r="F18" s="110">
        <v>7436</v>
      </c>
      <c r="G18" s="110">
        <v>1010</v>
      </c>
      <c r="H18" s="110">
        <v>45309</v>
      </c>
      <c r="I18" s="110">
        <v>2083</v>
      </c>
      <c r="J18" s="110">
        <v>4454</v>
      </c>
      <c r="K18" s="110">
        <v>3789</v>
      </c>
      <c r="L18" s="110">
        <v>54</v>
      </c>
      <c r="M18" s="110">
        <v>26</v>
      </c>
      <c r="N18" s="110">
        <v>31</v>
      </c>
      <c r="O18" s="110">
        <v>572174</v>
      </c>
      <c r="P18" s="110">
        <v>738</v>
      </c>
      <c r="Q18" s="110" t="s">
        <v>125</v>
      </c>
      <c r="R18" s="111">
        <v>5362</v>
      </c>
      <c r="S18" s="111">
        <v>437</v>
      </c>
      <c r="T18" s="111">
        <v>7228</v>
      </c>
      <c r="U18" s="111">
        <v>629</v>
      </c>
      <c r="V18" s="111">
        <v>37</v>
      </c>
      <c r="W18" s="111">
        <v>57</v>
      </c>
      <c r="X18" s="110">
        <v>9</v>
      </c>
      <c r="Y18" s="110">
        <v>757</v>
      </c>
      <c r="Z18" s="110">
        <v>5701</v>
      </c>
      <c r="AA18" s="110">
        <v>940</v>
      </c>
      <c r="AB18" s="110">
        <v>796.99032807332844</v>
      </c>
      <c r="AC18" s="110">
        <v>81.351994405891134</v>
      </c>
      <c r="AD18" s="110">
        <v>84.671411579702209</v>
      </c>
      <c r="AE18" s="110">
        <v>24.655749394440569</v>
      </c>
      <c r="AF18" s="110">
        <v>206.20406224253117</v>
      </c>
      <c r="AG18" s="110">
        <v>89.157239417591299</v>
      </c>
      <c r="AH18" s="110">
        <v>78.283771837744311</v>
      </c>
      <c r="AI18" s="110">
        <v>522.83257836176483</v>
      </c>
      <c r="AJ18" s="110">
        <v>172.72052324727835</v>
      </c>
      <c r="AK18" s="110">
        <v>2056.867658560272</v>
      </c>
      <c r="AL18" s="110">
        <v>16273720.896762082</v>
      </c>
      <c r="AM18" s="110">
        <v>202.4337306559909</v>
      </c>
      <c r="AN18" s="110">
        <v>317036.39100940357</v>
      </c>
      <c r="AO18" s="110">
        <v>721.99861078373669</v>
      </c>
      <c r="AP18" s="110">
        <v>3510247.7122285147</v>
      </c>
      <c r="AQ18" s="111">
        <v>2981.2999999999997</v>
      </c>
      <c r="AR18" s="110">
        <v>20101005</v>
      </c>
      <c r="AS18" s="110" t="s">
        <v>125</v>
      </c>
      <c r="AT18" s="111">
        <v>556</v>
      </c>
      <c r="AU18" s="112">
        <v>0.10253017271912576</v>
      </c>
      <c r="AV18" s="113">
        <f t="shared" si="1"/>
        <v>516428</v>
      </c>
      <c r="AW18" s="113">
        <f t="shared" si="2"/>
        <v>987.66948345336232</v>
      </c>
      <c r="AX18" s="4">
        <f t="shared" si="3"/>
        <v>987669483.45336235</v>
      </c>
      <c r="AY18" s="4">
        <f t="shared" si="4"/>
        <v>1912.5018075188843</v>
      </c>
      <c r="AZ18" s="4">
        <f t="shared" si="5"/>
        <v>159.37515062657369</v>
      </c>
    </row>
    <row r="19" spans="1:52">
      <c r="A19" s="107">
        <v>10</v>
      </c>
      <c r="B19" s="108" t="s">
        <v>126</v>
      </c>
      <c r="C19" s="114">
        <v>22524</v>
      </c>
      <c r="D19" s="115">
        <v>457645</v>
      </c>
      <c r="E19" s="115">
        <v>33022</v>
      </c>
      <c r="F19" s="115">
        <v>21460</v>
      </c>
      <c r="G19" s="115">
        <v>2200</v>
      </c>
      <c r="H19" s="115">
        <v>44230</v>
      </c>
      <c r="I19" s="115">
        <v>2471</v>
      </c>
      <c r="J19" s="115">
        <v>6331</v>
      </c>
      <c r="K19" s="115">
        <v>4353</v>
      </c>
      <c r="L19" s="115">
        <v>90</v>
      </c>
      <c r="M19" s="115">
        <v>43</v>
      </c>
      <c r="N19" s="115">
        <v>0</v>
      </c>
      <c r="O19" s="115">
        <f t="shared" si="0"/>
        <v>571845</v>
      </c>
      <c r="P19" s="115">
        <v>439</v>
      </c>
      <c r="Q19" s="115">
        <v>0</v>
      </c>
      <c r="R19" s="116">
        <v>9074</v>
      </c>
      <c r="S19" s="116">
        <v>871.1</v>
      </c>
      <c r="T19" s="116">
        <v>6138</v>
      </c>
      <c r="U19" s="116">
        <v>402.8</v>
      </c>
      <c r="V19" s="116">
        <v>0</v>
      </c>
      <c r="W19" s="116">
        <v>0</v>
      </c>
      <c r="X19" s="115">
        <v>0</v>
      </c>
      <c r="Y19" s="115">
        <v>0</v>
      </c>
      <c r="Z19" s="115">
        <v>8402</v>
      </c>
      <c r="AA19" s="115">
        <v>1489</v>
      </c>
      <c r="AB19" s="115">
        <v>998</v>
      </c>
      <c r="AC19" s="115">
        <v>218</v>
      </c>
      <c r="AD19" s="115">
        <v>211</v>
      </c>
      <c r="AE19" s="115">
        <v>47</v>
      </c>
      <c r="AF19" s="115">
        <v>183</v>
      </c>
      <c r="AG19" s="115">
        <v>97</v>
      </c>
      <c r="AH19" s="115">
        <v>105</v>
      </c>
      <c r="AI19" s="115">
        <v>416</v>
      </c>
      <c r="AJ19" s="115">
        <v>250.4</v>
      </c>
      <c r="AK19" s="115">
        <v>2526</v>
      </c>
      <c r="AL19" s="115">
        <v>28260494</v>
      </c>
      <c r="AM19" s="115">
        <v>248</v>
      </c>
      <c r="AN19" s="115">
        <v>1185602</v>
      </c>
      <c r="AO19" s="115">
        <v>0</v>
      </c>
      <c r="AP19" s="115">
        <v>0</v>
      </c>
      <c r="AQ19" s="116">
        <v>2774</v>
      </c>
      <c r="AR19" s="115">
        <v>29446096</v>
      </c>
      <c r="AS19" s="115">
        <v>0</v>
      </c>
      <c r="AT19" s="116">
        <v>765.8</v>
      </c>
      <c r="AU19" s="117">
        <v>0.112</v>
      </c>
      <c r="AV19" s="113">
        <f t="shared" si="1"/>
        <v>514327</v>
      </c>
      <c r="AW19" s="113">
        <f t="shared" si="2"/>
        <v>1474</v>
      </c>
      <c r="AX19" s="4">
        <f t="shared" si="3"/>
        <v>1474000000</v>
      </c>
      <c r="AY19" s="4">
        <f t="shared" si="4"/>
        <v>2865.8810445494792</v>
      </c>
      <c r="AZ19" s="4">
        <f t="shared" si="5"/>
        <v>238.82342037912326</v>
      </c>
    </row>
    <row r="20" spans="1:52">
      <c r="A20" s="107">
        <v>11</v>
      </c>
      <c r="B20" s="108" t="s">
        <v>127</v>
      </c>
      <c r="C20" s="109">
        <v>99633</v>
      </c>
      <c r="D20" s="110">
        <v>222258</v>
      </c>
      <c r="E20" s="110">
        <v>98088</v>
      </c>
      <c r="F20" s="110">
        <v>52475</v>
      </c>
      <c r="G20" s="110">
        <v>5787</v>
      </c>
      <c r="H20" s="110">
        <v>35774</v>
      </c>
      <c r="I20" s="110">
        <v>3597</v>
      </c>
      <c r="J20" s="110">
        <v>2286</v>
      </c>
      <c r="K20" s="110">
        <v>2063</v>
      </c>
      <c r="L20" s="110">
        <v>35</v>
      </c>
      <c r="M20" s="110">
        <v>6</v>
      </c>
      <c r="N20" s="110">
        <v>36</v>
      </c>
      <c r="O20" s="110">
        <v>422405</v>
      </c>
      <c r="P20" s="110">
        <v>1210</v>
      </c>
      <c r="Q20" s="110">
        <v>11</v>
      </c>
      <c r="R20" s="111">
        <v>7067.7039999999997</v>
      </c>
      <c r="S20" s="111">
        <v>116.30800000000001</v>
      </c>
      <c r="T20" s="111">
        <v>9102.7279999999992</v>
      </c>
      <c r="U20" s="111">
        <v>130.47</v>
      </c>
      <c r="V20" s="111">
        <v>911.70511000000022</v>
      </c>
      <c r="W20" s="111">
        <v>0</v>
      </c>
      <c r="X20" s="110">
        <v>20</v>
      </c>
      <c r="Y20" s="110">
        <v>1150</v>
      </c>
      <c r="Z20" s="110">
        <v>9120</v>
      </c>
      <c r="AA20" s="110">
        <v>954.49099999999999</v>
      </c>
      <c r="AB20" s="110">
        <v>637.28977110000005</v>
      </c>
      <c r="AC20" s="110">
        <v>609.91971980000005</v>
      </c>
      <c r="AD20" s="110">
        <v>426.09052489999993</v>
      </c>
      <c r="AE20" s="110">
        <v>112.839315</v>
      </c>
      <c r="AF20" s="110">
        <v>194.77317579000001</v>
      </c>
      <c r="AG20" s="110">
        <v>107.032624</v>
      </c>
      <c r="AH20" s="110">
        <v>72.336681000000013</v>
      </c>
      <c r="AI20" s="110">
        <v>257.22234350000002</v>
      </c>
      <c r="AJ20" s="110">
        <v>150.81683899999999</v>
      </c>
      <c r="AK20" s="110">
        <v>2568.3209940900006</v>
      </c>
      <c r="AL20" s="110">
        <v>59109240.736120038</v>
      </c>
      <c r="AM20" s="110">
        <v>26.052140000000001</v>
      </c>
      <c r="AN20" s="110">
        <v>171375.13321999999</v>
      </c>
      <c r="AO20" s="110">
        <v>54.366913073707607</v>
      </c>
      <c r="AP20" s="110">
        <v>1221856.2738299998</v>
      </c>
      <c r="AQ20" s="111">
        <v>2648.7400471637079</v>
      </c>
      <c r="AR20" s="110">
        <v>60502472.143170036</v>
      </c>
      <c r="AS20" s="110">
        <v>1.5247724710000001</v>
      </c>
      <c r="AT20" s="111">
        <v>793.66</v>
      </c>
      <c r="AU20" s="112">
        <v>0.189</v>
      </c>
      <c r="AV20" s="113">
        <f t="shared" si="1"/>
        <v>378608</v>
      </c>
      <c r="AW20" s="113">
        <f t="shared" si="2"/>
        <v>1786.1393308000002</v>
      </c>
      <c r="AX20" s="4">
        <f t="shared" si="3"/>
        <v>1786139330.8000002</v>
      </c>
      <c r="AY20" s="4">
        <f t="shared" si="4"/>
        <v>4717.6481500655036</v>
      </c>
      <c r="AZ20" s="4">
        <f t="shared" si="5"/>
        <v>393.13734583879199</v>
      </c>
    </row>
    <row r="21" spans="1:52">
      <c r="A21" s="107">
        <v>12</v>
      </c>
      <c r="B21" s="118" t="s">
        <v>128</v>
      </c>
      <c r="C21" s="119">
        <v>63784</v>
      </c>
      <c r="D21" s="119">
        <v>65395</v>
      </c>
      <c r="E21" s="119">
        <v>2059</v>
      </c>
      <c r="F21" s="119">
        <v>1090</v>
      </c>
      <c r="G21" s="119">
        <v>252</v>
      </c>
      <c r="H21" s="119">
        <v>83075</v>
      </c>
      <c r="I21" s="119">
        <v>8257</v>
      </c>
      <c r="J21" s="119">
        <v>1421</v>
      </c>
      <c r="K21" s="119">
        <v>196</v>
      </c>
      <c r="L21" s="119">
        <v>11</v>
      </c>
      <c r="M21" s="119">
        <v>1</v>
      </c>
      <c r="N21" s="119">
        <v>0</v>
      </c>
      <c r="O21" s="119">
        <f t="shared" si="0"/>
        <v>161757</v>
      </c>
      <c r="P21" s="119">
        <v>466</v>
      </c>
      <c r="Q21" s="119">
        <v>0</v>
      </c>
      <c r="R21" s="120">
        <v>810</v>
      </c>
      <c r="S21" s="120">
        <v>25</v>
      </c>
      <c r="T21" s="120">
        <v>730</v>
      </c>
      <c r="U21" s="120">
        <v>60</v>
      </c>
      <c r="V21" s="120">
        <v>700</v>
      </c>
      <c r="W21" s="120">
        <v>1</v>
      </c>
      <c r="X21" s="119">
        <v>6</v>
      </c>
      <c r="Y21" s="119">
        <v>179</v>
      </c>
      <c r="Z21" s="119">
        <v>825</v>
      </c>
      <c r="AA21" s="119">
        <v>158</v>
      </c>
      <c r="AB21" s="119">
        <v>189.83737049999996</v>
      </c>
      <c r="AC21" s="119">
        <v>30.076221600000004</v>
      </c>
      <c r="AD21" s="119">
        <v>29.155558499999998</v>
      </c>
      <c r="AE21" s="119">
        <v>21.803500500000002</v>
      </c>
      <c r="AF21" s="119">
        <v>31.554440885145318</v>
      </c>
      <c r="AG21" s="119">
        <v>63.477980250000016</v>
      </c>
      <c r="AH21" s="119">
        <v>122.51168730000002</v>
      </c>
      <c r="AI21" s="119">
        <v>72.961492043999996</v>
      </c>
      <c r="AJ21" s="119">
        <v>19.078620750000002</v>
      </c>
      <c r="AK21" s="119">
        <f>+SUM(AB21:AJ21)</f>
        <v>580.45687232914531</v>
      </c>
      <c r="AL21" s="119">
        <v>569525</v>
      </c>
      <c r="AM21" s="119">
        <v>1726</v>
      </c>
      <c r="AN21" s="119">
        <v>14702.41</v>
      </c>
      <c r="AO21" s="119">
        <v>0</v>
      </c>
      <c r="AP21" s="119">
        <v>0</v>
      </c>
      <c r="AQ21" s="120">
        <f>+AK21+AM21+AO21</f>
        <v>2306.4568723291454</v>
      </c>
      <c r="AR21" s="119">
        <v>571251</v>
      </c>
      <c r="AS21" s="119">
        <v>0</v>
      </c>
      <c r="AT21" s="120">
        <v>88.12</v>
      </c>
      <c r="AU21" s="121">
        <v>0.1585</v>
      </c>
      <c r="AV21" s="113">
        <f t="shared" si="1"/>
        <v>68796</v>
      </c>
      <c r="AW21" s="113">
        <f t="shared" si="2"/>
        <v>270.87265109999993</v>
      </c>
      <c r="AX21" s="4">
        <f t="shared" si="3"/>
        <v>270872651.0999999</v>
      </c>
      <c r="AY21" s="4">
        <f t="shared" si="4"/>
        <v>3937.3314015349715</v>
      </c>
      <c r="AZ21" s="4">
        <f t="shared" si="5"/>
        <v>328.11095012791429</v>
      </c>
    </row>
    <row r="22" spans="1:52">
      <c r="A22" s="107">
        <v>13</v>
      </c>
      <c r="B22" s="108" t="s">
        <v>129</v>
      </c>
      <c r="C22" s="119">
        <v>16206</v>
      </c>
      <c r="D22" s="119">
        <v>159111</v>
      </c>
      <c r="E22" s="119">
        <v>23004</v>
      </c>
      <c r="F22" s="119">
        <v>10494</v>
      </c>
      <c r="G22" s="119">
        <v>1330</v>
      </c>
      <c r="H22" s="119">
        <v>17586</v>
      </c>
      <c r="I22" s="119">
        <v>3231</v>
      </c>
      <c r="J22" s="119">
        <v>1419</v>
      </c>
      <c r="K22" s="119">
        <v>1686</v>
      </c>
      <c r="L22" s="119">
        <v>44</v>
      </c>
      <c r="M22" s="119">
        <v>3</v>
      </c>
      <c r="N22" s="119">
        <v>10</v>
      </c>
      <c r="O22" s="119">
        <f t="shared" si="0"/>
        <v>217918</v>
      </c>
      <c r="P22" s="119">
        <v>1890</v>
      </c>
      <c r="Q22" s="119" t="s">
        <v>125</v>
      </c>
      <c r="R22" s="120">
        <v>4456</v>
      </c>
      <c r="S22" s="120">
        <v>28</v>
      </c>
      <c r="T22" s="120">
        <v>7918.5</v>
      </c>
      <c r="U22" s="120">
        <v>39.9</v>
      </c>
      <c r="V22" s="120">
        <v>685</v>
      </c>
      <c r="W22" s="120" t="s">
        <v>125</v>
      </c>
      <c r="X22" s="119">
        <v>14</v>
      </c>
      <c r="Y22" s="119">
        <v>781</v>
      </c>
      <c r="Z22" s="119"/>
      <c r="AA22" s="119">
        <v>1494</v>
      </c>
      <c r="AB22" s="119">
        <v>455.81306699999999</v>
      </c>
      <c r="AC22" s="119">
        <v>104.84320100000001</v>
      </c>
      <c r="AD22" s="119">
        <v>107.04906700000002</v>
      </c>
      <c r="AE22" s="119">
        <v>31.828382999999999</v>
      </c>
      <c r="AF22" s="119">
        <v>114.59689499999999</v>
      </c>
      <c r="AG22" s="119">
        <v>92.770700000000005</v>
      </c>
      <c r="AH22" s="119">
        <v>56.245325999999999</v>
      </c>
      <c r="AI22" s="119">
        <v>207.363383</v>
      </c>
      <c r="AJ22" s="119">
        <v>82.83475</v>
      </c>
      <c r="AK22" s="119">
        <f>+SUM(AB22:AJ22)</f>
        <v>1253.3447719999999</v>
      </c>
      <c r="AL22" s="119">
        <v>1624996.2742300006</v>
      </c>
      <c r="AM22" s="119">
        <v>75.308817099999999</v>
      </c>
      <c r="AN22" s="119">
        <v>11653.774869999999</v>
      </c>
      <c r="AO22" s="119">
        <v>798.14388199999996</v>
      </c>
      <c r="AP22" s="119">
        <v>491.49418300000002</v>
      </c>
      <c r="AQ22" s="120">
        <f>+AK22+AM22+AO22</f>
        <v>2126.7974710999997</v>
      </c>
      <c r="AR22" s="119">
        <v>1637141.5432830006</v>
      </c>
      <c r="AS22" s="119" t="s">
        <v>125</v>
      </c>
      <c r="AT22" s="120">
        <v>524.20000000000005</v>
      </c>
      <c r="AU22" s="121">
        <v>0.16700000000000001</v>
      </c>
      <c r="AV22" s="113">
        <f t="shared" si="1"/>
        <v>193939</v>
      </c>
      <c r="AW22" s="113">
        <f t="shared" si="2"/>
        <v>699.53371800000002</v>
      </c>
      <c r="AX22" s="4">
        <f t="shared" si="3"/>
        <v>699533718</v>
      </c>
      <c r="AY22" s="4">
        <f t="shared" si="4"/>
        <v>3606.9780601116845</v>
      </c>
      <c r="AZ22" s="4">
        <f t="shared" si="5"/>
        <v>300.58150500930702</v>
      </c>
    </row>
    <row r="23" spans="1:52">
      <c r="A23" s="107">
        <v>14</v>
      </c>
      <c r="B23" s="108" t="s">
        <v>130</v>
      </c>
      <c r="C23" s="109">
        <v>155488</v>
      </c>
      <c r="D23" s="110">
        <v>289594</v>
      </c>
      <c r="E23" s="110">
        <v>32200</v>
      </c>
      <c r="F23" s="110">
        <v>19203</v>
      </c>
      <c r="G23" s="110">
        <v>3339</v>
      </c>
      <c r="H23" s="110">
        <v>27055</v>
      </c>
      <c r="I23" s="110">
        <v>2224</v>
      </c>
      <c r="J23" s="110">
        <v>5257</v>
      </c>
      <c r="K23" s="110">
        <v>4684</v>
      </c>
      <c r="L23" s="110">
        <v>45</v>
      </c>
      <c r="M23" s="110">
        <v>46</v>
      </c>
      <c r="N23" s="110">
        <v>0</v>
      </c>
      <c r="O23" s="110">
        <v>383647</v>
      </c>
      <c r="P23" s="110">
        <v>687</v>
      </c>
      <c r="Q23" s="110">
        <v>71</v>
      </c>
      <c r="R23" s="111">
        <v>9342.7000000000007</v>
      </c>
      <c r="S23" s="111">
        <v>464.7403343782654</v>
      </c>
      <c r="T23" s="111">
        <v>5442.4940199335551</v>
      </c>
      <c r="U23" s="111">
        <v>286.5059800664452</v>
      </c>
      <c r="V23" s="111">
        <v>249</v>
      </c>
      <c r="W23" s="111">
        <v>0</v>
      </c>
      <c r="X23" s="110">
        <v>11</v>
      </c>
      <c r="Y23" s="110">
        <v>330</v>
      </c>
      <c r="Z23" s="110">
        <v>6437</v>
      </c>
      <c r="AA23" s="110">
        <v>1043</v>
      </c>
      <c r="AB23" s="110">
        <v>648.24198266509279</v>
      </c>
      <c r="AC23" s="110">
        <v>129.32668586365492</v>
      </c>
      <c r="AD23" s="110">
        <v>146.29711215540181</v>
      </c>
      <c r="AE23" s="110">
        <v>69.523839315850495</v>
      </c>
      <c r="AF23" s="110">
        <v>140.60546428923621</v>
      </c>
      <c r="AG23" s="110">
        <v>68.335475710763802</v>
      </c>
      <c r="AH23" s="110">
        <v>127.68491</v>
      </c>
      <c r="AI23" s="110">
        <v>481.83341505097798</v>
      </c>
      <c r="AJ23" s="110">
        <v>70.123904949022048</v>
      </c>
      <c r="AK23" s="110">
        <v>1881.97279</v>
      </c>
      <c r="AL23" s="110">
        <v>47183538.070659988</v>
      </c>
      <c r="AM23" s="110">
        <v>99.31074000000001</v>
      </c>
      <c r="AN23" s="110">
        <v>782363.24888999993</v>
      </c>
      <c r="AO23" s="110">
        <v>0</v>
      </c>
      <c r="AP23" s="110">
        <v>0</v>
      </c>
      <c r="AQ23" s="111">
        <v>1981.2835300000002</v>
      </c>
      <c r="AR23" s="110">
        <v>47965901.319549985</v>
      </c>
      <c r="AS23" s="110">
        <v>0</v>
      </c>
      <c r="AT23" s="111">
        <v>416.89199364185333</v>
      </c>
      <c r="AU23" s="112">
        <v>0.13980000000000001</v>
      </c>
      <c r="AV23" s="113">
        <f t="shared" si="1"/>
        <v>344336</v>
      </c>
      <c r="AW23" s="113">
        <f t="shared" si="2"/>
        <v>993.38962000000004</v>
      </c>
      <c r="AX23" s="4">
        <f t="shared" si="3"/>
        <v>993389620</v>
      </c>
      <c r="AY23" s="4">
        <f t="shared" si="4"/>
        <v>2884.9426722735934</v>
      </c>
      <c r="AZ23" s="4">
        <f t="shared" si="5"/>
        <v>240.41188935613278</v>
      </c>
    </row>
    <row r="24" spans="1:52">
      <c r="A24" s="107">
        <v>15</v>
      </c>
      <c r="B24" s="108" t="s">
        <v>131</v>
      </c>
      <c r="C24" s="109">
        <v>85226</v>
      </c>
      <c r="D24" s="110">
        <v>201262</v>
      </c>
      <c r="E24" s="110">
        <v>18715</v>
      </c>
      <c r="F24" s="110">
        <v>12819</v>
      </c>
      <c r="G24" s="110">
        <v>2531</v>
      </c>
      <c r="H24" s="110">
        <v>15849</v>
      </c>
      <c r="I24" s="110">
        <v>1494</v>
      </c>
      <c r="J24" s="110">
        <v>4415</v>
      </c>
      <c r="K24" s="110">
        <v>3810</v>
      </c>
      <c r="L24" s="110">
        <v>39</v>
      </c>
      <c r="M24" s="110">
        <v>102</v>
      </c>
      <c r="N24" s="110"/>
      <c r="O24" s="110">
        <v>261036</v>
      </c>
      <c r="P24" s="110">
        <v>203</v>
      </c>
      <c r="Q24" s="110">
        <v>493</v>
      </c>
      <c r="R24" s="111">
        <v>4803</v>
      </c>
      <c r="S24" s="111">
        <v>644</v>
      </c>
      <c r="T24" s="111">
        <v>4796</v>
      </c>
      <c r="U24" s="111">
        <v>137</v>
      </c>
      <c r="V24" s="111">
        <v>740</v>
      </c>
      <c r="W24" s="111">
        <v>16</v>
      </c>
      <c r="X24" s="110">
        <v>15</v>
      </c>
      <c r="Y24" s="110">
        <v>740</v>
      </c>
      <c r="Z24" s="110">
        <v>6652</v>
      </c>
      <c r="AA24" s="110">
        <v>1033</v>
      </c>
      <c r="AB24" s="110">
        <v>486.89797311131514</v>
      </c>
      <c r="AC24" s="110">
        <v>188.94023147621337</v>
      </c>
      <c r="AD24" s="110">
        <v>260.78263326304506</v>
      </c>
      <c r="AE24" s="110">
        <v>121.26313150948971</v>
      </c>
      <c r="AF24" s="110">
        <v>84.34983808170216</v>
      </c>
      <c r="AG24" s="110">
        <v>67.290612187252975</v>
      </c>
      <c r="AH24" s="110">
        <v>67.522612074999998</v>
      </c>
      <c r="AI24" s="110">
        <v>402.95497951535481</v>
      </c>
      <c r="AJ24" s="110">
        <v>99.858251809046322</v>
      </c>
      <c r="AK24" s="110">
        <v>1779.8602630284195</v>
      </c>
      <c r="AL24" s="110">
        <v>39637931.671106756</v>
      </c>
      <c r="AM24" s="110">
        <v>300.88015356570639</v>
      </c>
      <c r="AN24" s="110">
        <v>1418260.4892144918</v>
      </c>
      <c r="AO24" s="110"/>
      <c r="AP24" s="110"/>
      <c r="AQ24" s="111">
        <v>2080.7404165941257</v>
      </c>
      <c r="AR24" s="110">
        <v>41056192.160321251</v>
      </c>
      <c r="AS24" s="110">
        <v>85.544355135999993</v>
      </c>
      <c r="AT24" s="111">
        <v>569.23435600000005</v>
      </c>
      <c r="AU24" s="112">
        <v>0.12987810786550288</v>
      </c>
      <c r="AV24" s="113">
        <f t="shared" si="1"/>
        <v>235327</v>
      </c>
      <c r="AW24" s="113">
        <f t="shared" si="2"/>
        <v>1057.8839693600632</v>
      </c>
      <c r="AX24" s="4">
        <f t="shared" si="3"/>
        <v>1057883969.3600632</v>
      </c>
      <c r="AY24" s="4">
        <f t="shared" si="4"/>
        <v>4495.3786406152421</v>
      </c>
      <c r="AZ24" s="4">
        <f t="shared" si="5"/>
        <v>374.61488671793683</v>
      </c>
    </row>
    <row r="25" spans="1:52">
      <c r="A25" s="107">
        <v>16</v>
      </c>
      <c r="B25" s="108" t="s">
        <v>132</v>
      </c>
      <c r="C25" s="114">
        <v>150536</v>
      </c>
      <c r="D25" s="115">
        <v>219898</v>
      </c>
      <c r="E25" s="115">
        <v>29585</v>
      </c>
      <c r="F25" s="115">
        <v>19948</v>
      </c>
      <c r="G25" s="115">
        <v>1350</v>
      </c>
      <c r="H25" s="115">
        <v>41043</v>
      </c>
      <c r="I25" s="115">
        <v>1387</v>
      </c>
      <c r="J25" s="115">
        <v>2117</v>
      </c>
      <c r="K25" s="115">
        <v>2909</v>
      </c>
      <c r="L25" s="115">
        <v>47</v>
      </c>
      <c r="M25" s="115">
        <v>45</v>
      </c>
      <c r="N25" s="115"/>
      <c r="O25" s="115">
        <f t="shared" si="0"/>
        <v>318329</v>
      </c>
      <c r="P25" s="115">
        <v>388</v>
      </c>
      <c r="Q25" s="115"/>
      <c r="R25" s="116">
        <v>9992</v>
      </c>
      <c r="S25" s="116">
        <v>1970</v>
      </c>
      <c r="T25" s="116">
        <v>10148</v>
      </c>
      <c r="U25" s="116">
        <v>270</v>
      </c>
      <c r="V25" s="116"/>
      <c r="W25" s="116"/>
      <c r="X25" s="115"/>
      <c r="Y25" s="115"/>
      <c r="Z25" s="115">
        <v>8933</v>
      </c>
      <c r="AA25" s="115">
        <v>1066</v>
      </c>
      <c r="AB25" s="115">
        <v>547</v>
      </c>
      <c r="AC25" s="115">
        <v>181</v>
      </c>
      <c r="AD25" s="115">
        <v>220</v>
      </c>
      <c r="AE25" s="115">
        <v>39</v>
      </c>
      <c r="AF25" s="115">
        <v>143</v>
      </c>
      <c r="AG25" s="115">
        <v>45</v>
      </c>
      <c r="AH25" s="115">
        <v>35</v>
      </c>
      <c r="AI25" s="115">
        <v>218</v>
      </c>
      <c r="AJ25" s="115">
        <v>73</v>
      </c>
      <c r="AK25" s="115">
        <v>1500</v>
      </c>
      <c r="AL25" s="115">
        <v>11772269</v>
      </c>
      <c r="AM25" s="115">
        <v>53</v>
      </c>
      <c r="AN25" s="115">
        <v>172998</v>
      </c>
      <c r="AO25" s="115"/>
      <c r="AP25" s="115"/>
      <c r="AQ25" s="116">
        <v>1553</v>
      </c>
      <c r="AR25" s="115">
        <v>11945267</v>
      </c>
      <c r="AS25" s="115">
        <v>22</v>
      </c>
      <c r="AT25" s="116">
        <v>527</v>
      </c>
      <c r="AU25" s="117">
        <v>0.13700000000000001</v>
      </c>
      <c r="AV25" s="113">
        <f t="shared" si="1"/>
        <v>270781</v>
      </c>
      <c r="AW25" s="113">
        <f t="shared" si="2"/>
        <v>987</v>
      </c>
      <c r="AX25" s="4">
        <f t="shared" si="3"/>
        <v>987000000</v>
      </c>
      <c r="AY25" s="4">
        <f t="shared" si="4"/>
        <v>3645.0120207843238</v>
      </c>
      <c r="AZ25" s="4">
        <f t="shared" si="5"/>
        <v>303.75100173202696</v>
      </c>
    </row>
    <row r="26" spans="1:52">
      <c r="A26" s="107">
        <v>17</v>
      </c>
      <c r="B26" s="108" t="s">
        <v>133</v>
      </c>
      <c r="C26" s="109">
        <v>76748</v>
      </c>
      <c r="D26" s="110">
        <v>164309</v>
      </c>
      <c r="E26" s="110">
        <v>8011</v>
      </c>
      <c r="F26" s="110">
        <v>3850</v>
      </c>
      <c r="G26" s="110">
        <v>470</v>
      </c>
      <c r="H26" s="110">
        <v>28211</v>
      </c>
      <c r="I26" s="110">
        <v>1180</v>
      </c>
      <c r="J26" s="110">
        <v>2223</v>
      </c>
      <c r="K26" s="110">
        <v>1997</v>
      </c>
      <c r="L26" s="110">
        <v>77</v>
      </c>
      <c r="M26" s="110">
        <v>165</v>
      </c>
      <c r="N26" s="110">
        <v>0</v>
      </c>
      <c r="O26" s="110">
        <v>210493</v>
      </c>
      <c r="P26" s="110">
        <v>451</v>
      </c>
      <c r="Q26" s="110">
        <v>0</v>
      </c>
      <c r="R26" s="111">
        <v>4620.09</v>
      </c>
      <c r="S26" s="111">
        <v>468.58</v>
      </c>
      <c r="T26" s="111">
        <v>9011.42</v>
      </c>
      <c r="U26" s="111">
        <v>182.47</v>
      </c>
      <c r="V26" s="111">
        <v>971.9</v>
      </c>
      <c r="W26" s="111">
        <v>0</v>
      </c>
      <c r="X26" s="110">
        <v>14</v>
      </c>
      <c r="Y26" s="110">
        <v>627</v>
      </c>
      <c r="Z26" s="110">
        <v>6849</v>
      </c>
      <c r="AA26" s="110">
        <v>1052</v>
      </c>
      <c r="AB26" s="110">
        <v>361.61481425910199</v>
      </c>
      <c r="AC26" s="110">
        <v>68.97249201380005</v>
      </c>
      <c r="AD26" s="110">
        <v>64.814061632199952</v>
      </c>
      <c r="AE26" s="110">
        <v>15.917872853100002</v>
      </c>
      <c r="AF26" s="110">
        <v>116.53756551929999</v>
      </c>
      <c r="AG26" s="110">
        <v>40.801281326899996</v>
      </c>
      <c r="AH26" s="110">
        <v>56</v>
      </c>
      <c r="AI26" s="110">
        <v>172.68544808549998</v>
      </c>
      <c r="AJ26" s="110">
        <v>185.36336032879998</v>
      </c>
      <c r="AK26" s="110">
        <v>1082.7068960187019</v>
      </c>
      <c r="AL26" s="110">
        <v>26683763.42251116</v>
      </c>
      <c r="AM26" s="110">
        <v>454.14700784690001</v>
      </c>
      <c r="AN26" s="110">
        <v>5112753.8248520857</v>
      </c>
      <c r="AO26" s="110">
        <v>0</v>
      </c>
      <c r="AP26" s="110">
        <v>0</v>
      </c>
      <c r="AQ26" s="111">
        <v>1536.8539038656018</v>
      </c>
      <c r="AR26" s="110">
        <v>31796517.247363247</v>
      </c>
      <c r="AS26" s="110">
        <v>0</v>
      </c>
      <c r="AT26" s="111">
        <v>312</v>
      </c>
      <c r="AU26" s="112">
        <v>0.1449</v>
      </c>
      <c r="AV26" s="113">
        <f t="shared" si="1"/>
        <v>176640</v>
      </c>
      <c r="AW26" s="113">
        <f t="shared" si="2"/>
        <v>511.319240758202</v>
      </c>
      <c r="AX26" s="4">
        <f t="shared" si="3"/>
        <v>511319240.75820202</v>
      </c>
      <c r="AY26" s="4">
        <f t="shared" si="4"/>
        <v>2894.6967887126475</v>
      </c>
      <c r="AZ26" s="4">
        <f t="shared" si="5"/>
        <v>241.22473239272063</v>
      </c>
    </row>
    <row r="27" spans="1:52">
      <c r="A27" s="107">
        <v>18</v>
      </c>
      <c r="B27" s="108" t="s">
        <v>134</v>
      </c>
      <c r="C27" s="109">
        <v>89680</v>
      </c>
      <c r="D27" s="110">
        <v>93218</v>
      </c>
      <c r="E27" s="110">
        <v>20683</v>
      </c>
      <c r="F27" s="110">
        <v>27544</v>
      </c>
      <c r="G27" s="110">
        <v>2990</v>
      </c>
      <c r="H27" s="110">
        <v>14761</v>
      </c>
      <c r="I27" s="110">
        <v>1299</v>
      </c>
      <c r="J27" s="110">
        <v>1072</v>
      </c>
      <c r="K27" s="110">
        <v>2533</v>
      </c>
      <c r="L27" s="110">
        <v>71</v>
      </c>
      <c r="M27" s="110">
        <v>28</v>
      </c>
      <c r="N27" s="110">
        <v>0</v>
      </c>
      <c r="O27" s="110">
        <v>164199</v>
      </c>
      <c r="P27" s="110">
        <v>565</v>
      </c>
      <c r="Q27" s="110">
        <v>0</v>
      </c>
      <c r="R27" s="111">
        <v>3635.19</v>
      </c>
      <c r="S27" s="111">
        <v>52.4</v>
      </c>
      <c r="T27" s="111">
        <v>6125.4699999999993</v>
      </c>
      <c r="U27" s="111">
        <v>50.91</v>
      </c>
      <c r="V27" s="111">
        <v>1008.31</v>
      </c>
      <c r="W27" s="111">
        <v>0</v>
      </c>
      <c r="X27" s="110">
        <v>16</v>
      </c>
      <c r="Y27" s="110">
        <v>1090</v>
      </c>
      <c r="Z27" s="110">
        <v>4804</v>
      </c>
      <c r="AA27" s="110">
        <v>547.41999999999996</v>
      </c>
      <c r="AB27" s="110">
        <v>279</v>
      </c>
      <c r="AC27" s="110">
        <v>121.8</v>
      </c>
      <c r="AD27" s="110">
        <v>181.3</v>
      </c>
      <c r="AE27" s="110">
        <v>44.5</v>
      </c>
      <c r="AF27" s="110">
        <v>79.8</v>
      </c>
      <c r="AG27" s="110">
        <v>33.799999999999997</v>
      </c>
      <c r="AH27" s="110">
        <v>45</v>
      </c>
      <c r="AI27" s="110">
        <v>424.9</v>
      </c>
      <c r="AJ27" s="110">
        <v>61.100000000000023</v>
      </c>
      <c r="AK27" s="110">
        <v>1271.1999999999998</v>
      </c>
      <c r="AL27" s="110">
        <v>42107029.888219997</v>
      </c>
      <c r="AM27" s="110">
        <v>163</v>
      </c>
      <c r="AN27" s="110">
        <v>1878161.2096800001</v>
      </c>
      <c r="AO27" s="110">
        <v>0</v>
      </c>
      <c r="AP27" s="110">
        <v>0</v>
      </c>
      <c r="AQ27" s="111">
        <v>1434.1999999999998</v>
      </c>
      <c r="AR27" s="110">
        <v>43985191.097899996</v>
      </c>
      <c r="AS27" s="110">
        <v>0</v>
      </c>
      <c r="AT27" s="111">
        <v>324.32799999999997</v>
      </c>
      <c r="AU27" s="112">
        <v>0.113</v>
      </c>
      <c r="AV27" s="113">
        <f t="shared" si="1"/>
        <v>144435</v>
      </c>
      <c r="AW27" s="113">
        <f t="shared" si="2"/>
        <v>626.6</v>
      </c>
      <c r="AX27" s="4">
        <f t="shared" si="3"/>
        <v>626600000</v>
      </c>
      <c r="AY27" s="4">
        <f t="shared" si="4"/>
        <v>4338.2836570083427</v>
      </c>
      <c r="AZ27" s="4">
        <f t="shared" si="5"/>
        <v>361.52363808402856</v>
      </c>
    </row>
    <row r="28" spans="1:52">
      <c r="A28" s="107">
        <v>19</v>
      </c>
      <c r="B28" s="108" t="s">
        <v>135</v>
      </c>
      <c r="C28" s="114">
        <v>203000</v>
      </c>
      <c r="D28" s="115">
        <v>201117</v>
      </c>
      <c r="E28" s="115">
        <v>5263</v>
      </c>
      <c r="F28" s="115">
        <v>3779</v>
      </c>
      <c r="G28" s="115">
        <v>928</v>
      </c>
      <c r="H28" s="115">
        <v>22196</v>
      </c>
      <c r="I28" s="115">
        <v>1313</v>
      </c>
      <c r="J28" s="115">
        <v>2595</v>
      </c>
      <c r="K28" s="115">
        <v>2271</v>
      </c>
      <c r="L28" s="115">
        <v>26</v>
      </c>
      <c r="M28" s="115">
        <v>35</v>
      </c>
      <c r="N28" s="115">
        <v>3</v>
      </c>
      <c r="O28" s="115">
        <f t="shared" si="0"/>
        <v>239526</v>
      </c>
      <c r="P28" s="115">
        <v>458</v>
      </c>
      <c r="Q28" s="115"/>
      <c r="R28" s="116">
        <v>5020</v>
      </c>
      <c r="S28" s="116">
        <v>342</v>
      </c>
      <c r="T28" s="116">
        <v>5760</v>
      </c>
      <c r="U28" s="116">
        <v>74</v>
      </c>
      <c r="V28" s="116">
        <v>897</v>
      </c>
      <c r="W28" s="116"/>
      <c r="X28" s="115">
        <v>17</v>
      </c>
      <c r="Y28" s="115">
        <v>388.125</v>
      </c>
      <c r="Z28" s="115">
        <v>6119</v>
      </c>
      <c r="AA28" s="115">
        <v>703</v>
      </c>
      <c r="AB28" s="115">
        <v>371.06637538999991</v>
      </c>
      <c r="AC28" s="115">
        <v>36.745677000000001</v>
      </c>
      <c r="AD28" s="115">
        <v>41.856254999999997</v>
      </c>
      <c r="AE28" s="115">
        <v>23.736085299999999</v>
      </c>
      <c r="AF28" s="115">
        <v>101.31553240000001</v>
      </c>
      <c r="AG28" s="115">
        <v>51.214488000000003</v>
      </c>
      <c r="AH28" s="115">
        <v>66.904202999999995</v>
      </c>
      <c r="AI28" s="115">
        <v>308.66199999999998</v>
      </c>
      <c r="AJ28" s="115">
        <v>99.929000000000002</v>
      </c>
      <c r="AK28" s="115">
        <v>1101.4296160900001</v>
      </c>
      <c r="AL28" s="115">
        <v>11661374.099490002</v>
      </c>
      <c r="AM28" s="115">
        <v>95.9</v>
      </c>
      <c r="AN28" s="115">
        <v>304259.13</v>
      </c>
      <c r="AO28" s="115">
        <v>36.25</v>
      </c>
      <c r="AP28" s="115">
        <v>216713.85</v>
      </c>
      <c r="AQ28" s="116">
        <v>1233.5796160900002</v>
      </c>
      <c r="AR28" s="115">
        <v>12182347.079490002</v>
      </c>
      <c r="AS28" s="115">
        <v>354.892</v>
      </c>
      <c r="AT28" s="116">
        <v>313.3</v>
      </c>
      <c r="AU28" s="117">
        <v>0.16883921473675506</v>
      </c>
      <c r="AV28" s="113">
        <f t="shared" si="1"/>
        <v>211087</v>
      </c>
      <c r="AW28" s="113">
        <f t="shared" si="2"/>
        <v>473.4043926899999</v>
      </c>
      <c r="AX28" s="4">
        <f t="shared" si="3"/>
        <v>473404392.68999988</v>
      </c>
      <c r="AY28" s="4">
        <f t="shared" si="4"/>
        <v>2242.6979998294537</v>
      </c>
      <c r="AZ28" s="4">
        <f t="shared" si="5"/>
        <v>186.89149998578782</v>
      </c>
    </row>
    <row r="29" spans="1:52">
      <c r="A29" s="107">
        <v>20</v>
      </c>
      <c r="B29" s="108" t="s">
        <v>136</v>
      </c>
      <c r="C29" s="109">
        <v>76500</v>
      </c>
      <c r="D29" s="110">
        <v>186184.19904210552</v>
      </c>
      <c r="E29" s="110">
        <v>3613.2538031071899</v>
      </c>
      <c r="F29" s="110">
        <v>1930.999145995371</v>
      </c>
      <c r="G29" s="110">
        <v>353.54800879189116</v>
      </c>
      <c r="H29" s="110">
        <v>16606.431016704475</v>
      </c>
      <c r="I29" s="110">
        <v>3014.568983295525</v>
      </c>
      <c r="J29" s="110">
        <v>1299</v>
      </c>
      <c r="K29" s="110">
        <v>1103.3226381461677</v>
      </c>
      <c r="L29" s="110">
        <v>38.677361853832444</v>
      </c>
      <c r="M29" s="110">
        <v>10</v>
      </c>
      <c r="N29" s="110">
        <v>67</v>
      </c>
      <c r="O29" s="110">
        <v>214220.99999999997</v>
      </c>
      <c r="P29" s="110">
        <v>461</v>
      </c>
      <c r="Q29" s="110"/>
      <c r="R29" s="111">
        <v>3870</v>
      </c>
      <c r="S29" s="111">
        <v>513.35</v>
      </c>
      <c r="T29" s="111">
        <v>3069.33</v>
      </c>
      <c r="U29" s="111">
        <v>323.94</v>
      </c>
      <c r="V29" s="111">
        <v>0</v>
      </c>
      <c r="W29" s="111"/>
      <c r="X29" s="110">
        <v>53</v>
      </c>
      <c r="Y29" s="110">
        <v>376</v>
      </c>
      <c r="Z29" s="110">
        <v>2048</v>
      </c>
      <c r="AA29" s="110">
        <v>439</v>
      </c>
      <c r="AB29" s="110">
        <v>325.20590242591845</v>
      </c>
      <c r="AC29" s="110">
        <v>34.23972341104168</v>
      </c>
      <c r="AD29" s="110">
        <v>36.555010104577455</v>
      </c>
      <c r="AE29" s="110">
        <v>15.383090423088198</v>
      </c>
      <c r="AF29" s="110">
        <v>50.678949944451006</v>
      </c>
      <c r="AG29" s="110">
        <v>81.810947396097347</v>
      </c>
      <c r="AH29" s="110">
        <v>30.392094511038707</v>
      </c>
      <c r="AI29" s="110">
        <v>162.2985430041247</v>
      </c>
      <c r="AJ29" s="110">
        <v>115.69788775393978</v>
      </c>
      <c r="AK29" s="110">
        <v>852.26214897427735</v>
      </c>
      <c r="AL29" s="110">
        <v>9447461.4793231189</v>
      </c>
      <c r="AM29" s="110">
        <v>60.706218193448365</v>
      </c>
      <c r="AN29" s="110">
        <v>303270.59476306284</v>
      </c>
      <c r="AO29" s="110">
        <v>214.03993586206127</v>
      </c>
      <c r="AP29" s="110">
        <v>2431760.7592863734</v>
      </c>
      <c r="AQ29" s="111">
        <v>1127.0083030297869</v>
      </c>
      <c r="AR29" s="110">
        <v>12182492.833372556</v>
      </c>
      <c r="AS29" s="110"/>
      <c r="AT29" s="111"/>
      <c r="AU29" s="112"/>
      <c r="AV29" s="113">
        <f t="shared" si="1"/>
        <v>192081.99999999997</v>
      </c>
      <c r="AW29" s="113">
        <f t="shared" si="2"/>
        <v>411.38372636462577</v>
      </c>
      <c r="AX29" s="4">
        <f t="shared" si="3"/>
        <v>411383726.36462575</v>
      </c>
      <c r="AY29" s="4">
        <f t="shared" si="4"/>
        <v>2141.7088866454214</v>
      </c>
      <c r="AZ29" s="4">
        <f t="shared" si="5"/>
        <v>178.47574055378513</v>
      </c>
    </row>
    <row r="30" spans="1:52">
      <c r="A30" s="107">
        <v>21</v>
      </c>
      <c r="B30" s="108" t="s">
        <v>137</v>
      </c>
      <c r="C30" s="114">
        <v>90878</v>
      </c>
      <c r="D30" s="115">
        <v>80604</v>
      </c>
      <c r="E30" s="115">
        <v>3013</v>
      </c>
      <c r="F30" s="115">
        <v>2047</v>
      </c>
      <c r="G30" s="115">
        <v>570</v>
      </c>
      <c r="H30" s="115">
        <v>9113</v>
      </c>
      <c r="I30" s="115">
        <v>2032</v>
      </c>
      <c r="J30" s="115">
        <v>1010</v>
      </c>
      <c r="K30" s="115">
        <v>1128</v>
      </c>
      <c r="L30" s="115">
        <v>46</v>
      </c>
      <c r="M30" s="115">
        <v>7</v>
      </c>
      <c r="N30" s="115">
        <v>3</v>
      </c>
      <c r="O30" s="115">
        <f t="shared" si="0"/>
        <v>99573</v>
      </c>
      <c r="P30" s="115">
        <v>640</v>
      </c>
      <c r="Q30" s="115">
        <v>276</v>
      </c>
      <c r="R30" s="116">
        <v>4802.0499999999993</v>
      </c>
      <c r="S30" s="116">
        <v>117.17</v>
      </c>
      <c r="T30" s="116">
        <v>4791.2</v>
      </c>
      <c r="U30" s="116">
        <v>69.174199999999999</v>
      </c>
      <c r="V30" s="116">
        <v>1409.39</v>
      </c>
      <c r="W30" s="116" t="s">
        <v>138</v>
      </c>
      <c r="X30" s="115"/>
      <c r="Y30" s="115"/>
      <c r="Z30" s="115">
        <v>4033</v>
      </c>
      <c r="AA30" s="115">
        <v>313.19600000000003</v>
      </c>
      <c r="AB30" s="115">
        <v>149.37819200000001</v>
      </c>
      <c r="AC30" s="115">
        <v>23.407986000000001</v>
      </c>
      <c r="AD30" s="115">
        <v>31.44415</v>
      </c>
      <c r="AE30" s="115">
        <v>22.127497999999999</v>
      </c>
      <c r="AF30" s="115">
        <v>29.261223999999999</v>
      </c>
      <c r="AG30" s="115">
        <v>56.837471999999998</v>
      </c>
      <c r="AH30" s="115">
        <v>24.042200999999999</v>
      </c>
      <c r="AI30" s="115">
        <v>131.176568</v>
      </c>
      <c r="AJ30" s="115">
        <v>162.58454599999999</v>
      </c>
      <c r="AK30" s="115">
        <v>630.25983699999995</v>
      </c>
      <c r="AL30" s="115">
        <v>11169760.305030001</v>
      </c>
      <c r="AM30" s="115">
        <v>91.335025999999999</v>
      </c>
      <c r="AN30" s="115">
        <v>214588.61848188008</v>
      </c>
      <c r="AO30" s="115">
        <v>243.379738</v>
      </c>
      <c r="AP30" s="115">
        <v>1800429.6518999995</v>
      </c>
      <c r="AQ30" s="116">
        <v>964.97460099999989</v>
      </c>
      <c r="AR30" s="115">
        <v>13184778.57541188</v>
      </c>
      <c r="AS30" s="115">
        <v>667.05200000000002</v>
      </c>
      <c r="AT30" s="116">
        <v>180.9</v>
      </c>
      <c r="AU30" s="117">
        <v>0.115</v>
      </c>
      <c r="AV30" s="113">
        <f t="shared" si="1"/>
        <v>86234</v>
      </c>
      <c r="AW30" s="113">
        <f t="shared" si="2"/>
        <v>226.35782600000002</v>
      </c>
      <c r="AX30" s="4">
        <f t="shared" si="3"/>
        <v>226357826.00000003</v>
      </c>
      <c r="AY30" s="4">
        <f t="shared" si="4"/>
        <v>2624.9255050212219</v>
      </c>
      <c r="AZ30" s="4">
        <f t="shared" si="5"/>
        <v>218.74379208510183</v>
      </c>
    </row>
    <row r="31" spans="1:52">
      <c r="A31" s="107">
        <v>22</v>
      </c>
      <c r="B31" s="108" t="s">
        <v>139</v>
      </c>
      <c r="C31" s="122">
        <v>53219</v>
      </c>
      <c r="D31" s="122">
        <v>199704</v>
      </c>
      <c r="E31" s="122">
        <v>4359</v>
      </c>
      <c r="F31" s="122">
        <v>2761</v>
      </c>
      <c r="G31" s="122">
        <v>571</v>
      </c>
      <c r="H31" s="122">
        <v>19410</v>
      </c>
      <c r="I31" s="122">
        <v>1035</v>
      </c>
      <c r="J31" s="122">
        <v>2032</v>
      </c>
      <c r="K31" s="122">
        <v>1427</v>
      </c>
      <c r="L31" s="122">
        <v>9</v>
      </c>
      <c r="M31" s="122">
        <v>8</v>
      </c>
      <c r="N31" s="122">
        <v>0</v>
      </c>
      <c r="O31" s="122">
        <f t="shared" si="0"/>
        <v>231316</v>
      </c>
      <c r="P31" s="122">
        <v>395</v>
      </c>
      <c r="Q31" s="122">
        <v>131</v>
      </c>
      <c r="R31" s="123">
        <v>3776</v>
      </c>
      <c r="S31" s="123">
        <v>143</v>
      </c>
      <c r="T31" s="123">
        <v>4600</v>
      </c>
      <c r="U31" s="123">
        <v>81</v>
      </c>
      <c r="V31" s="123"/>
      <c r="W31" s="123"/>
      <c r="X31" s="122">
        <v>8</v>
      </c>
      <c r="Y31" s="122">
        <v>330</v>
      </c>
      <c r="Z31" s="122">
        <v>4653</v>
      </c>
      <c r="AA31" s="122">
        <v>513</v>
      </c>
      <c r="AB31" s="122">
        <v>393</v>
      </c>
      <c r="AC31" s="122">
        <v>35</v>
      </c>
      <c r="AD31" s="122">
        <v>34</v>
      </c>
      <c r="AE31" s="122">
        <v>16</v>
      </c>
      <c r="AF31" s="122">
        <v>76</v>
      </c>
      <c r="AG31" s="122">
        <v>40</v>
      </c>
      <c r="AH31" s="122">
        <v>42</v>
      </c>
      <c r="AI31" s="122">
        <v>161.51</v>
      </c>
      <c r="AJ31" s="122">
        <v>46.62</v>
      </c>
      <c r="AK31" s="122">
        <v>842.69</v>
      </c>
      <c r="AL31" s="122">
        <v>5145139</v>
      </c>
      <c r="AM31" s="122">
        <v>44</v>
      </c>
      <c r="AN31" s="122">
        <v>20568</v>
      </c>
      <c r="AO31" s="122"/>
      <c r="AP31" s="122"/>
      <c r="AQ31" s="123">
        <v>886</v>
      </c>
      <c r="AR31" s="122">
        <v>5165707</v>
      </c>
      <c r="AS31" s="122"/>
      <c r="AT31" s="123">
        <v>202</v>
      </c>
      <c r="AU31" s="121">
        <v>0.14099999999999999</v>
      </c>
      <c r="AV31" s="113">
        <f t="shared" si="1"/>
        <v>207395</v>
      </c>
      <c r="AW31" s="113">
        <f t="shared" si="2"/>
        <v>478</v>
      </c>
      <c r="AX31" s="4">
        <f t="shared" si="3"/>
        <v>478000000</v>
      </c>
      <c r="AY31" s="4">
        <f t="shared" si="4"/>
        <v>2304.7807324188143</v>
      </c>
      <c r="AZ31" s="4">
        <f t="shared" si="5"/>
        <v>192.06506103490119</v>
      </c>
    </row>
    <row r="32" spans="1:52">
      <c r="A32" s="107">
        <v>23</v>
      </c>
      <c r="B32" s="108" t="s">
        <v>140</v>
      </c>
      <c r="C32" s="109">
        <v>102602</v>
      </c>
      <c r="D32" s="110">
        <v>120850</v>
      </c>
      <c r="E32" s="110">
        <v>9007</v>
      </c>
      <c r="F32" s="110">
        <v>4074</v>
      </c>
      <c r="G32" s="110">
        <v>261</v>
      </c>
      <c r="H32" s="110">
        <v>14302</v>
      </c>
      <c r="I32" s="110">
        <v>626</v>
      </c>
      <c r="J32" s="110">
        <v>2144</v>
      </c>
      <c r="K32" s="110">
        <v>1315</v>
      </c>
      <c r="L32" s="110">
        <v>43</v>
      </c>
      <c r="M32" s="110">
        <v>28</v>
      </c>
      <c r="N32" s="110"/>
      <c r="O32" s="110">
        <v>152650</v>
      </c>
      <c r="P32" s="110"/>
      <c r="Q32" s="110"/>
      <c r="R32" s="111">
        <v>2848.23</v>
      </c>
      <c r="S32" s="111">
        <v>28.77</v>
      </c>
      <c r="T32" s="111">
        <v>6278.71</v>
      </c>
      <c r="U32" s="111">
        <v>37.29</v>
      </c>
      <c r="V32" s="111"/>
      <c r="W32" s="111"/>
      <c r="X32" s="110">
        <v>111</v>
      </c>
      <c r="Y32" s="110">
        <v>620.55799999999999</v>
      </c>
      <c r="Z32" s="110">
        <v>4678</v>
      </c>
      <c r="AA32" s="110">
        <v>506.48649999999998</v>
      </c>
      <c r="AB32" s="110">
        <v>266.27</v>
      </c>
      <c r="AC32" s="110">
        <v>96.9</v>
      </c>
      <c r="AD32" s="110">
        <v>126.58</v>
      </c>
      <c r="AE32" s="110">
        <v>26.74</v>
      </c>
      <c r="AF32" s="110">
        <v>71.27</v>
      </c>
      <c r="AG32" s="110">
        <v>36.14</v>
      </c>
      <c r="AH32" s="110">
        <v>59.95</v>
      </c>
      <c r="AI32" s="110">
        <v>174.08</v>
      </c>
      <c r="AJ32" s="110">
        <v>139.33000000000001</v>
      </c>
      <c r="AK32" s="110">
        <v>857.93</v>
      </c>
      <c r="AL32" s="110">
        <v>21198622.839999996</v>
      </c>
      <c r="AM32" s="110">
        <v>43.52</v>
      </c>
      <c r="AN32" s="110">
        <v>224394.85</v>
      </c>
      <c r="AO32" s="110"/>
      <c r="AP32" s="110"/>
      <c r="AQ32" s="111">
        <v>901.44999999999993</v>
      </c>
      <c r="AR32" s="110">
        <v>21423017.689999998</v>
      </c>
      <c r="AS32" s="110"/>
      <c r="AT32" s="111"/>
      <c r="AU32" s="112"/>
      <c r="AV32" s="113">
        <f t="shared" si="1"/>
        <v>134192</v>
      </c>
      <c r="AW32" s="113">
        <f t="shared" si="2"/>
        <v>516.4899999999999</v>
      </c>
      <c r="AX32" s="4">
        <f t="shared" si="3"/>
        <v>516489999.99999988</v>
      </c>
      <c r="AY32" s="4">
        <f t="shared" si="4"/>
        <v>3848.8881602480019</v>
      </c>
      <c r="AZ32" s="4">
        <f t="shared" si="5"/>
        <v>320.74068002066684</v>
      </c>
    </row>
    <row r="33" spans="1:52">
      <c r="A33" s="107">
        <v>24</v>
      </c>
      <c r="B33" s="108" t="s">
        <v>141</v>
      </c>
      <c r="C33" s="119">
        <v>54657</v>
      </c>
      <c r="D33" s="124">
        <v>2007</v>
      </c>
      <c r="E33" s="124">
        <v>80</v>
      </c>
      <c r="F33" s="124">
        <v>45</v>
      </c>
      <c r="G33" s="124">
        <v>9</v>
      </c>
      <c r="H33" s="124">
        <v>281</v>
      </c>
      <c r="I33" s="124">
        <v>20</v>
      </c>
      <c r="J33" s="124">
        <v>0</v>
      </c>
      <c r="K33" s="124">
        <v>27</v>
      </c>
      <c r="L33" s="124">
        <v>1</v>
      </c>
      <c r="M33" s="124">
        <v>7</v>
      </c>
      <c r="N33" s="124">
        <v>31</v>
      </c>
      <c r="O33" s="124">
        <f t="shared" si="0"/>
        <v>2508</v>
      </c>
      <c r="P33" s="124">
        <v>146</v>
      </c>
      <c r="Q33" s="124"/>
      <c r="R33" s="124">
        <v>76.03</v>
      </c>
      <c r="S33" s="124">
        <v>12</v>
      </c>
      <c r="T33" s="124">
        <v>2675.19</v>
      </c>
      <c r="U33" s="124"/>
      <c r="V33" s="124">
        <v>907.38</v>
      </c>
      <c r="W33" s="125"/>
      <c r="X33" s="125">
        <v>52</v>
      </c>
      <c r="Y33" s="125">
        <v>656.1</v>
      </c>
      <c r="Z33" s="124">
        <v>18</v>
      </c>
      <c r="AA33" s="124">
        <v>6.5750000000000002</v>
      </c>
      <c r="AB33" s="124">
        <v>3.716415</v>
      </c>
      <c r="AC33" s="124">
        <v>0.90317000000000003</v>
      </c>
      <c r="AD33" s="124">
        <v>1.4505710000000001</v>
      </c>
      <c r="AE33" s="124">
        <v>0.593885</v>
      </c>
      <c r="AF33" s="124">
        <v>1.5659339999999999</v>
      </c>
      <c r="AG33" s="124">
        <v>0.81135900000000005</v>
      </c>
      <c r="AH33" s="124">
        <v>0</v>
      </c>
      <c r="AI33" s="124">
        <v>0.90190606000000006</v>
      </c>
      <c r="AJ33" s="124">
        <v>9.950844</v>
      </c>
      <c r="AK33" s="124">
        <f>+SUM(AB33:AJ33)</f>
        <v>19.894084059999997</v>
      </c>
      <c r="AL33" s="124">
        <v>46173.332170000009</v>
      </c>
      <c r="AM33" s="124">
        <v>13.4222</v>
      </c>
      <c r="AN33" s="124">
        <v>15108.957229999998</v>
      </c>
      <c r="AO33" s="124">
        <v>797.76854720256449</v>
      </c>
      <c r="AP33" s="124">
        <v>1114767.1800491551</v>
      </c>
      <c r="AQ33" s="126">
        <f>+AK33+AM33+AO33</f>
        <v>831.08483126256453</v>
      </c>
      <c r="AR33" s="124">
        <v>1176049.469449155</v>
      </c>
      <c r="AS33" s="124">
        <v>41.790393438000002</v>
      </c>
      <c r="AT33" s="126">
        <v>241.352</v>
      </c>
      <c r="AU33" s="127">
        <v>3.52806178214208E-2</v>
      </c>
      <c r="AV33" s="113">
        <f t="shared" si="1"/>
        <v>2141</v>
      </c>
      <c r="AW33" s="113">
        <f t="shared" si="2"/>
        <v>6.6640410000000001</v>
      </c>
      <c r="AX33" s="4">
        <f t="shared" si="3"/>
        <v>6664041</v>
      </c>
      <c r="AY33" s="4">
        <f t="shared" si="4"/>
        <v>3112.5833722559551</v>
      </c>
      <c r="AZ33" s="4">
        <f t="shared" si="5"/>
        <v>259.38194768799627</v>
      </c>
    </row>
    <row r="34" spans="1:52">
      <c r="A34" s="107">
        <v>25</v>
      </c>
      <c r="B34" s="118" t="s">
        <v>142</v>
      </c>
      <c r="C34" s="128">
        <v>72000</v>
      </c>
      <c r="D34" s="128">
        <v>97310</v>
      </c>
      <c r="E34" s="128">
        <v>10731</v>
      </c>
      <c r="F34" s="128">
        <v>6872</v>
      </c>
      <c r="G34" s="128">
        <v>559</v>
      </c>
      <c r="H34" s="128">
        <v>13918</v>
      </c>
      <c r="I34" s="128">
        <v>973</v>
      </c>
      <c r="J34" s="128">
        <v>1004</v>
      </c>
      <c r="K34" s="128">
        <v>390</v>
      </c>
      <c r="L34" s="128">
        <v>16</v>
      </c>
      <c r="M34" s="128">
        <v>16</v>
      </c>
      <c r="N34" s="128">
        <v>3</v>
      </c>
      <c r="O34" s="128">
        <f t="shared" si="0"/>
        <v>131792</v>
      </c>
      <c r="P34" s="128">
        <v>442</v>
      </c>
      <c r="Q34" s="128" t="s">
        <v>143</v>
      </c>
      <c r="R34" s="129">
        <v>2707</v>
      </c>
      <c r="S34" s="129">
        <v>0</v>
      </c>
      <c r="T34" s="129">
        <v>3435</v>
      </c>
      <c r="U34" s="129">
        <v>0</v>
      </c>
      <c r="V34" s="129">
        <v>0</v>
      </c>
      <c r="W34" s="129">
        <v>0</v>
      </c>
      <c r="X34" s="128">
        <v>44</v>
      </c>
      <c r="Y34" s="128">
        <v>261</v>
      </c>
      <c r="Z34" s="128">
        <v>2635</v>
      </c>
      <c r="AA34" s="128">
        <v>420</v>
      </c>
      <c r="AB34" s="128">
        <v>226.858</v>
      </c>
      <c r="AC34" s="128">
        <v>80.218999999999994</v>
      </c>
      <c r="AD34" s="128">
        <v>110.35299999999999</v>
      </c>
      <c r="AE34" s="128">
        <v>28.581</v>
      </c>
      <c r="AF34" s="128">
        <v>65.878</v>
      </c>
      <c r="AG34" s="128">
        <v>65.382000000000005</v>
      </c>
      <c r="AH34" s="128">
        <v>40.558999999999997</v>
      </c>
      <c r="AI34" s="128">
        <v>51.55</v>
      </c>
      <c r="AJ34" s="128">
        <v>24.18</v>
      </c>
      <c r="AK34" s="128">
        <f>+SUM(AB34:AJ34)</f>
        <v>693.55999999999983</v>
      </c>
      <c r="AL34" s="128">
        <v>189546</v>
      </c>
      <c r="AM34" s="128">
        <v>31.94</v>
      </c>
      <c r="AN34" s="128">
        <v>819.19</v>
      </c>
      <c r="AO34" s="128">
        <v>48.792000000000002</v>
      </c>
      <c r="AP34" s="128">
        <v>3983</v>
      </c>
      <c r="AQ34" s="129">
        <f>+AK34+AM34+AO34</f>
        <v>774.29199999999992</v>
      </c>
      <c r="AR34" s="128">
        <v>194348.19</v>
      </c>
      <c r="AS34" s="128">
        <v>0</v>
      </c>
      <c r="AT34" s="129">
        <v>259</v>
      </c>
      <c r="AU34" s="130">
        <v>0.316</v>
      </c>
      <c r="AV34" s="113">
        <f t="shared" si="1"/>
        <v>115472</v>
      </c>
      <c r="AW34" s="113">
        <f t="shared" si="2"/>
        <v>446.01100000000002</v>
      </c>
      <c r="AX34" s="4">
        <f t="shared" si="3"/>
        <v>446011000</v>
      </c>
      <c r="AY34" s="4">
        <f t="shared" si="4"/>
        <v>3862.5034640432314</v>
      </c>
      <c r="AZ34" s="4">
        <f t="shared" si="5"/>
        <v>321.8752886702693</v>
      </c>
    </row>
    <row r="35" spans="1:52">
      <c r="A35" s="107">
        <v>26</v>
      </c>
      <c r="B35" s="118" t="s">
        <v>144</v>
      </c>
      <c r="C35" s="119">
        <v>36668</v>
      </c>
      <c r="D35" s="119">
        <v>36114</v>
      </c>
      <c r="E35" s="119">
        <v>1644</v>
      </c>
      <c r="F35" s="119">
        <v>596</v>
      </c>
      <c r="G35" s="119">
        <v>154</v>
      </c>
      <c r="H35" s="119">
        <v>5114</v>
      </c>
      <c r="I35" s="119">
        <v>275</v>
      </c>
      <c r="J35" s="119">
        <v>551</v>
      </c>
      <c r="K35" s="119">
        <v>1493</v>
      </c>
      <c r="L35" s="119">
        <v>42</v>
      </c>
      <c r="M35" s="119">
        <v>4</v>
      </c>
      <c r="N35" s="119">
        <v>8</v>
      </c>
      <c r="O35" s="119">
        <f t="shared" si="0"/>
        <v>45995</v>
      </c>
      <c r="P35" s="119">
        <v>72</v>
      </c>
      <c r="Q35" s="119">
        <v>161</v>
      </c>
      <c r="R35" s="120">
        <v>841</v>
      </c>
      <c r="S35" s="120">
        <v>41</v>
      </c>
      <c r="T35" s="120">
        <v>3582</v>
      </c>
      <c r="U35" s="120">
        <v>55</v>
      </c>
      <c r="V35" s="120">
        <v>353</v>
      </c>
      <c r="W35" s="120">
        <v>0</v>
      </c>
      <c r="X35" s="119">
        <v>17</v>
      </c>
      <c r="Y35" s="119">
        <v>275</v>
      </c>
      <c r="Z35" s="119">
        <v>2059</v>
      </c>
      <c r="AA35" s="119">
        <v>206</v>
      </c>
      <c r="AB35" s="119">
        <v>98.12</v>
      </c>
      <c r="AC35" s="119">
        <v>17.989999999999998</v>
      </c>
      <c r="AD35" s="119">
        <v>16.87</v>
      </c>
      <c r="AE35" s="119">
        <v>2.44</v>
      </c>
      <c r="AF35" s="119">
        <v>22.55</v>
      </c>
      <c r="AG35" s="119">
        <v>9.2100000000000009</v>
      </c>
      <c r="AH35" s="119">
        <v>18.96</v>
      </c>
      <c r="AI35" s="119">
        <v>79.22</v>
      </c>
      <c r="AJ35" s="119">
        <v>19.170000000000002</v>
      </c>
      <c r="AK35" s="119">
        <f>+SUM(AB35:AJ35)</f>
        <v>284.53000000000003</v>
      </c>
      <c r="AL35" s="119">
        <v>427515</v>
      </c>
      <c r="AM35" s="119">
        <v>11.37</v>
      </c>
      <c r="AN35" s="119">
        <v>7473.2</v>
      </c>
      <c r="AO35" s="119">
        <v>466.68</v>
      </c>
      <c r="AP35" s="119">
        <v>420042</v>
      </c>
      <c r="AQ35" s="120">
        <f>+AK35+AM35+AO35</f>
        <v>762.58</v>
      </c>
      <c r="AR35" s="119">
        <v>855030.2</v>
      </c>
      <c r="AS35" s="119">
        <v>21.57</v>
      </c>
      <c r="AT35" s="120">
        <v>177</v>
      </c>
      <c r="AU35" s="121">
        <v>4.9299999999999997E-2</v>
      </c>
      <c r="AV35" s="113">
        <f t="shared" si="1"/>
        <v>38508</v>
      </c>
      <c r="AW35" s="113">
        <f>+AB35+AC35+AD35+AE35</f>
        <v>135.41999999999999</v>
      </c>
      <c r="AX35" s="4">
        <f>+AW35*1000000</f>
        <v>135420000</v>
      </c>
      <c r="AY35" s="4">
        <f t="shared" si="4"/>
        <v>3516.6718603926456</v>
      </c>
      <c r="AZ35" s="4">
        <f t="shared" si="5"/>
        <v>293.05598836605378</v>
      </c>
    </row>
    <row r="36" spans="1:52">
      <c r="AK36" s="113"/>
      <c r="AO36" s="131"/>
      <c r="AQ36" s="131"/>
      <c r="AV36" s="113">
        <f>SUM(AV10:AV35)</f>
        <v>12836978.606557377</v>
      </c>
      <c r="AW36" s="113">
        <f>SUM(AW10:AW35)</f>
        <v>40898.504776055568</v>
      </c>
      <c r="AX36" s="4">
        <f>+AW36*1000000</f>
        <v>40898504776.055565</v>
      </c>
      <c r="AY36" s="4">
        <f t="shared" si="4"/>
        <v>3185.9915038857989</v>
      </c>
      <c r="AZ36" s="150">
        <f t="shared" si="5"/>
        <v>265.49929199048324</v>
      </c>
    </row>
    <row r="37" spans="1:52">
      <c r="B37" s="132" t="s">
        <v>145</v>
      </c>
      <c r="C37" s="133">
        <f t="shared" ref="C37:AJ37" si="6">SUM(C10:C35)</f>
        <v>2142781</v>
      </c>
      <c r="D37" s="134">
        <f t="shared" si="6"/>
        <v>11535062.342174379</v>
      </c>
      <c r="E37" s="134">
        <f t="shared" si="6"/>
        <v>806489.00338756572</v>
      </c>
      <c r="F37" s="134">
        <f t="shared" si="6"/>
        <v>438040.42418848944</v>
      </c>
      <c r="G37" s="134">
        <f t="shared" si="6"/>
        <v>57386.836806942527</v>
      </c>
      <c r="H37" s="134">
        <f t="shared" si="6"/>
        <v>1458280.3691876708</v>
      </c>
      <c r="I37" s="134">
        <f t="shared" si="6"/>
        <v>99862.81114019829</v>
      </c>
      <c r="J37" s="134">
        <f t="shared" si="6"/>
        <v>59292</v>
      </c>
      <c r="K37" s="134">
        <f t="shared" si="6"/>
        <v>140420.10299499755</v>
      </c>
      <c r="L37" s="134">
        <f t="shared" si="6"/>
        <v>3488.8970050024545</v>
      </c>
      <c r="M37" s="134">
        <f t="shared" si="6"/>
        <v>2400.25</v>
      </c>
      <c r="N37" s="134">
        <f t="shared" si="6"/>
        <v>718</v>
      </c>
      <c r="O37" s="134">
        <f t="shared" si="6"/>
        <v>14600247.036885247</v>
      </c>
      <c r="P37" s="134">
        <f t="shared" si="6"/>
        <v>27388</v>
      </c>
      <c r="Q37" s="134">
        <f t="shared" si="6"/>
        <v>5909</v>
      </c>
      <c r="R37" s="134">
        <f t="shared" si="6"/>
        <v>191903.674</v>
      </c>
      <c r="S37" s="134">
        <f t="shared" si="6"/>
        <v>24277.838334378266</v>
      </c>
      <c r="T37" s="134">
        <f t="shared" si="6"/>
        <v>182930.68201993356</v>
      </c>
      <c r="U37" s="134">
        <f t="shared" si="6"/>
        <v>20791.560180066448</v>
      </c>
      <c r="V37" s="134">
        <f t="shared" si="6"/>
        <v>20865.684110000002</v>
      </c>
      <c r="W37" s="134">
        <f t="shared" si="6"/>
        <v>1447.0050000000001</v>
      </c>
      <c r="X37" s="134">
        <f t="shared" si="6"/>
        <v>1098</v>
      </c>
      <c r="Y37" s="134">
        <f t="shared" si="6"/>
        <v>48674.632999999994</v>
      </c>
      <c r="Z37" s="134">
        <f t="shared" si="6"/>
        <v>198741</v>
      </c>
      <c r="AA37" s="134">
        <f t="shared" si="6"/>
        <v>42901.497499999998</v>
      </c>
      <c r="AB37" s="134">
        <f t="shared" si="6"/>
        <v>26361.27240476654</v>
      </c>
      <c r="AC37" s="134">
        <f t="shared" si="6"/>
        <v>6092.2066147299856</v>
      </c>
      <c r="AD37" s="134">
        <f t="shared" si="6"/>
        <v>6405.4349553411594</v>
      </c>
      <c r="AE37" s="134">
        <f t="shared" si="6"/>
        <v>2039.5908012178886</v>
      </c>
      <c r="AF37" s="134">
        <f t="shared" si="6"/>
        <v>6182.1856716880893</v>
      </c>
      <c r="AG37" s="134">
        <f t="shared" si="6"/>
        <v>3531.6967474611774</v>
      </c>
      <c r="AH37" s="134">
        <f t="shared" si="6"/>
        <v>3183.5622269101173</v>
      </c>
      <c r="AI37" s="134">
        <f t="shared" si="6"/>
        <v>14020.617618261262</v>
      </c>
      <c r="AJ37" s="134">
        <f t="shared" si="6"/>
        <v>9584.1296072924833</v>
      </c>
      <c r="AK37" s="134">
        <f>+SUM(AB37:AJ37)</f>
        <v>77400.696647668708</v>
      </c>
      <c r="AL37" s="134">
        <f>SUM(AL10:AL35)</f>
        <v>1210560173.5936177</v>
      </c>
      <c r="AM37" s="134">
        <f>SUM(AM10:AM35)</f>
        <v>15323.785303507355</v>
      </c>
      <c r="AN37" s="134">
        <f>SUM(AN10:AN35)</f>
        <v>49378271.618644558</v>
      </c>
      <c r="AO37" s="134">
        <f>SUM(AO10:AO35)</f>
        <v>9176.9518806083815</v>
      </c>
      <c r="AP37" s="134">
        <f>SUM(AP10:AP35)</f>
        <v>93233364.847027302</v>
      </c>
      <c r="AQ37" s="134">
        <f>+AK37+AM37+AO37</f>
        <v>101901.43383178444</v>
      </c>
      <c r="AR37" s="134">
        <f>SUM(AR10:AR35)</f>
        <v>1353158832.6492896</v>
      </c>
      <c r="AS37" s="134">
        <f>SUM(AS10:AS35)</f>
        <v>3249.9448887469998</v>
      </c>
      <c r="AT37" s="135">
        <f>SUM(AT10:AT35)</f>
        <v>23062.299665247327</v>
      </c>
      <c r="AU37" s="136"/>
    </row>
    <row r="38" spans="1:52">
      <c r="A38" s="103"/>
      <c r="O38" s="137" t="s">
        <v>104</v>
      </c>
      <c r="W38" s="137" t="s">
        <v>105</v>
      </c>
      <c r="Y38" s="137" t="s">
        <v>104</v>
      </c>
      <c r="AA38" s="137" t="s">
        <v>106</v>
      </c>
      <c r="AO38" s="131"/>
      <c r="AQ38" s="137" t="s">
        <v>107</v>
      </c>
    </row>
    <row r="39" spans="1:52">
      <c r="D39" s="138" t="s">
        <v>146</v>
      </c>
      <c r="J39" s="139"/>
      <c r="L39" s="139"/>
      <c r="M39" s="139"/>
      <c r="N39" s="139"/>
      <c r="O39" s="140">
        <f>SUM(D37:N37)</f>
        <v>14601441.036885243</v>
      </c>
      <c r="P39" s="139"/>
      <c r="Q39" s="139"/>
      <c r="W39" s="140">
        <f>SUM(R37:W37)</f>
        <v>442216.44364437822</v>
      </c>
      <c r="Y39" s="140">
        <f>X37+Z37</f>
        <v>199839</v>
      </c>
      <c r="AA39" s="140">
        <f>Y37+AA37</f>
        <v>91576.130499999999</v>
      </c>
      <c r="AE39" s="137"/>
      <c r="AF39" s="139"/>
      <c r="AG39" s="139"/>
      <c r="AH39" s="139"/>
      <c r="AI39" s="139"/>
      <c r="AJ39" s="139"/>
      <c r="AM39" s="141"/>
      <c r="AO39" s="131"/>
      <c r="AQ39" s="140">
        <f>+AQ37</f>
        <v>101901.43383178444</v>
      </c>
      <c r="AT39" s="131"/>
    </row>
    <row r="40" spans="1:52">
      <c r="C40" s="142" t="s">
        <v>147</v>
      </c>
      <c r="D40" s="143" t="s">
        <v>148</v>
      </c>
      <c r="E40" s="144"/>
      <c r="F40" s="144"/>
      <c r="G40" s="144"/>
      <c r="H40" s="144"/>
      <c r="I40" s="144"/>
      <c r="J40" s="145"/>
      <c r="AE40" s="137"/>
      <c r="AF40" s="139"/>
      <c r="AG40" s="139"/>
      <c r="AH40" s="139"/>
      <c r="AI40" s="139"/>
      <c r="AJ40" s="139"/>
      <c r="AM40" s="141"/>
      <c r="AO40" s="131"/>
      <c r="AT40" s="131"/>
    </row>
    <row r="41" spans="1:52" ht="12.15" customHeight="1">
      <c r="C41" s="146">
        <v>1</v>
      </c>
      <c r="D41" s="157" t="s">
        <v>149</v>
      </c>
      <c r="E41" s="157"/>
      <c r="F41" s="157"/>
      <c r="G41" s="157"/>
      <c r="H41" s="157"/>
      <c r="I41" s="157"/>
      <c r="J41" s="157"/>
      <c r="AE41" s="147"/>
      <c r="AF41" s="147"/>
      <c r="AO41" s="131"/>
      <c r="AT41" s="131"/>
    </row>
    <row r="42" spans="1:52" ht="12.15" customHeight="1">
      <c r="C42" s="146">
        <v>2</v>
      </c>
      <c r="D42" s="157" t="s">
        <v>150</v>
      </c>
      <c r="E42" s="157"/>
      <c r="F42" s="157"/>
      <c r="G42" s="157"/>
      <c r="H42" s="157"/>
      <c r="I42" s="157"/>
      <c r="J42" s="157"/>
      <c r="AE42" s="147"/>
      <c r="AF42" s="147"/>
      <c r="AO42" s="131"/>
      <c r="AT42" s="131"/>
    </row>
    <row r="43" spans="1:52" ht="23.25" customHeight="1">
      <c r="C43" s="146">
        <v>3</v>
      </c>
      <c r="D43" s="157" t="s">
        <v>151</v>
      </c>
      <c r="E43" s="157"/>
      <c r="F43" s="157"/>
      <c r="G43" s="157"/>
      <c r="H43" s="157"/>
      <c r="I43" s="157"/>
      <c r="J43" s="157"/>
      <c r="AE43" s="148"/>
      <c r="AF43" s="148"/>
      <c r="AO43" s="131"/>
      <c r="AT43" s="131"/>
    </row>
    <row r="44" spans="1:52" ht="12.15" customHeight="1">
      <c r="C44" s="146">
        <v>4</v>
      </c>
      <c r="D44" s="157" t="s">
        <v>152</v>
      </c>
      <c r="E44" s="157"/>
      <c r="F44" s="157"/>
      <c r="G44" s="157"/>
      <c r="H44" s="157"/>
      <c r="I44" s="157"/>
      <c r="J44" s="157"/>
      <c r="AE44" s="148"/>
      <c r="AF44" s="148"/>
      <c r="AO44" s="131"/>
      <c r="AT44" s="131"/>
    </row>
    <row r="45" spans="1:52" ht="12.15" customHeight="1">
      <c r="C45" s="146">
        <v>5</v>
      </c>
      <c r="D45" s="157" t="s">
        <v>153</v>
      </c>
      <c r="E45" s="157"/>
      <c r="F45" s="157"/>
      <c r="G45" s="157"/>
      <c r="H45" s="157"/>
      <c r="I45" s="157"/>
      <c r="J45" s="157"/>
      <c r="AE45" s="148"/>
      <c r="AF45" s="148"/>
      <c r="AO45" s="131"/>
      <c r="AT45" s="131"/>
    </row>
    <row r="46" spans="1:52" ht="12.15" customHeight="1">
      <c r="C46" s="146">
        <v>6</v>
      </c>
      <c r="D46" s="157" t="s">
        <v>154</v>
      </c>
      <c r="E46" s="157"/>
      <c r="F46" s="157"/>
      <c r="G46" s="157"/>
      <c r="H46" s="157"/>
      <c r="I46" s="157"/>
      <c r="J46" s="157"/>
      <c r="AE46" s="147"/>
      <c r="AF46" s="147"/>
      <c r="AT46" s="131"/>
    </row>
    <row r="47" spans="1:52" ht="23.25" customHeight="1">
      <c r="C47" s="146">
        <v>7</v>
      </c>
      <c r="D47" s="157" t="s">
        <v>155</v>
      </c>
      <c r="E47" s="157"/>
      <c r="F47" s="157"/>
      <c r="G47" s="157"/>
      <c r="H47" s="157"/>
      <c r="I47" s="157"/>
      <c r="J47" s="157"/>
      <c r="AE47" s="147"/>
      <c r="AF47" s="147"/>
      <c r="AT47" s="131"/>
    </row>
    <row r="48" spans="1:52" ht="12.15" customHeight="1">
      <c r="C48" s="146">
        <v>8</v>
      </c>
      <c r="D48" s="157" t="s">
        <v>156</v>
      </c>
      <c r="E48" s="157"/>
      <c r="F48" s="157"/>
      <c r="G48" s="157"/>
      <c r="H48" s="157"/>
      <c r="I48" s="157"/>
      <c r="J48" s="157"/>
      <c r="AE48" s="147"/>
      <c r="AF48" s="147"/>
    </row>
    <row r="49" spans="3:32" ht="12.15" customHeight="1">
      <c r="C49" s="146">
        <v>9</v>
      </c>
      <c r="D49" s="157" t="s">
        <v>157</v>
      </c>
      <c r="E49" s="157"/>
      <c r="F49" s="157"/>
      <c r="G49" s="157"/>
      <c r="H49" s="157"/>
      <c r="I49" s="157"/>
      <c r="J49" s="157"/>
      <c r="AE49" s="147"/>
      <c r="AF49" s="147"/>
    </row>
    <row r="50" spans="3:32" ht="23.25" customHeight="1">
      <c r="C50" s="146">
        <v>10</v>
      </c>
      <c r="D50" s="157" t="s">
        <v>158</v>
      </c>
      <c r="E50" s="157"/>
      <c r="F50" s="157"/>
      <c r="G50" s="157"/>
      <c r="H50" s="157"/>
      <c r="I50" s="157"/>
      <c r="J50" s="157"/>
      <c r="AE50" s="147"/>
      <c r="AF50" s="147"/>
    </row>
    <row r="51" spans="3:32" ht="24" customHeight="1">
      <c r="C51" s="146">
        <v>11</v>
      </c>
      <c r="D51" s="157" t="s">
        <v>159</v>
      </c>
      <c r="E51" s="157"/>
      <c r="F51" s="157"/>
      <c r="G51" s="157"/>
      <c r="H51" s="157"/>
      <c r="I51" s="157"/>
      <c r="J51" s="157"/>
      <c r="AE51" s="147"/>
      <c r="AF51" s="147"/>
    </row>
    <row r="52" spans="3:32" ht="12.15" customHeight="1">
      <c r="C52" s="146">
        <v>12</v>
      </c>
      <c r="D52" s="157" t="s">
        <v>160</v>
      </c>
      <c r="E52" s="157"/>
      <c r="F52" s="157"/>
      <c r="G52" s="157"/>
      <c r="H52" s="157"/>
      <c r="I52" s="157"/>
      <c r="J52" s="157"/>
      <c r="AE52" s="147"/>
      <c r="AF52" s="147"/>
    </row>
    <row r="53" spans="3:32" ht="24" customHeight="1">
      <c r="C53" s="146">
        <v>13</v>
      </c>
      <c r="D53" s="157" t="s">
        <v>161</v>
      </c>
      <c r="E53" s="157"/>
      <c r="F53" s="157"/>
      <c r="G53" s="157"/>
      <c r="H53" s="157"/>
      <c r="I53" s="157"/>
      <c r="J53" s="157"/>
      <c r="AE53" s="147"/>
      <c r="AF53" s="147"/>
    </row>
    <row r="54" spans="3:32" ht="12.15" customHeight="1">
      <c r="C54" s="146">
        <v>14</v>
      </c>
      <c r="D54" s="157" t="s">
        <v>162</v>
      </c>
      <c r="E54" s="157"/>
      <c r="F54" s="157"/>
      <c r="G54" s="157"/>
      <c r="H54" s="157"/>
      <c r="I54" s="157"/>
      <c r="J54" s="157"/>
      <c r="AE54" s="147"/>
      <c r="AF54" s="147"/>
    </row>
    <row r="55" spans="3:32" ht="12.15" customHeight="1">
      <c r="C55" s="146">
        <v>15</v>
      </c>
      <c r="D55" s="157" t="s">
        <v>163</v>
      </c>
      <c r="E55" s="157"/>
      <c r="F55" s="157"/>
      <c r="G55" s="157"/>
      <c r="H55" s="157"/>
      <c r="I55" s="157"/>
      <c r="J55" s="157"/>
      <c r="AE55" s="147"/>
      <c r="AF55" s="147"/>
    </row>
    <row r="56" spans="3:32" ht="12.15" customHeight="1">
      <c r="C56" s="146">
        <v>16</v>
      </c>
      <c r="D56" s="157" t="s">
        <v>164</v>
      </c>
      <c r="E56" s="157"/>
      <c r="F56" s="157"/>
      <c r="G56" s="157"/>
      <c r="H56" s="157"/>
      <c r="I56" s="157"/>
      <c r="J56" s="157"/>
      <c r="AE56" s="147"/>
      <c r="AF56" s="147"/>
    </row>
    <row r="57" spans="3:32" ht="12.15" customHeight="1">
      <c r="C57" s="146">
        <v>17</v>
      </c>
      <c r="D57" s="157" t="s">
        <v>165</v>
      </c>
      <c r="E57" s="157"/>
      <c r="F57" s="157"/>
      <c r="G57" s="157"/>
      <c r="H57" s="157"/>
      <c r="I57" s="157"/>
      <c r="J57" s="157"/>
      <c r="AE57" s="147"/>
      <c r="AF57" s="147"/>
    </row>
    <row r="58" spans="3:32" ht="12.15" customHeight="1">
      <c r="C58" s="146">
        <v>18</v>
      </c>
      <c r="D58" s="157" t="s">
        <v>166</v>
      </c>
      <c r="E58" s="157"/>
      <c r="F58" s="157"/>
      <c r="G58" s="157"/>
      <c r="H58" s="157"/>
      <c r="I58" s="157"/>
      <c r="J58" s="157"/>
      <c r="AE58" s="147"/>
      <c r="AF58" s="147"/>
    </row>
    <row r="59" spans="3:32" ht="12.15" customHeight="1">
      <c r="C59" s="146">
        <v>19</v>
      </c>
      <c r="D59" s="157" t="s">
        <v>167</v>
      </c>
      <c r="E59" s="157"/>
      <c r="F59" s="157"/>
      <c r="G59" s="157"/>
      <c r="H59" s="157"/>
      <c r="I59" s="157"/>
      <c r="J59" s="157"/>
      <c r="AE59" s="147"/>
      <c r="AF59" s="147"/>
    </row>
    <row r="60" spans="3:32" ht="12.15" customHeight="1">
      <c r="C60" s="146">
        <v>20</v>
      </c>
      <c r="D60" s="157" t="s">
        <v>168</v>
      </c>
      <c r="E60" s="157"/>
      <c r="F60" s="157"/>
      <c r="G60" s="157"/>
      <c r="H60" s="157"/>
      <c r="I60" s="157"/>
      <c r="J60" s="157"/>
      <c r="AE60" s="147"/>
      <c r="AF60" s="147"/>
    </row>
    <row r="61" spans="3:32" ht="12.15" customHeight="1">
      <c r="C61" s="146">
        <v>21</v>
      </c>
      <c r="D61" s="157" t="s">
        <v>169</v>
      </c>
      <c r="E61" s="157"/>
      <c r="F61" s="157"/>
      <c r="G61" s="157"/>
      <c r="H61" s="157"/>
      <c r="I61" s="157"/>
      <c r="J61" s="157"/>
      <c r="AE61" s="147"/>
      <c r="AF61" s="147"/>
    </row>
    <row r="62" spans="3:32" ht="12.15" customHeight="1">
      <c r="C62" s="146">
        <v>22</v>
      </c>
      <c r="D62" s="157" t="s">
        <v>170</v>
      </c>
      <c r="E62" s="157"/>
      <c r="F62" s="157"/>
      <c r="G62" s="157"/>
      <c r="H62" s="157"/>
      <c r="I62" s="157"/>
      <c r="J62" s="157"/>
      <c r="AE62" s="147"/>
      <c r="AF62" s="147"/>
    </row>
    <row r="63" spans="3:32" ht="24" customHeight="1">
      <c r="C63" s="146">
        <v>23</v>
      </c>
      <c r="D63" s="157" t="s">
        <v>171</v>
      </c>
      <c r="E63" s="157"/>
      <c r="F63" s="157"/>
      <c r="G63" s="157"/>
      <c r="H63" s="157"/>
      <c r="I63" s="157"/>
      <c r="J63" s="157"/>
      <c r="AE63" s="147"/>
      <c r="AF63" s="147"/>
    </row>
    <row r="64" spans="3:32" ht="12.15" customHeight="1">
      <c r="C64" s="146">
        <v>24</v>
      </c>
      <c r="D64" s="157" t="s">
        <v>172</v>
      </c>
      <c r="E64" s="157"/>
      <c r="F64" s="157"/>
      <c r="G64" s="157"/>
      <c r="H64" s="157"/>
      <c r="I64" s="157"/>
      <c r="J64" s="157"/>
      <c r="AE64" s="147"/>
      <c r="AF64" s="147"/>
    </row>
    <row r="65" spans="2:32" ht="12.15" customHeight="1">
      <c r="C65" s="146">
        <v>25</v>
      </c>
      <c r="D65" s="157" t="s">
        <v>173</v>
      </c>
      <c r="E65" s="157"/>
      <c r="F65" s="157"/>
      <c r="G65" s="157"/>
      <c r="H65" s="157"/>
      <c r="I65" s="157"/>
      <c r="J65" s="157"/>
      <c r="AE65" s="147"/>
      <c r="AF65" s="147"/>
    </row>
    <row r="66" spans="2:32" ht="12.15" customHeight="1">
      <c r="C66" s="146">
        <v>26</v>
      </c>
      <c r="D66" s="157" t="s">
        <v>174</v>
      </c>
      <c r="E66" s="157"/>
      <c r="F66" s="157"/>
      <c r="G66" s="157"/>
      <c r="H66" s="157"/>
      <c r="I66" s="157"/>
      <c r="J66" s="157"/>
      <c r="AE66" s="147"/>
      <c r="AF66" s="147"/>
    </row>
    <row r="67" spans="2:32" ht="12.75" customHeight="1">
      <c r="C67" s="146" t="s">
        <v>175</v>
      </c>
      <c r="D67" s="158" t="s">
        <v>176</v>
      </c>
      <c r="E67" s="159"/>
      <c r="F67" s="159"/>
      <c r="G67" s="159"/>
      <c r="H67" s="159"/>
      <c r="I67" s="159"/>
      <c r="J67" s="159"/>
      <c r="AE67" s="147"/>
      <c r="AF67" s="147"/>
    </row>
    <row r="68" spans="2:32" ht="24" customHeight="1">
      <c r="C68" s="146">
        <v>36</v>
      </c>
      <c r="D68" s="157" t="s">
        <v>177</v>
      </c>
      <c r="E68" s="157"/>
      <c r="F68" s="157"/>
      <c r="G68" s="157"/>
      <c r="H68" s="157"/>
      <c r="I68" s="157"/>
      <c r="J68" s="157"/>
      <c r="AE68" s="147"/>
      <c r="AF68" s="147"/>
    </row>
    <row r="69" spans="2:32" ht="12.15" customHeight="1">
      <c r="C69" s="146">
        <v>37</v>
      </c>
      <c r="D69" s="157" t="s">
        <v>178</v>
      </c>
      <c r="E69" s="157"/>
      <c r="F69" s="157"/>
      <c r="G69" s="157"/>
      <c r="H69" s="157"/>
      <c r="I69" s="157"/>
      <c r="J69" s="157"/>
      <c r="AE69" s="147"/>
      <c r="AF69" s="147"/>
    </row>
    <row r="70" spans="2:32" ht="12.15" customHeight="1">
      <c r="C70" s="146">
        <v>38</v>
      </c>
      <c r="D70" s="157" t="s">
        <v>179</v>
      </c>
      <c r="E70" s="157"/>
      <c r="F70" s="157"/>
      <c r="G70" s="157"/>
      <c r="H70" s="157"/>
      <c r="I70" s="157"/>
      <c r="J70" s="157"/>
      <c r="AE70" s="147"/>
      <c r="AF70" s="147"/>
    </row>
    <row r="71" spans="2:32" ht="24" customHeight="1">
      <c r="C71" s="146">
        <v>39</v>
      </c>
      <c r="D71" s="157" t="s">
        <v>180</v>
      </c>
      <c r="E71" s="157"/>
      <c r="F71" s="157"/>
      <c r="G71" s="157"/>
      <c r="H71" s="157"/>
      <c r="I71" s="157"/>
      <c r="J71" s="157"/>
      <c r="AE71" s="147"/>
      <c r="AF71" s="147"/>
    </row>
    <row r="72" spans="2:32" ht="12.15" customHeight="1">
      <c r="C72" s="146">
        <v>40</v>
      </c>
      <c r="D72" s="157" t="s">
        <v>181</v>
      </c>
      <c r="E72" s="157"/>
      <c r="F72" s="157"/>
      <c r="G72" s="157"/>
      <c r="H72" s="157"/>
      <c r="I72" s="157"/>
      <c r="J72" s="157"/>
      <c r="AE72" s="147"/>
      <c r="AF72" s="147"/>
    </row>
    <row r="73" spans="2:32" ht="12.15" customHeight="1">
      <c r="C73" s="146">
        <v>41</v>
      </c>
      <c r="D73" s="157" t="s">
        <v>182</v>
      </c>
      <c r="E73" s="157"/>
      <c r="F73" s="157"/>
      <c r="G73" s="157"/>
      <c r="H73" s="157"/>
      <c r="I73" s="157"/>
      <c r="J73" s="157"/>
      <c r="AE73" s="147"/>
      <c r="AF73" s="147"/>
    </row>
    <row r="74" spans="2:32" ht="12.15" customHeight="1">
      <c r="C74" s="146">
        <v>42</v>
      </c>
      <c r="D74" s="157" t="s">
        <v>183</v>
      </c>
      <c r="E74" s="157"/>
      <c r="F74" s="157"/>
      <c r="G74" s="157"/>
      <c r="H74" s="157"/>
      <c r="I74" s="157"/>
      <c r="J74" s="157"/>
      <c r="AE74" s="147"/>
      <c r="AF74" s="147"/>
    </row>
    <row r="75" spans="2:32" ht="12.15" customHeight="1">
      <c r="C75" s="146">
        <v>43</v>
      </c>
      <c r="D75" s="157" t="s">
        <v>184</v>
      </c>
      <c r="E75" s="157"/>
      <c r="F75" s="157"/>
      <c r="G75" s="157"/>
      <c r="H75" s="157"/>
      <c r="I75" s="157"/>
      <c r="J75" s="157"/>
      <c r="AE75" s="147"/>
      <c r="AF75" s="147"/>
    </row>
    <row r="76" spans="2:32" ht="12.15" customHeight="1">
      <c r="C76" s="146">
        <v>44</v>
      </c>
      <c r="D76" s="157" t="s">
        <v>185</v>
      </c>
      <c r="E76" s="157"/>
      <c r="F76" s="157"/>
      <c r="G76" s="157"/>
      <c r="H76" s="157"/>
      <c r="I76" s="157"/>
      <c r="J76" s="157"/>
      <c r="AE76" s="147"/>
      <c r="AF76" s="147"/>
    </row>
    <row r="77" spans="2:32" ht="24" customHeight="1">
      <c r="C77" s="146">
        <v>45</v>
      </c>
      <c r="D77" s="157" t="s">
        <v>186</v>
      </c>
      <c r="E77" s="157"/>
      <c r="F77" s="157"/>
      <c r="G77" s="157"/>
      <c r="H77" s="157"/>
      <c r="I77" s="157"/>
      <c r="J77" s="157"/>
    </row>
    <row r="78" spans="2:32" ht="24" customHeight="1">
      <c r="C78" s="146">
        <v>46</v>
      </c>
      <c r="D78" s="157" t="s">
        <v>187</v>
      </c>
      <c r="E78" s="157"/>
      <c r="F78" s="157"/>
      <c r="G78" s="157"/>
      <c r="H78" s="157"/>
      <c r="I78" s="157"/>
      <c r="J78" s="157"/>
    </row>
    <row r="79" spans="2:32" ht="24" customHeight="1">
      <c r="B79" s="149"/>
    </row>
  </sheetData>
  <mergeCells count="38">
    <mergeCell ref="D46:J46"/>
    <mergeCell ref="D41:J41"/>
    <mergeCell ref="D42:J42"/>
    <mergeCell ref="D43:J43"/>
    <mergeCell ref="D44:J44"/>
    <mergeCell ref="D45:J45"/>
    <mergeCell ref="D58:J58"/>
    <mergeCell ref="D47:J47"/>
    <mergeCell ref="D48:J48"/>
    <mergeCell ref="D49:J49"/>
    <mergeCell ref="D50:J50"/>
    <mergeCell ref="D51:J51"/>
    <mergeCell ref="D52:J52"/>
    <mergeCell ref="D53:J53"/>
    <mergeCell ref="D54:J54"/>
    <mergeCell ref="D55:J55"/>
    <mergeCell ref="D56:J56"/>
    <mergeCell ref="D57:J57"/>
    <mergeCell ref="D70:J70"/>
    <mergeCell ref="D59:J59"/>
    <mergeCell ref="D60:J60"/>
    <mergeCell ref="D61:J61"/>
    <mergeCell ref="D62:J62"/>
    <mergeCell ref="D63:J63"/>
    <mergeCell ref="D64:J64"/>
    <mergeCell ref="D65:J65"/>
    <mergeCell ref="D66:J66"/>
    <mergeCell ref="D67:J67"/>
    <mergeCell ref="D68:J68"/>
    <mergeCell ref="D69:J69"/>
    <mergeCell ref="D77:J77"/>
    <mergeCell ref="D78:J78"/>
    <mergeCell ref="D71:J71"/>
    <mergeCell ref="D72:J72"/>
    <mergeCell ref="D73:J73"/>
    <mergeCell ref="D74:J74"/>
    <mergeCell ref="D75:J75"/>
    <mergeCell ref="D76:J76"/>
  </mergeCells>
  <printOptions horizontalCentered="1"/>
  <pageMargins left="0" right="0" top="0.98425196850393704" bottom="0.19685039370078741" header="0" footer="0"/>
  <pageSetup paperSize="9" scale="56" fitToWidth="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abSelected="1" workbookViewId="0">
      <selection activeCell="C8" sqref="C8"/>
    </sheetView>
  </sheetViews>
  <sheetFormatPr baseColWidth="10" defaultColWidth="11" defaultRowHeight="14.4"/>
  <cols>
    <col min="1" max="1" width="24.88671875" style="1" customWidth="1"/>
    <col min="2" max="3" width="59.44140625" style="1" customWidth="1"/>
    <col min="4" max="4" width="21.109375" style="1" customWidth="1"/>
    <col min="5" max="5" width="16" style="1" customWidth="1"/>
    <col min="6" max="6" width="18.6640625" style="1" customWidth="1"/>
    <col min="7" max="11" width="11" style="1"/>
    <col min="12" max="12" width="23.88671875" style="1" bestFit="1" customWidth="1"/>
    <col min="13" max="16384" width="11" style="1"/>
  </cols>
  <sheetData>
    <row r="2" spans="1:12">
      <c r="A2" s="153" t="s">
        <v>191</v>
      </c>
    </row>
    <row r="5" spans="1:12">
      <c r="A5" s="154" t="s">
        <v>189</v>
      </c>
      <c r="B5" s="154" t="s">
        <v>190</v>
      </c>
      <c r="C5" s="161" t="s">
        <v>84</v>
      </c>
      <c r="D5" s="154" t="s">
        <v>49</v>
      </c>
      <c r="E5" s="154" t="s">
        <v>50</v>
      </c>
      <c r="F5" s="154" t="s">
        <v>51</v>
      </c>
      <c r="G5" s="155" t="s">
        <v>192</v>
      </c>
      <c r="L5" s="152" t="s">
        <v>188</v>
      </c>
    </row>
    <row r="6" spans="1:12">
      <c r="A6" s="160" t="s">
        <v>0</v>
      </c>
      <c r="B6" s="2" t="s">
        <v>1</v>
      </c>
      <c r="C6" s="162" t="s">
        <v>201</v>
      </c>
      <c r="D6" s="151">
        <f>2156.88+265*100.106</f>
        <v>28684.97</v>
      </c>
      <c r="E6" s="151">
        <f>2156.88+265*40.236</f>
        <v>12819.419999999998</v>
      </c>
      <c r="F6" s="151">
        <f>2156.88+250*53.695+15*100.106</f>
        <v>17082.22</v>
      </c>
      <c r="G6" s="1" t="s">
        <v>193</v>
      </c>
      <c r="L6" s="152">
        <v>265</v>
      </c>
    </row>
    <row r="7" spans="1:12">
      <c r="A7" s="160"/>
      <c r="B7" s="2" t="s">
        <v>2</v>
      </c>
      <c r="C7" s="162" t="s">
        <v>202</v>
      </c>
      <c r="D7" s="151">
        <f>2213.55+265*100.127</f>
        <v>28747.204999999998</v>
      </c>
      <c r="E7" s="151">
        <f>2213.55+265*40.329</f>
        <v>12900.735000000001</v>
      </c>
      <c r="F7" s="151">
        <f>2213.55+250*53.628+15*100.127</f>
        <v>17122.454999999998</v>
      </c>
      <c r="G7" s="1" t="s">
        <v>193</v>
      </c>
    </row>
    <row r="8" spans="1:12">
      <c r="A8" s="160" t="s">
        <v>3</v>
      </c>
      <c r="B8" s="2" t="s">
        <v>4</v>
      </c>
      <c r="C8" s="162" t="s">
        <v>203</v>
      </c>
      <c r="D8" s="151">
        <f>5352.32+265*138.724</f>
        <v>42114.18</v>
      </c>
      <c r="E8" s="151">
        <f>5352.32+265*74.4882</f>
        <v>25091.693000000003</v>
      </c>
      <c r="F8" s="151">
        <f>5352.32+15*138.724+250*88.806</f>
        <v>29634.68</v>
      </c>
      <c r="G8" s="1" t="s">
        <v>194</v>
      </c>
    </row>
    <row r="9" spans="1:12">
      <c r="A9" s="160"/>
      <c r="B9" s="2" t="s">
        <v>5</v>
      </c>
      <c r="C9" s="162" t="s">
        <v>204</v>
      </c>
      <c r="D9" s="151">
        <f>6700.87+265*152.2749</f>
        <v>47053.718500000003</v>
      </c>
      <c r="E9" s="151">
        <f>6700.87+265*88.2966</f>
        <v>30099.468999999997</v>
      </c>
      <c r="F9" s="151">
        <f>6700.87+15*152.2749+250*102.5569</f>
        <v>34624.218500000003</v>
      </c>
      <c r="G9" s="1" t="s">
        <v>194</v>
      </c>
    </row>
    <row r="10" spans="1:12">
      <c r="A10" s="160"/>
      <c r="B10" s="2" t="s">
        <v>6</v>
      </c>
      <c r="C10" s="162" t="s">
        <v>205</v>
      </c>
      <c r="D10" s="151">
        <f>7473.25+265*156.0992</f>
        <v>48839.538</v>
      </c>
      <c r="E10" s="151">
        <f>7473.25+265*92.5389</f>
        <v>31996.058499999999</v>
      </c>
      <c r="F10" s="151">
        <f>7473.25+15*156.0992+250*106.706</f>
        <v>36491.237999999998</v>
      </c>
      <c r="G10" s="1" t="s">
        <v>194</v>
      </c>
    </row>
    <row r="11" spans="1:12">
      <c r="A11" s="160"/>
      <c r="B11" s="2" t="s">
        <v>7</v>
      </c>
      <c r="C11" s="162" t="s">
        <v>206</v>
      </c>
      <c r="D11" s="151">
        <f>10191.5+265*99.9965</f>
        <v>36690.572499999995</v>
      </c>
      <c r="E11" s="151">
        <f>6572.88+265*47.6678</f>
        <v>19204.847000000002</v>
      </c>
      <c r="F11" s="151">
        <f>7380.22+250*59.3314+15*99.9965</f>
        <v>23713.017499999998</v>
      </c>
      <c r="G11" s="1" t="s">
        <v>193</v>
      </c>
    </row>
    <row r="12" spans="1:12" ht="26.4">
      <c r="A12" s="2" t="s">
        <v>8</v>
      </c>
      <c r="B12" s="2" t="s">
        <v>9</v>
      </c>
      <c r="C12" s="162" t="s">
        <v>227</v>
      </c>
      <c r="D12" s="151">
        <f>18912.16+265*100.7948</f>
        <v>45622.781999999999</v>
      </c>
      <c r="E12" s="151">
        <f>11461.49+265*50.2628</f>
        <v>24781.131999999998</v>
      </c>
      <c r="F12" s="151">
        <f>13127.5+250*61.562+15*100.7948</f>
        <v>30029.921999999999</v>
      </c>
      <c r="G12" s="1" t="s">
        <v>196</v>
      </c>
    </row>
    <row r="13" spans="1:12" ht="26.4">
      <c r="A13" s="2" t="s">
        <v>195</v>
      </c>
      <c r="B13" s="2" t="s">
        <v>10</v>
      </c>
      <c r="C13" s="162" t="s">
        <v>226</v>
      </c>
      <c r="D13" s="151">
        <f>2277.31+109.0214*50+116.9843*100+141.7578*115</f>
        <v>35728.956999999995</v>
      </c>
      <c r="E13" s="151">
        <f>2277.31+45.6776*50+53.6405*100+78.414*115</f>
        <v>18942.850000000002</v>
      </c>
      <c r="F13" s="151">
        <f>2277.31+59.752*50+67.7149*100+92.4884*100+15*141.75778</f>
        <v>23411.606699999997</v>
      </c>
      <c r="G13" s="1" t="s">
        <v>196</v>
      </c>
    </row>
    <row r="14" spans="1:12">
      <c r="A14" s="2" t="s">
        <v>11</v>
      </c>
      <c r="B14" s="2" t="s">
        <v>200</v>
      </c>
      <c r="C14" s="162" t="s">
        <v>200</v>
      </c>
      <c r="D14" s="151">
        <f>1937.6*3+(76.40176+6.1563)*265</f>
        <v>27690.6859</v>
      </c>
      <c r="E14" s="151">
        <f>3*606.47+(22.87435+6.1563)*265</f>
        <v>9512.5322500000002</v>
      </c>
      <c r="F14" s="151">
        <f>884.15*2+1937.6+(34.8058+6.1563)*250+15*(76.46759+6.1563)</f>
        <v>15185.78335</v>
      </c>
      <c r="G14" s="1" t="s">
        <v>196</v>
      </c>
    </row>
    <row r="15" spans="1:12">
      <c r="A15" s="2" t="s">
        <v>12</v>
      </c>
      <c r="B15" s="2" t="s">
        <v>13</v>
      </c>
      <c r="C15" s="162" t="s">
        <v>224</v>
      </c>
      <c r="D15" s="151">
        <f>1896.1369+120*158.676+145*191.27259</f>
        <v>48671.782449999999</v>
      </c>
      <c r="E15" s="151">
        <f>1643.9022+120*93.89582+145*122.15623</f>
        <v>30624.053950000001</v>
      </c>
      <c r="F15" s="151">
        <f>1681.2325+110.67545*120+130*139.57761+15*179.47922</f>
        <v>35799.564100000003</v>
      </c>
      <c r="G15" s="1" t="s">
        <v>193</v>
      </c>
    </row>
    <row r="16" spans="1:12">
      <c r="A16" s="2" t="s">
        <v>14</v>
      </c>
      <c r="B16" s="2" t="s">
        <v>15</v>
      </c>
      <c r="C16" s="162" t="s">
        <v>225</v>
      </c>
      <c r="D16" s="151">
        <f>6300.5+154.105*265</f>
        <v>47138.324999999997</v>
      </c>
      <c r="E16" s="151">
        <f>3368+89.771*265</f>
        <v>27157.314999999999</v>
      </c>
      <c r="F16" s="151">
        <f>8019/2+250*104.066+15*154.105</f>
        <v>32337.575000000001</v>
      </c>
      <c r="G16" s="1" t="s">
        <v>196</v>
      </c>
    </row>
    <row r="17" spans="1:7">
      <c r="A17" s="2" t="s">
        <v>16</v>
      </c>
      <c r="B17" s="2" t="s">
        <v>17</v>
      </c>
      <c r="C17" s="162" t="s">
        <v>223</v>
      </c>
      <c r="D17" s="151">
        <f>4984.48/2+100*153.03+100*177.95+65*211.45</f>
        <v>49334.49</v>
      </c>
      <c r="E17" s="151">
        <f>3738.36/2+70.69*100+100*89.37+65*114.64</f>
        <v>25326.78</v>
      </c>
      <c r="F17" s="151">
        <f>4236.8/2+100*91.19+100*112.37+50*141.01+15*195.39</f>
        <v>32455.75</v>
      </c>
      <c r="G17" s="1" t="s">
        <v>196</v>
      </c>
    </row>
    <row r="18" spans="1:7">
      <c r="A18" s="2" t="s">
        <v>18</v>
      </c>
      <c r="B18" s="2" t="s">
        <v>19</v>
      </c>
      <c r="C18" s="162" t="s">
        <v>222</v>
      </c>
      <c r="D18" s="151">
        <f>1226.47+125.4994*265</f>
        <v>34483.811000000002</v>
      </c>
      <c r="E18" s="151">
        <f>1226.47+265*56.777</f>
        <v>16272.375</v>
      </c>
      <c r="F18" s="151">
        <f>1226.47+250*72.0465+15*125.4994</f>
        <v>21120.586000000003</v>
      </c>
      <c r="G18" s="1" t="s">
        <v>193</v>
      </c>
    </row>
    <row r="19" spans="1:7">
      <c r="A19" s="2" t="s">
        <v>20</v>
      </c>
      <c r="B19" s="2" t="s">
        <v>21</v>
      </c>
      <c r="C19" s="162" t="s">
        <v>221</v>
      </c>
      <c r="D19" s="151">
        <f>3951+63.1341*265+100.5105*265</f>
        <v>47316.818999999996</v>
      </c>
      <c r="E19" s="151">
        <f>3951+63.1341*265+100.5105*265-59.8774*265</f>
        <v>31449.307999999997</v>
      </c>
      <c r="F19" s="151">
        <f>3951+63.1341*265+100.5105*265-250*46.4449</f>
        <v>35705.593999999997</v>
      </c>
      <c r="G19" s="1" t="s">
        <v>193</v>
      </c>
    </row>
    <row r="20" spans="1:7">
      <c r="A20" s="2" t="s">
        <v>22</v>
      </c>
      <c r="B20" s="2" t="s">
        <v>23</v>
      </c>
      <c r="C20" s="162" t="s">
        <v>220</v>
      </c>
      <c r="D20" s="151">
        <f>1239.55+6374.85+240.9+101.08*265+15.8*60+24.25*60+35.05*100+45*53.7</f>
        <v>42966</v>
      </c>
      <c r="E20" s="151">
        <f>1239.35+6306.01+126.2+40.24*265+15.8*60+60*24.25+35.05*100+45*53.7</f>
        <v>26659.66</v>
      </c>
      <c r="F20" s="151">
        <f>1239.35+6306.01+126.2+53.81*250+15*101.08+15.8*60+60*24.25+35.05*100+45*53.7</f>
        <v>30964.760000000002</v>
      </c>
      <c r="G20" s="1" t="s">
        <v>194</v>
      </c>
    </row>
    <row r="21" spans="1:7">
      <c r="A21" s="2" t="s">
        <v>24</v>
      </c>
      <c r="B21" s="2" t="s">
        <v>25</v>
      </c>
      <c r="C21" s="162" t="s">
        <v>219</v>
      </c>
      <c r="D21" s="151">
        <f>1298.61+127.1397*200+65*86.5243-13.3275*200-65*6.9162</f>
        <v>29235.576500000003</v>
      </c>
      <c r="E21" s="151">
        <f>1298.61+127.1397*200+65*86.5243-79.443*200-65*41.2259</f>
        <v>13782.346000000005</v>
      </c>
      <c r="F21" s="151">
        <f>1298.61+127.1397*200+65*86.5243-64.527*200-33.6026*50-15*6.9162</f>
        <v>17661.356500000002</v>
      </c>
      <c r="G21" s="1" t="s">
        <v>193</v>
      </c>
    </row>
    <row r="22" spans="1:7">
      <c r="A22" s="2" t="s">
        <v>26</v>
      </c>
      <c r="B22" s="2" t="s">
        <v>27</v>
      </c>
      <c r="C22" s="162" t="s">
        <v>218</v>
      </c>
      <c r="D22" s="151">
        <f>6457.808/2+192.9447*265</f>
        <v>54359.249500000005</v>
      </c>
      <c r="E22" s="151">
        <f>5689.136/2+265*131.323</f>
        <v>37645.163</v>
      </c>
      <c r="F22" s="151">
        <f>+(0.943396226415094*5862.575+0.0566037735849057*6457.808)/2+145.2932*250+15*192.9447</f>
        <v>42165.604216981134</v>
      </c>
      <c r="G22" s="1" t="s">
        <v>193</v>
      </c>
    </row>
    <row r="23" spans="1:7">
      <c r="A23" s="2" t="s">
        <v>28</v>
      </c>
      <c r="B23" s="2" t="s">
        <v>29</v>
      </c>
      <c r="C23" s="162" t="s">
        <v>217</v>
      </c>
      <c r="D23" s="151">
        <f>1900+179.195*120+182.89*80+183.65*65</f>
        <v>49971.85</v>
      </c>
      <c r="E23" s="151">
        <f>1900+62.785*120+80*66.479+65*67.262</f>
        <v>19124.55</v>
      </c>
      <c r="F23" s="151">
        <f>1900+81.832*120+80*85.525+65*86.294</f>
        <v>24170.95</v>
      </c>
      <c r="G23" s="1" t="s">
        <v>196</v>
      </c>
    </row>
    <row r="24" spans="1:7">
      <c r="A24" s="2" t="s">
        <v>30</v>
      </c>
      <c r="B24" s="2" t="s">
        <v>31</v>
      </c>
      <c r="C24" s="162" t="s">
        <v>216</v>
      </c>
      <c r="D24" s="151">
        <f>8208.34+237.484*265</f>
        <v>71141.600000000006</v>
      </c>
      <c r="E24" s="151">
        <f>8208.34+93.624*265</f>
        <v>33018.699999999997</v>
      </c>
      <c r="F24" s="151">
        <f>8208.34+108.4779*250+15*237.484</f>
        <v>38890.075000000004</v>
      </c>
      <c r="G24" s="1" t="s">
        <v>197</v>
      </c>
    </row>
    <row r="25" spans="1:7">
      <c r="A25" s="2" t="s">
        <v>32</v>
      </c>
      <c r="B25" s="2" t="s">
        <v>33</v>
      </c>
      <c r="C25" s="162" t="s">
        <v>215</v>
      </c>
      <c r="D25" s="151">
        <f>7363.97/2+188.79*265</f>
        <v>53711.334999999999</v>
      </c>
      <c r="E25" s="151">
        <f>7311.39/2+265*132.945</f>
        <v>38886.119999999995</v>
      </c>
      <c r="F25" s="151">
        <f>7323.15/2+265*145.434</f>
        <v>42201.584999999999</v>
      </c>
      <c r="G25" s="1" t="s">
        <v>196</v>
      </c>
    </row>
    <row r="26" spans="1:7">
      <c r="A26" s="2" t="s">
        <v>34</v>
      </c>
      <c r="B26" s="2" t="s">
        <v>35</v>
      </c>
      <c r="C26" s="162" t="s">
        <v>214</v>
      </c>
      <c r="D26" s="151">
        <f>6720.54+197.6742*265</f>
        <v>59104.203000000001</v>
      </c>
      <c r="E26" s="151">
        <f>6265.53+265*86.6435</f>
        <v>29226.057499999999</v>
      </c>
      <c r="F26" s="151">
        <f>6367.27+107.0347*265</f>
        <v>34731.465500000006</v>
      </c>
      <c r="G26" s="1" t="s">
        <v>193</v>
      </c>
    </row>
    <row r="27" spans="1:7">
      <c r="A27" s="2" t="s">
        <v>36</v>
      </c>
      <c r="B27" s="2" t="s">
        <v>37</v>
      </c>
      <c r="C27" s="162" t="s">
        <v>213</v>
      </c>
      <c r="D27" s="151">
        <f>5249.5+129.8413*265</f>
        <v>39657.444499999998</v>
      </c>
      <c r="E27" s="151">
        <f>9460.67/2+72.6929*265</f>
        <v>23993.953499999996</v>
      </c>
      <c r="F27" s="151">
        <f>9692.85+265*85.4716</f>
        <v>32342.824000000001</v>
      </c>
      <c r="G27" s="1" t="s">
        <v>193</v>
      </c>
    </row>
    <row r="28" spans="1:7">
      <c r="A28" s="2" t="s">
        <v>38</v>
      </c>
      <c r="B28" s="2" t="s">
        <v>39</v>
      </c>
      <c r="C28" s="162" t="s">
        <v>212</v>
      </c>
      <c r="D28" s="151">
        <f>6632.6319+12803.9592+96.2778*265</f>
        <v>44950.208099999996</v>
      </c>
      <c r="E28" s="151">
        <f>3252.4179+12803.9593+265*44.1056</f>
        <v>27744.361199999999</v>
      </c>
      <c r="F28" s="151">
        <f>4008.254+12803.9593+55.7716*250+15*96.2778</f>
        <v>32199.280299999999</v>
      </c>
      <c r="G28" s="1" t="s">
        <v>194</v>
      </c>
    </row>
    <row r="29" spans="1:7">
      <c r="A29" s="2" t="s">
        <v>40</v>
      </c>
      <c r="B29" s="2" t="s">
        <v>41</v>
      </c>
      <c r="C29" s="162" t="s">
        <v>211</v>
      </c>
      <c r="D29" s="151">
        <f>11991.44+265*74.361</f>
        <v>31697.105000000003</v>
      </c>
      <c r="E29" s="151">
        <f>2827.65+25.7276*265</f>
        <v>9645.4639999999999</v>
      </c>
      <c r="F29" s="151">
        <f>4631.62+250*32.699+15*74.361</f>
        <v>13921.785</v>
      </c>
      <c r="G29" s="1" t="s">
        <v>194</v>
      </c>
    </row>
    <row r="30" spans="1:7">
      <c r="A30" s="2" t="s">
        <v>42</v>
      </c>
      <c r="B30" s="2" t="s">
        <v>43</v>
      </c>
      <c r="C30" s="162" t="s">
        <v>210</v>
      </c>
      <c r="D30" s="151">
        <f>1888.57602+138.64402*75+75*149.61861+115*195.70427</f>
        <v>46014.264320000002</v>
      </c>
      <c r="E30" s="151">
        <f>1888.57602+75*77.1618+75*88.13637+115*134.22203</f>
        <v>29721.47222</v>
      </c>
      <c r="F30" s="151">
        <f>1888.57602+250*117.02605+15*195.70427</f>
        <v>34080.652569999998</v>
      </c>
      <c r="G30" s="1" t="s">
        <v>196</v>
      </c>
    </row>
    <row r="31" spans="1:7" ht="26.4">
      <c r="A31" s="2" t="s">
        <v>44</v>
      </c>
      <c r="B31" s="2" t="s">
        <v>45</v>
      </c>
      <c r="C31" s="162" t="s">
        <v>209</v>
      </c>
      <c r="D31" s="151">
        <f>10653.63/2+104.7*265</f>
        <v>33072.315000000002</v>
      </c>
      <c r="E31" s="151">
        <f>10653.63/2+48.75*265</f>
        <v>18245.564999999999</v>
      </c>
      <c r="F31" s="151">
        <f>10653.63/2+62.222*250+15*104.7</f>
        <v>22452.814999999999</v>
      </c>
      <c r="G31" s="1" t="s">
        <v>193</v>
      </c>
    </row>
    <row r="32" spans="1:7">
      <c r="A32" s="2" t="s">
        <v>46</v>
      </c>
      <c r="B32" s="3" t="s">
        <v>198</v>
      </c>
      <c r="C32" s="162" t="s">
        <v>208</v>
      </c>
      <c r="D32" s="151">
        <f>5859.21+150*97.81+115*106.3</f>
        <v>32755.21</v>
      </c>
      <c r="E32" s="151">
        <f>3449.09+56.04*150+115*64.46</f>
        <v>19267.989999999998</v>
      </c>
      <c r="F32" s="151">
        <f>4102.33+67.12*150+100*76.04+15*106.73</f>
        <v>23375.280000000002</v>
      </c>
      <c r="G32" s="1" t="s">
        <v>196</v>
      </c>
    </row>
    <row r="33" spans="1:7">
      <c r="A33" s="2" t="s">
        <v>47</v>
      </c>
      <c r="B33" s="2" t="s">
        <v>48</v>
      </c>
      <c r="C33" s="162" t="s">
        <v>207</v>
      </c>
      <c r="D33" s="151">
        <f>17165.84+113.8344*265+15.6874*265</f>
        <v>51489.117000000006</v>
      </c>
      <c r="E33" s="151">
        <f>17165.84+113.8344*265+15.6874*265-57.096*265</f>
        <v>36358.677000000011</v>
      </c>
      <c r="F33" s="151">
        <f>17165.84+113.8344*265+15.6874*265-250*44.4098</f>
        <v>40386.667000000009</v>
      </c>
      <c r="G33" s="1" t="s">
        <v>194</v>
      </c>
    </row>
    <row r="34" spans="1:7">
      <c r="D34" s="151"/>
      <c r="E34" s="151"/>
      <c r="F34" s="151"/>
    </row>
  </sheetData>
  <mergeCells count="2">
    <mergeCell ref="A6:A7"/>
    <mergeCell ref="A8:A11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2DC5-CD6D-473E-B381-04945CC22DB8}">
  <dimension ref="A2:K34"/>
  <sheetViews>
    <sheetView workbookViewId="0">
      <selection sqref="A1:XFD1048576"/>
    </sheetView>
  </sheetViews>
  <sheetFormatPr baseColWidth="10" defaultColWidth="11" defaultRowHeight="14.4"/>
  <cols>
    <col min="1" max="1" width="24.88671875" style="1" customWidth="1"/>
    <col min="2" max="2" width="59.44140625" style="1" customWidth="1"/>
    <col min="3" max="3" width="21.109375" style="1" customWidth="1"/>
    <col min="4" max="4" width="16" style="1" customWidth="1"/>
    <col min="5" max="5" width="18.6640625" style="1" customWidth="1"/>
    <col min="6" max="10" width="11" style="1"/>
    <col min="11" max="11" width="23.88671875" style="1" bestFit="1" customWidth="1"/>
    <col min="12" max="16384" width="11" style="1"/>
  </cols>
  <sheetData>
    <row r="2" spans="1:11">
      <c r="A2" s="153" t="s">
        <v>191</v>
      </c>
    </row>
    <row r="5" spans="1:11">
      <c r="A5" s="154" t="s">
        <v>189</v>
      </c>
      <c r="B5" s="154" t="s">
        <v>190</v>
      </c>
      <c r="C5" s="154" t="s">
        <v>49</v>
      </c>
      <c r="D5" s="154" t="s">
        <v>50</v>
      </c>
      <c r="E5" s="154" t="s">
        <v>51</v>
      </c>
      <c r="F5" s="155" t="s">
        <v>192</v>
      </c>
      <c r="K5" s="152" t="s">
        <v>188</v>
      </c>
    </row>
    <row r="6" spans="1:11">
      <c r="A6" s="160" t="s">
        <v>0</v>
      </c>
      <c r="B6" s="2" t="s">
        <v>1</v>
      </c>
      <c r="C6" s="151">
        <f>2156.88+265*100.106</f>
        <v>28684.97</v>
      </c>
      <c r="D6" s="151">
        <f>2156.88+265*40.236</f>
        <v>12819.419999999998</v>
      </c>
      <c r="E6" s="151">
        <f>2156.88+250*53.695+15*100.106</f>
        <v>17082.22</v>
      </c>
      <c r="F6" s="1" t="s">
        <v>193</v>
      </c>
      <c r="K6" s="152">
        <v>265</v>
      </c>
    </row>
    <row r="7" spans="1:11">
      <c r="A7" s="160"/>
      <c r="B7" s="2" t="s">
        <v>2</v>
      </c>
      <c r="C7" s="151">
        <f>2213.55+265*100.127</f>
        <v>28747.204999999998</v>
      </c>
      <c r="D7" s="151">
        <f>2213.55+265*40.329</f>
        <v>12900.735000000001</v>
      </c>
      <c r="E7" s="151">
        <f>2213.55+250*53.628+15*100.127</f>
        <v>17122.454999999998</v>
      </c>
      <c r="F7" s="1" t="s">
        <v>193</v>
      </c>
    </row>
    <row r="8" spans="1:11">
      <c r="A8" s="160" t="s">
        <v>3</v>
      </c>
      <c r="B8" s="2" t="s">
        <v>4</v>
      </c>
      <c r="C8" s="151">
        <f>5352.32+265*138.724</f>
        <v>42114.18</v>
      </c>
      <c r="D8" s="151">
        <f>5352.32+265*74.4882</f>
        <v>25091.693000000003</v>
      </c>
      <c r="E8" s="151">
        <f>5352.32+15*138.724+250*88.806</f>
        <v>29634.68</v>
      </c>
      <c r="F8" s="1" t="s">
        <v>194</v>
      </c>
    </row>
    <row r="9" spans="1:11">
      <c r="A9" s="160"/>
      <c r="B9" s="2" t="s">
        <v>5</v>
      </c>
      <c r="C9" s="151">
        <f>6700.87+265*152.2749</f>
        <v>47053.718500000003</v>
      </c>
      <c r="D9" s="151">
        <f>6700.87+265*88.2966</f>
        <v>30099.468999999997</v>
      </c>
      <c r="E9" s="151">
        <f>6700.87+15*152.2749+250*102.5569</f>
        <v>34624.218500000003</v>
      </c>
      <c r="F9" s="1" t="s">
        <v>194</v>
      </c>
    </row>
    <row r="10" spans="1:11">
      <c r="A10" s="160"/>
      <c r="B10" s="2" t="s">
        <v>6</v>
      </c>
      <c r="C10" s="151">
        <f>7473.25+265*156.0992</f>
        <v>48839.538</v>
      </c>
      <c r="D10" s="151">
        <f>7473.25+265*92.5389</f>
        <v>31996.058499999999</v>
      </c>
      <c r="E10" s="151">
        <f>7473.25+15*156.0992+250*106.706</f>
        <v>36491.237999999998</v>
      </c>
      <c r="F10" s="1" t="s">
        <v>194</v>
      </c>
    </row>
    <row r="11" spans="1:11">
      <c r="A11" s="160"/>
      <c r="B11" s="2" t="s">
        <v>7</v>
      </c>
      <c r="C11" s="151">
        <f>10191.5+265*99.9965</f>
        <v>36690.572499999995</v>
      </c>
      <c r="D11" s="151">
        <f>6572.88+265*47.6678</f>
        <v>19204.847000000002</v>
      </c>
      <c r="E11" s="151">
        <f>7380.22+250*59.3314+15*99.9965</f>
        <v>23713.017499999998</v>
      </c>
      <c r="F11" s="1" t="s">
        <v>193</v>
      </c>
    </row>
    <row r="12" spans="1:11" ht="26.4">
      <c r="A12" s="2" t="s">
        <v>8</v>
      </c>
      <c r="B12" s="2" t="s">
        <v>9</v>
      </c>
      <c r="C12" s="151">
        <f>18912.16+265*100.7948</f>
        <v>45622.781999999999</v>
      </c>
      <c r="D12" s="151">
        <f>11461.49+265*50.2628</f>
        <v>24781.131999999998</v>
      </c>
      <c r="E12" s="151">
        <f>13127.5+250*61.562+15*100.7948</f>
        <v>30029.921999999999</v>
      </c>
      <c r="F12" s="156" t="s">
        <v>196</v>
      </c>
    </row>
    <row r="13" spans="1:11" ht="26.4">
      <c r="A13" s="2" t="s">
        <v>195</v>
      </c>
      <c r="B13" s="2" t="s">
        <v>10</v>
      </c>
      <c r="C13" s="151">
        <f>2277.31+109.0214*50+116.9843*100+141.7578*115</f>
        <v>35728.956999999995</v>
      </c>
      <c r="D13" s="151">
        <f>2277.31+45.6776*50+53.6405*100+78.414*115</f>
        <v>18942.850000000002</v>
      </c>
      <c r="E13" s="151">
        <f>2277.31+59.752*50+67.7149*100+92.4884*100+15*141.75778</f>
        <v>23411.606699999997</v>
      </c>
      <c r="F13" s="1" t="s">
        <v>196</v>
      </c>
    </row>
    <row r="14" spans="1:11">
      <c r="A14" s="2" t="s">
        <v>11</v>
      </c>
      <c r="B14" s="2" t="s">
        <v>199</v>
      </c>
      <c r="C14" s="151">
        <f>1937.6*3+(76.40176+6.1563)*265</f>
        <v>27690.6859</v>
      </c>
      <c r="D14" s="151">
        <f>3*606.47+(22.87435+6.1563)*265</f>
        <v>9512.5322500000002</v>
      </c>
      <c r="E14" s="151">
        <f>884.15*2+1937.6+(34.8058+6.1563)*250+15*(76.46759+6.1563)</f>
        <v>15185.78335</v>
      </c>
      <c r="F14" s="156" t="s">
        <v>196</v>
      </c>
    </row>
    <row r="15" spans="1:11">
      <c r="A15" s="2" t="s">
        <v>12</v>
      </c>
      <c r="B15" s="2" t="s">
        <v>13</v>
      </c>
      <c r="C15" s="151">
        <f>1896.1369+120*158.676+145*191.27259</f>
        <v>48671.782449999999</v>
      </c>
      <c r="D15" s="151">
        <f>1643.9022+120*93.89582+145*122.15623</f>
        <v>30624.053950000001</v>
      </c>
      <c r="E15" s="151">
        <f>1681.2325+110.67545*120+130*139.57761+15*179.47922</f>
        <v>35799.564100000003</v>
      </c>
      <c r="F15" s="1" t="s">
        <v>193</v>
      </c>
    </row>
    <row r="16" spans="1:11">
      <c r="A16" s="2" t="s">
        <v>14</v>
      </c>
      <c r="B16" s="2" t="s">
        <v>15</v>
      </c>
      <c r="C16" s="151">
        <f>6300.5+154.105*265</f>
        <v>47138.324999999997</v>
      </c>
      <c r="D16" s="151">
        <f>3368+89.771*265</f>
        <v>27157.314999999999</v>
      </c>
      <c r="E16" s="151">
        <f>8019/2+250*104.066+15*154.105</f>
        <v>32337.575000000001</v>
      </c>
      <c r="F16" s="156" t="s">
        <v>196</v>
      </c>
    </row>
    <row r="17" spans="1:6">
      <c r="A17" s="2" t="s">
        <v>16</v>
      </c>
      <c r="B17" s="2" t="s">
        <v>17</v>
      </c>
      <c r="C17" s="151">
        <f>4984.48/2+100*153.03+100*177.95+65*211.45</f>
        <v>49334.49</v>
      </c>
      <c r="D17" s="151">
        <f>3738.36/2+70.69*100+100*89.37+65*114.64</f>
        <v>25326.78</v>
      </c>
      <c r="E17" s="151">
        <f>4236.8/2+100*91.19+100*112.37+50*141.01+15*195.39</f>
        <v>32455.75</v>
      </c>
      <c r="F17" s="1" t="s">
        <v>196</v>
      </c>
    </row>
    <row r="18" spans="1:6">
      <c r="A18" s="2" t="s">
        <v>18</v>
      </c>
      <c r="B18" s="2" t="s">
        <v>19</v>
      </c>
      <c r="C18" s="151">
        <f>1226.47+125.4994*265</f>
        <v>34483.811000000002</v>
      </c>
      <c r="D18" s="151">
        <f>1226.47+265*56.777</f>
        <v>16272.375</v>
      </c>
      <c r="E18" s="151">
        <f>1226.47+250*72.0465+15*125.4994</f>
        <v>21120.586000000003</v>
      </c>
      <c r="F18" s="1" t="s">
        <v>193</v>
      </c>
    </row>
    <row r="19" spans="1:6">
      <c r="A19" s="2" t="s">
        <v>20</v>
      </c>
      <c r="B19" s="2" t="s">
        <v>21</v>
      </c>
      <c r="C19" s="151">
        <f>3951+63.1341*265+100.5105*265</f>
        <v>47316.818999999996</v>
      </c>
      <c r="D19" s="151">
        <f>3951+63.1341*265+100.5105*265-59.8774*265</f>
        <v>31449.307999999997</v>
      </c>
      <c r="E19" s="151">
        <f>3951+63.1341*265+100.5105*265-250*46.4449</f>
        <v>35705.593999999997</v>
      </c>
      <c r="F19" s="1" t="s">
        <v>193</v>
      </c>
    </row>
    <row r="20" spans="1:6">
      <c r="A20" s="2" t="s">
        <v>22</v>
      </c>
      <c r="B20" s="2" t="s">
        <v>23</v>
      </c>
      <c r="C20" s="151">
        <f>1239.55+6374.85+240.9+101.08*265+15.8*60+24.25*60+35.05*100+45*53.7</f>
        <v>42966</v>
      </c>
      <c r="D20" s="151">
        <f>1239.35+6306.01+126.2+40.24*265+15.8*60+60*24.25+35.05*100+45*53.7</f>
        <v>26659.66</v>
      </c>
      <c r="E20" s="151">
        <f>1239.35+6306.01+126.2+53.81*250+15*101.08+15.8*60+60*24.25+35.05*100+45*53.7</f>
        <v>30964.760000000002</v>
      </c>
      <c r="F20" s="1" t="s">
        <v>194</v>
      </c>
    </row>
    <row r="21" spans="1:6">
      <c r="A21" s="2" t="s">
        <v>24</v>
      </c>
      <c r="B21" s="2" t="s">
        <v>25</v>
      </c>
      <c r="C21" s="151">
        <f>1298.61+127.1397*200+65*86.5243-13.3275*200-65*6.9162</f>
        <v>29235.576500000003</v>
      </c>
      <c r="D21" s="151">
        <f>1298.61+127.1397*200+65*86.5243-79.443*200-65*41.2259</f>
        <v>13782.346000000005</v>
      </c>
      <c r="E21" s="151">
        <f>1298.61+127.1397*200+65*86.5243-64.527*200-33.6026*50-15*6.9162</f>
        <v>17661.356500000002</v>
      </c>
      <c r="F21" s="1" t="s">
        <v>193</v>
      </c>
    </row>
    <row r="22" spans="1:6">
      <c r="A22" s="2" t="s">
        <v>26</v>
      </c>
      <c r="B22" s="2" t="s">
        <v>27</v>
      </c>
      <c r="C22" s="151">
        <f>6457.808/2+192.9447*265</f>
        <v>54359.249500000005</v>
      </c>
      <c r="D22" s="151">
        <f>5689.136/2+265*131.323</f>
        <v>37645.163</v>
      </c>
      <c r="E22" s="151">
        <f>+(0.943396226415094*5862.575+0.0566037735849057*6457.808)/2+145.2932*250+15*192.9447</f>
        <v>42165.604216981134</v>
      </c>
      <c r="F22" s="1" t="s">
        <v>193</v>
      </c>
    </row>
    <row r="23" spans="1:6">
      <c r="A23" s="2" t="s">
        <v>28</v>
      </c>
      <c r="B23" s="2" t="s">
        <v>29</v>
      </c>
      <c r="C23" s="151">
        <f>1900+179.195*120+182.89*80+183.65*65</f>
        <v>49971.85</v>
      </c>
      <c r="D23" s="151">
        <f>1900+62.785*120+80*66.479+65*67.262</f>
        <v>19124.55</v>
      </c>
      <c r="E23" s="151">
        <f>1900+81.832*120+80*85.525+65*86.294</f>
        <v>24170.95</v>
      </c>
      <c r="F23" s="1" t="s">
        <v>196</v>
      </c>
    </row>
    <row r="24" spans="1:6">
      <c r="A24" s="2" t="s">
        <v>30</v>
      </c>
      <c r="B24" s="2" t="s">
        <v>31</v>
      </c>
      <c r="C24" s="151">
        <f>8208.34+237.484*265</f>
        <v>71141.600000000006</v>
      </c>
      <c r="D24" s="151">
        <f>8208.34+93.624*265</f>
        <v>33018.699999999997</v>
      </c>
      <c r="E24" s="151">
        <f>8208.34+108.4779*250+15*237.484</f>
        <v>38890.075000000004</v>
      </c>
      <c r="F24" s="1" t="s">
        <v>197</v>
      </c>
    </row>
    <row r="25" spans="1:6">
      <c r="A25" s="2" t="s">
        <v>32</v>
      </c>
      <c r="B25" s="2" t="s">
        <v>33</v>
      </c>
      <c r="C25" s="151">
        <f>7363.97/2+188.79*265</f>
        <v>53711.334999999999</v>
      </c>
      <c r="D25" s="151">
        <f>7311.39/2+265*132.945</f>
        <v>38886.119999999995</v>
      </c>
      <c r="E25" s="151">
        <f>7323.15/2+265*145.434</f>
        <v>42201.584999999999</v>
      </c>
      <c r="F25" s="156" t="s">
        <v>196</v>
      </c>
    </row>
    <row r="26" spans="1:6">
      <c r="A26" s="2" t="s">
        <v>34</v>
      </c>
      <c r="B26" s="2" t="s">
        <v>35</v>
      </c>
      <c r="C26" s="151">
        <f>6720.54+197.6742*265</f>
        <v>59104.203000000001</v>
      </c>
      <c r="D26" s="151">
        <f>6265.53+265*86.6435</f>
        <v>29226.057499999999</v>
      </c>
      <c r="E26" s="151">
        <f>6367.27+107.0347*265</f>
        <v>34731.465500000006</v>
      </c>
      <c r="F26" s="1" t="s">
        <v>193</v>
      </c>
    </row>
    <row r="27" spans="1:6">
      <c r="A27" s="2" t="s">
        <v>36</v>
      </c>
      <c r="B27" s="2" t="s">
        <v>37</v>
      </c>
      <c r="C27" s="151">
        <f>5249.5+129.8413*265</f>
        <v>39657.444499999998</v>
      </c>
      <c r="D27" s="151">
        <f>9460.67/2+72.6929*265</f>
        <v>23993.953499999996</v>
      </c>
      <c r="E27" s="151">
        <f>9692.85+265*85.4716</f>
        <v>32342.824000000001</v>
      </c>
      <c r="F27" s="1" t="s">
        <v>193</v>
      </c>
    </row>
    <row r="28" spans="1:6">
      <c r="A28" s="2" t="s">
        <v>38</v>
      </c>
      <c r="B28" s="2" t="s">
        <v>39</v>
      </c>
      <c r="C28" s="151">
        <f>6632.6319+12803.9592+96.2778*265</f>
        <v>44950.208099999996</v>
      </c>
      <c r="D28" s="151">
        <f>3252.4179+12803.9593+265*44.1056</f>
        <v>27744.361199999999</v>
      </c>
      <c r="E28" s="151">
        <f>4008.254+12803.9593+55.7716*250+15*96.2778</f>
        <v>32199.280299999999</v>
      </c>
      <c r="F28" s="1" t="s">
        <v>194</v>
      </c>
    </row>
    <row r="29" spans="1:6">
      <c r="A29" s="2" t="s">
        <v>40</v>
      </c>
      <c r="B29" s="2" t="s">
        <v>41</v>
      </c>
      <c r="C29" s="151">
        <f>11991.44+265*74.361</f>
        <v>31697.105000000003</v>
      </c>
      <c r="D29" s="151">
        <f>2827.65+25.7276*265</f>
        <v>9645.4639999999999</v>
      </c>
      <c r="E29" s="151">
        <f>4631.62+250*32.699+15*74.361</f>
        <v>13921.785</v>
      </c>
      <c r="F29" s="1" t="s">
        <v>194</v>
      </c>
    </row>
    <row r="30" spans="1:6">
      <c r="A30" s="2" t="s">
        <v>42</v>
      </c>
      <c r="B30" s="2" t="s">
        <v>43</v>
      </c>
      <c r="C30" s="151">
        <f>1888.57602+138.64402*75+75*149.61861+115*195.70427</f>
        <v>46014.264320000002</v>
      </c>
      <c r="D30" s="151">
        <f>1888.57602+75*77.1618+75*88.13637+115*134.22203</f>
        <v>29721.47222</v>
      </c>
      <c r="E30" s="151">
        <f>1888.57602+250*117.02605+15*195.70427</f>
        <v>34080.652569999998</v>
      </c>
      <c r="F30" s="1" t="s">
        <v>196</v>
      </c>
    </row>
    <row r="31" spans="1:6" ht="26.4">
      <c r="A31" s="2" t="s">
        <v>44</v>
      </c>
      <c r="B31" s="2" t="s">
        <v>45</v>
      </c>
      <c r="C31" s="151">
        <f>10653.63/2+104.7*265</f>
        <v>33072.315000000002</v>
      </c>
      <c r="D31" s="151">
        <f>10653.63/2+48.75*265</f>
        <v>18245.564999999999</v>
      </c>
      <c r="E31" s="151">
        <f>10653.63/2+62.222*250+15*104.7</f>
        <v>22452.814999999999</v>
      </c>
      <c r="F31" s="1" t="s">
        <v>193</v>
      </c>
    </row>
    <row r="32" spans="1:6">
      <c r="A32" s="2" t="s">
        <v>46</v>
      </c>
      <c r="B32" s="3" t="s">
        <v>198</v>
      </c>
      <c r="C32" s="151">
        <f>5859.21+150*97.81+115*106.3</f>
        <v>32755.21</v>
      </c>
      <c r="D32" s="151">
        <f>3449.09+56.04*150+115*64.46</f>
        <v>19267.989999999998</v>
      </c>
      <c r="E32" s="151">
        <f>4102.33+67.12*150+100*76.04+15*106.73</f>
        <v>23375.280000000002</v>
      </c>
      <c r="F32" s="1" t="s">
        <v>196</v>
      </c>
    </row>
    <row r="33" spans="1:6">
      <c r="A33" s="2" t="s">
        <v>47</v>
      </c>
      <c r="B33" s="2" t="s">
        <v>48</v>
      </c>
      <c r="C33" s="151">
        <f>17165.84+113.8344*265+15.6874*265</f>
        <v>51489.117000000006</v>
      </c>
      <c r="D33" s="151">
        <f>17165.84+113.8344*265+15.6874*265-57.096*265</f>
        <v>36358.677000000011</v>
      </c>
      <c r="E33" s="151">
        <f>17165.84+113.8344*265+15.6874*265-250*44.4098</f>
        <v>40386.667000000009</v>
      </c>
      <c r="F33" s="1" t="s">
        <v>194</v>
      </c>
    </row>
    <row r="34" spans="1:6">
      <c r="C34" s="151"/>
      <c r="D34" s="151"/>
      <c r="E34" s="151"/>
    </row>
  </sheetData>
  <mergeCells count="2">
    <mergeCell ref="A6:A7"/>
    <mergeCell ref="A8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adeera</vt:lpstr>
      <vt:lpstr>Hoja1</vt:lpstr>
      <vt:lpstr>Hoja2</vt:lpstr>
      <vt:lpstr>adeera!Área_de_impresión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Garcia</cp:lastModifiedBy>
  <dcterms:created xsi:type="dcterms:W3CDTF">2025-03-21T13:30:40Z</dcterms:created>
  <dcterms:modified xsi:type="dcterms:W3CDTF">2025-04-02T00:14:02Z</dcterms:modified>
</cp:coreProperties>
</file>