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600" windowWidth="19440" windowHeight="11715" firstSheet="2" activeTab="5"/>
  </bookViews>
  <sheets>
    <sheet name="EJERCICIOS INTRODUCTORIOS" sheetId="6" r:id="rId1"/>
    <sheet name="MATERIALES Y MATERIAS PRIMAS" sheetId="1" r:id="rId2"/>
    <sheet name="MANO DE OBRA DIRECTA" sheetId="2" r:id="rId3"/>
    <sheet name="CARGA FABRIL" sheetId="3" r:id="rId4"/>
    <sheet name="ORDENES" sheetId="4" r:id="rId5"/>
    <sheet name="PROCESOS" sheetId="5" r:id="rId6"/>
    <sheet name="STANDARD" sheetId="7" r:id="rId7"/>
  </sheets>
  <definedNames>
    <definedName name="_xlnm.Print_Area" localSheetId="3">'CARGA FABRIL'!$A$1:$M$490</definedName>
    <definedName name="_xlnm.Print_Area" localSheetId="0">'EJERCICIOS INTRODUCTORIOS'!$A$1:$M$271</definedName>
    <definedName name="_xlnm.Print_Area" localSheetId="2">'MANO DE OBRA DIRECTA'!$A$1:$H$473</definedName>
    <definedName name="_xlnm.Print_Area" localSheetId="1">'MATERIALES Y MATERIAS PRIMAS'!$A$1:$I$306</definedName>
    <definedName name="_xlnm.Print_Area" localSheetId="4">ORDENES!$A$1:$J$853</definedName>
    <definedName name="_xlnm.Print_Area" localSheetId="5">PROCESOS!$A$1:$O$468</definedName>
    <definedName name="_xlnm.Print_Area" localSheetId="6">STANDARD!$A$1:$M$422</definedName>
  </definedNames>
  <calcPr calcId="145621"/>
</workbook>
</file>

<file path=xl/calcChain.xml><?xml version="1.0" encoding="utf-8"?>
<calcChain xmlns="http://schemas.openxmlformats.org/spreadsheetml/2006/main">
  <c r="H417" i="7"/>
  <c r="J415"/>
  <c r="H415"/>
  <c r="F415"/>
  <c r="I399"/>
  <c r="L397"/>
  <c r="J397"/>
  <c r="G397"/>
  <c r="L395"/>
  <c r="I395"/>
  <c r="F395"/>
  <c r="C221" i="5"/>
  <c r="C215"/>
  <c r="C214"/>
  <c r="C210"/>
  <c r="C195"/>
  <c r="H195"/>
  <c r="D184"/>
  <c r="B183"/>
  <c r="D183" s="1"/>
  <c r="B181"/>
  <c r="C216" l="1"/>
  <c r="B216" s="1"/>
  <c r="B182"/>
  <c r="C182"/>
  <c r="D181"/>
  <c r="D182" l="1"/>
  <c r="B64"/>
  <c r="D64" s="1"/>
  <c r="C71" s="1"/>
  <c r="D71" s="1"/>
  <c r="B63"/>
  <c r="B62"/>
  <c r="D62" s="1"/>
  <c r="D63"/>
  <c r="C70" s="1"/>
  <c r="D70" s="1"/>
  <c r="G34"/>
  <c r="G33"/>
  <c r="C69" l="1"/>
  <c r="D69" s="1"/>
  <c r="D65"/>
  <c r="D72"/>
  <c r="C427" i="4"/>
  <c r="C429" s="1"/>
  <c r="C430" s="1"/>
  <c r="D446"/>
  <c r="B447"/>
  <c r="C447"/>
  <c r="D449"/>
  <c r="F456"/>
  <c r="H456"/>
  <c r="F460"/>
  <c r="H461" s="1"/>
  <c r="C472"/>
  <c r="B475"/>
  <c r="I477"/>
  <c r="C473" s="1"/>
  <c r="D473" s="1"/>
  <c r="D475" s="1"/>
  <c r="B70"/>
  <c r="B102"/>
  <c r="B106" s="1"/>
  <c r="B91"/>
  <c r="B84"/>
  <c r="B87" s="1"/>
  <c r="B89" s="1"/>
  <c r="D76"/>
  <c r="D78"/>
  <c r="B105" s="1"/>
  <c r="B76"/>
  <c r="D75"/>
  <c r="D74"/>
  <c r="G55"/>
  <c r="F54"/>
  <c r="G54"/>
  <c r="G56" s="1"/>
  <c r="E56"/>
  <c r="I56"/>
  <c r="B55"/>
  <c r="F55" s="1"/>
  <c r="B54"/>
  <c r="C56"/>
  <c r="C43"/>
  <c r="D8"/>
  <c r="B9"/>
  <c r="D9" s="1"/>
  <c r="C41" s="1"/>
  <c r="D6"/>
  <c r="D447" l="1"/>
  <c r="B56"/>
  <c r="D56" s="1"/>
  <c r="C475"/>
  <c r="H57"/>
  <c r="F57"/>
  <c r="F56"/>
  <c r="B90"/>
  <c r="D54"/>
  <c r="B107"/>
  <c r="B108" s="1"/>
  <c r="B111" s="1"/>
  <c r="D55"/>
  <c r="B270" i="6"/>
  <c r="C268"/>
  <c r="D268"/>
  <c r="C263"/>
  <c r="C262"/>
  <c r="B261"/>
  <c r="B268" s="1"/>
  <c r="C259"/>
  <c r="B417" i="3" l="1"/>
  <c r="F417" s="1"/>
  <c r="C103" i="2" l="1"/>
  <c r="E131" s="1"/>
  <c r="C83"/>
  <c r="E44"/>
  <c r="C31"/>
  <c r="F257" i="1" l="1"/>
  <c r="B229"/>
  <c r="F247" s="1"/>
  <c r="B134"/>
  <c r="F118"/>
  <c r="E118"/>
  <c r="D118"/>
  <c r="C118"/>
  <c r="B124"/>
  <c r="B123"/>
  <c r="B120"/>
  <c r="F71"/>
  <c r="F90" s="1"/>
  <c r="B71"/>
  <c r="B79"/>
  <c r="B90"/>
  <c r="B94" l="1"/>
  <c r="J45" i="3"/>
  <c r="F38"/>
  <c r="D41" s="1"/>
  <c r="E38"/>
  <c r="D43" s="1"/>
  <c r="D38"/>
  <c r="C38"/>
  <c r="D44" s="1"/>
  <c r="B38"/>
  <c r="D42" s="1"/>
  <c r="I42" l="1"/>
  <c r="G42"/>
  <c r="E42"/>
  <c r="H42"/>
  <c r="F42"/>
  <c r="H41"/>
  <c r="F41"/>
  <c r="I41"/>
  <c r="G41"/>
  <c r="E41"/>
  <c r="I44"/>
  <c r="G44"/>
  <c r="E44"/>
  <c r="H44"/>
  <c r="F44"/>
  <c r="H43"/>
  <c r="F43"/>
  <c r="I43"/>
  <c r="G43"/>
  <c r="E43"/>
  <c r="H21" i="1"/>
  <c r="H19"/>
  <c r="E18"/>
  <c r="H17"/>
  <c r="E17"/>
  <c r="H15"/>
  <c r="E13"/>
  <c r="H12"/>
  <c r="H10"/>
  <c r="E9"/>
  <c r="H8"/>
  <c r="B220" i="6"/>
  <c r="B215"/>
  <c r="B221" s="1"/>
  <c r="E166"/>
  <c r="G164"/>
  <c r="F164" s="1"/>
  <c r="B162"/>
  <c r="B165" s="1"/>
  <c r="B168" s="1"/>
  <c r="B125"/>
  <c r="B128" s="1"/>
  <c r="B131" s="1"/>
  <c r="H67"/>
  <c r="G67"/>
  <c r="F67"/>
  <c r="E67"/>
  <c r="B47"/>
  <c r="G165" l="1"/>
  <c r="F165" s="1"/>
  <c r="B171"/>
  <c r="J43" i="3"/>
  <c r="J41"/>
  <c r="E46"/>
  <c r="I46"/>
  <c r="H46"/>
  <c r="J44"/>
  <c r="G46"/>
  <c r="F46"/>
  <c r="J42"/>
  <c r="I47" l="1"/>
  <c r="I48" s="1"/>
  <c r="D47"/>
  <c r="J46"/>
  <c r="C848" i="4"/>
  <c r="G838"/>
  <c r="B838"/>
  <c r="F824"/>
  <c r="D824"/>
  <c r="B822"/>
  <c r="C824" s="1"/>
  <c r="B817"/>
  <c r="B813"/>
  <c r="C790"/>
  <c r="C793" s="1"/>
  <c r="C795" s="1"/>
  <c r="C796" s="1"/>
  <c r="C850" s="1"/>
  <c r="B779"/>
  <c r="G775"/>
  <c r="B769" s="1"/>
  <c r="C771"/>
  <c r="G836" s="1"/>
  <c r="B758"/>
  <c r="H757"/>
  <c r="C757"/>
  <c r="B836" l="1"/>
  <c r="I49" i="3"/>
  <c r="I50" s="1"/>
  <c r="G47"/>
  <c r="G48" s="1"/>
  <c r="E47"/>
  <c r="H47"/>
  <c r="H48" s="1"/>
  <c r="F47"/>
  <c r="F48" s="1"/>
  <c r="B761" i="4"/>
  <c r="B778"/>
  <c r="B801"/>
  <c r="G758" s="1"/>
  <c r="H49" i="3" l="1"/>
  <c r="H50" s="1"/>
  <c r="D49"/>
  <c r="J47"/>
  <c r="J48" s="1"/>
  <c r="E48"/>
  <c r="G759" i="4"/>
  <c r="B771"/>
  <c r="B782"/>
  <c r="D822"/>
  <c r="F49" i="3" l="1"/>
  <c r="F50" s="1"/>
  <c r="G49"/>
  <c r="G50" s="1"/>
  <c r="E49"/>
  <c r="J49" s="1"/>
  <c r="J50" s="1"/>
  <c r="B829" i="4"/>
  <c r="B823" s="1"/>
  <c r="H822"/>
  <c r="E824"/>
  <c r="F822"/>
  <c r="G824" s="1"/>
  <c r="C784"/>
  <c r="B768" s="1"/>
  <c r="D771"/>
  <c r="E50" i="3" l="1"/>
  <c r="D769" i="4"/>
  <c r="D768"/>
  <c r="B767"/>
  <c r="C767" s="1"/>
  <c r="B825"/>
  <c r="C823"/>
  <c r="G823" s="1"/>
  <c r="F823" s="1"/>
  <c r="F825" s="1"/>
  <c r="G825" s="1"/>
  <c r="B831" s="1"/>
  <c r="C851" s="1"/>
  <c r="D823"/>
  <c r="E823" s="1"/>
  <c r="B840" l="1"/>
  <c r="B841" s="1"/>
  <c r="C758" s="1"/>
  <c r="D758" s="1"/>
  <c r="D761" s="1"/>
  <c r="D825"/>
  <c r="E825" s="1"/>
  <c r="G840"/>
  <c r="G841" s="1"/>
  <c r="H758" s="1"/>
  <c r="I758" s="1"/>
  <c r="I759" s="1"/>
  <c r="C825"/>
  <c r="C761" l="1"/>
  <c r="C846"/>
  <c r="C847" s="1"/>
  <c r="C852" s="1"/>
  <c r="C465" i="5" l="1"/>
  <c r="M445"/>
  <c r="G445"/>
  <c r="D459" s="1"/>
  <c r="E459" s="1"/>
  <c r="M444"/>
  <c r="G444"/>
  <c r="D457" s="1"/>
  <c r="E457" s="1"/>
  <c r="M443"/>
  <c r="G443"/>
  <c r="D455" s="1"/>
  <c r="E455" s="1"/>
  <c r="M442"/>
  <c r="G442"/>
  <c r="D453" s="1"/>
  <c r="E453" s="1"/>
  <c r="M441"/>
  <c r="E441"/>
  <c r="E446" s="1"/>
  <c r="J462" s="1"/>
  <c r="J464" s="1"/>
  <c r="I437"/>
  <c r="K437" s="1"/>
  <c r="L437" s="1"/>
  <c r="M437" s="1"/>
  <c r="I436"/>
  <c r="K436" s="1"/>
  <c r="L436" s="1"/>
  <c r="M436" s="1"/>
  <c r="I435"/>
  <c r="K435" s="1"/>
  <c r="L435" s="1"/>
  <c r="M435" s="1"/>
  <c r="I434"/>
  <c r="K434" s="1"/>
  <c r="L434" s="1"/>
  <c r="M434" s="1"/>
  <c r="I433"/>
  <c r="K433" s="1"/>
  <c r="L433" s="1"/>
  <c r="M433" s="1"/>
  <c r="E427"/>
  <c r="E425"/>
  <c r="J421"/>
  <c r="F421"/>
  <c r="B421"/>
  <c r="C748" i="4"/>
  <c r="C746"/>
  <c r="G739"/>
  <c r="C739"/>
  <c r="G736"/>
  <c r="C736"/>
  <c r="G733"/>
  <c r="C733"/>
  <c r="C740" s="1"/>
  <c r="C653" s="1"/>
  <c r="B709"/>
  <c r="D705"/>
  <c r="C700"/>
  <c r="C693"/>
  <c r="C696" s="1"/>
  <c r="C698" s="1"/>
  <c r="D662"/>
  <c r="C664"/>
  <c r="C689"/>
  <c r="B653" s="1"/>
  <c r="G683"/>
  <c r="B684" s="1"/>
  <c r="B662" s="1"/>
  <c r="C679"/>
  <c r="F668"/>
  <c r="G679"/>
  <c r="C699" l="1"/>
  <c r="C749" s="1"/>
  <c r="B712"/>
  <c r="D653"/>
  <c r="B654"/>
  <c r="B656" s="1"/>
  <c r="B671"/>
  <c r="B661" s="1"/>
  <c r="I451" i="5"/>
  <c r="M451" s="1"/>
  <c r="N451" s="1"/>
  <c r="I455"/>
  <c r="M455" s="1"/>
  <c r="N455" s="1"/>
  <c r="G740" i="4"/>
  <c r="H653" s="1"/>
  <c r="E428" i="5"/>
  <c r="D428" s="1"/>
  <c r="D465" s="1"/>
  <c r="E465" s="1"/>
  <c r="N433"/>
  <c r="H449"/>
  <c r="H455"/>
  <c r="J455" s="1"/>
  <c r="N436"/>
  <c r="N437"/>
  <c r="H457"/>
  <c r="H451"/>
  <c r="J451" s="1"/>
  <c r="N434"/>
  <c r="N435"/>
  <c r="H453"/>
  <c r="G441"/>
  <c r="I453"/>
  <c r="M453" s="1"/>
  <c r="N453" s="1"/>
  <c r="I457"/>
  <c r="M457" s="1"/>
  <c r="N457" s="1"/>
  <c r="C660" i="4"/>
  <c r="G656"/>
  <c r="G653" s="1"/>
  <c r="I653" s="1"/>
  <c r="I652"/>
  <c r="D652"/>
  <c r="D654" s="1"/>
  <c r="I656" l="1"/>
  <c r="J453" i="5"/>
  <c r="B664" i="4"/>
  <c r="D664" s="1"/>
  <c r="D661"/>
  <c r="C677"/>
  <c r="D451" i="5"/>
  <c r="E451" s="1"/>
  <c r="E460" s="1"/>
  <c r="I449"/>
  <c r="M449" s="1"/>
  <c r="N449" s="1"/>
  <c r="N458" s="1"/>
  <c r="J457"/>
  <c r="J449"/>
  <c r="D408" i="4"/>
  <c r="D411" s="1"/>
  <c r="D414" s="1"/>
  <c r="C414"/>
  <c r="G405"/>
  <c r="G406"/>
  <c r="G407"/>
  <c r="G409"/>
  <c r="G412"/>
  <c r="F408"/>
  <c r="F410" s="1"/>
  <c r="G410" s="1"/>
  <c r="E408"/>
  <c r="E401"/>
  <c r="E400"/>
  <c r="E399"/>
  <c r="E395"/>
  <c r="E387"/>
  <c r="E367"/>
  <c r="E366"/>
  <c r="E365"/>
  <c r="D362"/>
  <c r="B354"/>
  <c r="D348"/>
  <c r="D347"/>
  <c r="D346"/>
  <c r="B325"/>
  <c r="B327" s="1"/>
  <c r="B319"/>
  <c r="C644"/>
  <c r="F645"/>
  <c r="F640"/>
  <c r="F641" s="1"/>
  <c r="F643" s="1"/>
  <c r="C645"/>
  <c r="C642"/>
  <c r="I632"/>
  <c r="I631"/>
  <c r="H626"/>
  <c r="H625"/>
  <c r="H624"/>
  <c r="D628"/>
  <c r="I628" s="1"/>
  <c r="D626"/>
  <c r="D625"/>
  <c r="I625" s="1"/>
  <c r="D624"/>
  <c r="I624" s="1"/>
  <c r="J458" i="5" l="1"/>
  <c r="N463" s="1"/>
  <c r="H627" i="4"/>
  <c r="H629" s="1"/>
  <c r="I629" s="1"/>
  <c r="E368"/>
  <c r="G408"/>
  <c r="D627"/>
  <c r="D630" s="1"/>
  <c r="D349"/>
  <c r="F401"/>
  <c r="C744"/>
  <c r="C745" s="1"/>
  <c r="C750" s="1"/>
  <c r="H656"/>
  <c r="E466" i="5"/>
  <c r="N462"/>
  <c r="C460"/>
  <c r="D467" s="1"/>
  <c r="E467" s="1"/>
  <c r="N461"/>
  <c r="N464" s="1"/>
  <c r="F411" i="4"/>
  <c r="F414" s="1"/>
  <c r="I626"/>
  <c r="E411"/>
  <c r="E414" s="1"/>
  <c r="G411"/>
  <c r="G414" s="1"/>
  <c r="H630"/>
  <c r="H633" s="1"/>
  <c r="I627" l="1"/>
  <c r="E468" i="5"/>
  <c r="I630" i="4"/>
  <c r="D633"/>
  <c r="D481" i="3"/>
  <c r="D480"/>
  <c r="F476"/>
  <c r="E475"/>
  <c r="B469"/>
  <c r="B470"/>
  <c r="E449"/>
  <c r="D448"/>
  <c r="E444"/>
  <c r="D443"/>
  <c r="E439"/>
  <c r="D438"/>
  <c r="D433"/>
  <c r="E434"/>
  <c r="D426"/>
  <c r="F426" s="1"/>
  <c r="D422"/>
  <c r="B422"/>
  <c r="C640" i="4" l="1"/>
  <c r="C641" s="1"/>
  <c r="C646" s="1"/>
  <c r="I633"/>
  <c r="F422" i="3"/>
  <c r="E451"/>
  <c r="D451"/>
  <c r="C469"/>
  <c r="A481" s="1"/>
  <c r="F481" s="1"/>
  <c r="F254"/>
  <c r="A480" l="1"/>
  <c r="E480" s="1"/>
  <c r="E483" s="1"/>
  <c r="F483"/>
  <c r="C488"/>
  <c r="D488" s="1"/>
  <c r="B305" i="1"/>
  <c r="C486" i="3" l="1"/>
  <c r="D486" s="1"/>
  <c r="D489" s="1"/>
  <c r="B588" i="4" l="1"/>
  <c r="B586"/>
  <c r="B496"/>
  <c r="B215"/>
  <c r="D203"/>
  <c r="D204" s="1"/>
  <c r="D205" s="1"/>
  <c r="C203"/>
  <c r="B175"/>
  <c r="E45" i="1" l="1"/>
  <c r="H39"/>
  <c r="H37"/>
  <c r="H34"/>
  <c r="H30"/>
  <c r="C326" i="7" l="1"/>
  <c r="I326" s="1"/>
  <c r="C325"/>
  <c r="B185"/>
  <c r="G87"/>
  <c r="D85"/>
  <c r="D84"/>
  <c r="C86" l="1"/>
  <c r="D86" s="1"/>
  <c r="K326"/>
  <c r="C262" i="2"/>
  <c r="C159"/>
  <c r="C39"/>
  <c r="C236" i="1"/>
  <c r="B161"/>
  <c r="B153"/>
  <c r="F161" s="1"/>
  <c r="B236" i="6"/>
  <c r="B185"/>
  <c r="C87" i="7" l="1"/>
  <c r="B166" i="1"/>
  <c r="B134" i="6"/>
  <c r="F77"/>
  <c r="E39" i="1" l="1"/>
  <c r="F45"/>
  <c r="F46" s="1"/>
  <c r="H44"/>
  <c r="H45" s="1"/>
  <c r="E47"/>
  <c r="E49"/>
  <c r="E20"/>
  <c r="E33"/>
  <c r="H32"/>
  <c r="E30"/>
  <c r="H29"/>
  <c r="E35"/>
  <c r="E31"/>
  <c r="E28"/>
  <c r="H27"/>
  <c r="E11"/>
  <c r="F325" i="7"/>
  <c r="G325" s="1"/>
  <c r="H326"/>
  <c r="D326"/>
  <c r="E326" s="1"/>
  <c r="F327"/>
  <c r="G327" s="1"/>
  <c r="D327"/>
  <c r="E327" s="1"/>
  <c r="F243"/>
  <c r="G243" s="1"/>
  <c r="D243"/>
  <c r="E243" s="1"/>
  <c r="B242"/>
  <c r="C242" s="1"/>
  <c r="F326"/>
  <c r="G326" s="1"/>
  <c r="D242"/>
  <c r="E242" s="1"/>
  <c r="D199"/>
  <c r="L241" s="1"/>
  <c r="C199"/>
  <c r="D191"/>
  <c r="D184"/>
  <c r="D183"/>
  <c r="C185" s="1"/>
  <c r="D185" s="1"/>
  <c r="L167"/>
  <c r="G163"/>
  <c r="K163"/>
  <c r="I173"/>
  <c r="F169"/>
  <c r="D98"/>
  <c r="C98"/>
  <c r="D90"/>
  <c r="I85"/>
  <c r="I84"/>
  <c r="H86" s="1"/>
  <c r="I86" s="1"/>
  <c r="B87"/>
  <c r="D87" s="1"/>
  <c r="C327"/>
  <c r="J325"/>
  <c r="K325"/>
  <c r="K327" s="1"/>
  <c r="D325"/>
  <c r="E325" s="1"/>
  <c r="H325"/>
  <c r="I325" s="1"/>
  <c r="I327" s="1"/>
  <c r="L171"/>
  <c r="L165"/>
  <c r="L169"/>
  <c r="J171"/>
  <c r="J167"/>
  <c r="I165"/>
  <c r="F171"/>
  <c r="F165"/>
  <c r="G167"/>
  <c r="H169"/>
  <c r="H171"/>
  <c r="J169"/>
  <c r="F62"/>
  <c r="H48"/>
  <c r="I70"/>
  <c r="J46"/>
  <c r="F46"/>
  <c r="I46"/>
  <c r="L68"/>
  <c r="F66"/>
  <c r="F68"/>
  <c r="L66"/>
  <c r="L64"/>
  <c r="I60"/>
  <c r="G64" s="1"/>
  <c r="L62"/>
  <c r="I62"/>
  <c r="B26"/>
  <c r="B184" i="6"/>
  <c r="C181"/>
  <c r="C176"/>
  <c r="E170"/>
  <c r="G166"/>
  <c r="F170"/>
  <c r="G88"/>
  <c r="G84"/>
  <c r="G83"/>
  <c r="G82"/>
  <c r="G81"/>
  <c r="G80"/>
  <c r="G79"/>
  <c r="G74"/>
  <c r="G75"/>
  <c r="G76"/>
  <c r="G77"/>
  <c r="G78"/>
  <c r="H87"/>
  <c r="H86"/>
  <c r="H85"/>
  <c r="F88"/>
  <c r="F84"/>
  <c r="F83"/>
  <c r="F82"/>
  <c r="F81"/>
  <c r="F80"/>
  <c r="E80"/>
  <c r="F79"/>
  <c r="E79"/>
  <c r="F78"/>
  <c r="E78"/>
  <c r="F76"/>
  <c r="E75"/>
  <c r="E74"/>
  <c r="B319" i="7"/>
  <c r="B315"/>
  <c r="B297"/>
  <c r="C282"/>
  <c r="L325" s="1"/>
  <c r="B282"/>
  <c r="L326" s="1"/>
  <c r="C273"/>
  <c r="B270"/>
  <c r="D268"/>
  <c r="D269" s="1"/>
  <c r="C269" s="1"/>
  <c r="D267"/>
  <c r="D266"/>
  <c r="D270" s="1"/>
  <c r="C89" i="6"/>
  <c r="M46"/>
  <c r="K45"/>
  <c r="F45"/>
  <c r="K44"/>
  <c r="J44"/>
  <c r="E43"/>
  <c r="E47" s="1"/>
  <c r="M42"/>
  <c r="K41"/>
  <c r="F41"/>
  <c r="M40"/>
  <c r="M39"/>
  <c r="M38"/>
  <c r="L37"/>
  <c r="J37"/>
  <c r="K36"/>
  <c r="G36"/>
  <c r="K35"/>
  <c r="F35"/>
  <c r="M34"/>
  <c r="D33"/>
  <c r="M32"/>
  <c r="L31"/>
  <c r="J31"/>
  <c r="L30"/>
  <c r="I30"/>
  <c r="L29"/>
  <c r="J29"/>
  <c r="M28"/>
  <c r="K27"/>
  <c r="F27"/>
  <c r="K26"/>
  <c r="G26"/>
  <c r="G47" s="1"/>
  <c r="K25"/>
  <c r="L24"/>
  <c r="H25"/>
  <c r="H47" s="1"/>
  <c r="I24"/>
  <c r="C22"/>
  <c r="C47" s="1"/>
  <c r="D23"/>
  <c r="D47" s="1"/>
  <c r="B229"/>
  <c r="B223"/>
  <c r="B242"/>
  <c r="G123"/>
  <c r="G124" s="1"/>
  <c r="G128" s="1"/>
  <c r="C67"/>
  <c r="D298" i="4"/>
  <c r="D297"/>
  <c r="D295"/>
  <c r="H278"/>
  <c r="F278"/>
  <c r="F274"/>
  <c r="H274" s="1"/>
  <c r="B292"/>
  <c r="C264"/>
  <c r="B270" s="1"/>
  <c r="B312" s="1"/>
  <c r="B233"/>
  <c r="B225" s="1"/>
  <c r="C245"/>
  <c r="C247" s="1"/>
  <c r="C249" s="1"/>
  <c r="C251" s="1"/>
  <c r="B224"/>
  <c r="D222"/>
  <c r="C221"/>
  <c r="C159" i="5"/>
  <c r="E158"/>
  <c r="E157"/>
  <c r="B117"/>
  <c r="B116"/>
  <c r="B115"/>
  <c r="B110"/>
  <c r="B109"/>
  <c r="B108"/>
  <c r="D96"/>
  <c r="C103" s="1"/>
  <c r="D95"/>
  <c r="C102" s="1"/>
  <c r="D94"/>
  <c r="C101" s="1"/>
  <c r="H27" i="4"/>
  <c r="B495"/>
  <c r="B494"/>
  <c r="B587"/>
  <c r="I570"/>
  <c r="C566" s="1"/>
  <c r="D566" s="1"/>
  <c r="D568" s="1"/>
  <c r="C565"/>
  <c r="B214"/>
  <c r="H507"/>
  <c r="F507"/>
  <c r="F503"/>
  <c r="H503" s="1"/>
  <c r="I580"/>
  <c r="C575" s="1"/>
  <c r="B576"/>
  <c r="B577" s="1"/>
  <c r="B568"/>
  <c r="C542"/>
  <c r="C541"/>
  <c r="C531"/>
  <c r="D531" s="1"/>
  <c r="B529"/>
  <c r="D529" s="1"/>
  <c r="D528"/>
  <c r="I487"/>
  <c r="C482" s="1"/>
  <c r="B482"/>
  <c r="B483" s="1"/>
  <c r="B484" s="1"/>
  <c r="E201"/>
  <c r="E200"/>
  <c r="E199"/>
  <c r="E197"/>
  <c r="C173"/>
  <c r="H120"/>
  <c r="H121" s="1"/>
  <c r="B209"/>
  <c r="E202"/>
  <c r="E198"/>
  <c r="D188"/>
  <c r="B187"/>
  <c r="D187" s="1"/>
  <c r="C185"/>
  <c r="C186" s="1"/>
  <c r="D186" s="1"/>
  <c r="D176"/>
  <c r="C174"/>
  <c r="C149"/>
  <c r="C151" s="1"/>
  <c r="C153" s="1"/>
  <c r="B17"/>
  <c r="C42" s="1"/>
  <c r="C44" s="1"/>
  <c r="C47" s="1"/>
  <c r="D7"/>
  <c r="E203"/>
  <c r="E204"/>
  <c r="C205"/>
  <c r="E205" s="1"/>
  <c r="B210" s="1"/>
  <c r="B71" i="3"/>
  <c r="B73" s="1"/>
  <c r="B89"/>
  <c r="E185"/>
  <c r="D185"/>
  <c r="E180"/>
  <c r="D180"/>
  <c r="C180"/>
  <c r="E175"/>
  <c r="F175"/>
  <c r="D175"/>
  <c r="G170"/>
  <c r="F170"/>
  <c r="E170"/>
  <c r="D170"/>
  <c r="H165"/>
  <c r="G165"/>
  <c r="F165"/>
  <c r="E165"/>
  <c r="D165"/>
  <c r="B164"/>
  <c r="B160"/>
  <c r="E160" s="1"/>
  <c r="B161"/>
  <c r="G161" s="1"/>
  <c r="B162"/>
  <c r="F162" s="1"/>
  <c r="B163"/>
  <c r="H163" s="1"/>
  <c r="B159"/>
  <c r="D159" s="1"/>
  <c r="B157"/>
  <c r="F157" s="1"/>
  <c r="B158"/>
  <c r="G158" s="1"/>
  <c r="B156"/>
  <c r="E156" s="1"/>
  <c r="B155"/>
  <c r="D155" s="1"/>
  <c r="H152"/>
  <c r="G152"/>
  <c r="F152"/>
  <c r="E152"/>
  <c r="D152"/>
  <c r="B151"/>
  <c r="H148"/>
  <c r="G148"/>
  <c r="F148"/>
  <c r="E148"/>
  <c r="D148"/>
  <c r="B147"/>
  <c r="H144"/>
  <c r="G144"/>
  <c r="F144"/>
  <c r="E144"/>
  <c r="D144"/>
  <c r="B143"/>
  <c r="H140"/>
  <c r="G140"/>
  <c r="F140"/>
  <c r="E140"/>
  <c r="D140"/>
  <c r="B139"/>
  <c r="H136"/>
  <c r="G136"/>
  <c r="F136"/>
  <c r="E136"/>
  <c r="D136"/>
  <c r="E132"/>
  <c r="D132"/>
  <c r="D128"/>
  <c r="B135"/>
  <c r="F132"/>
  <c r="F128"/>
  <c r="E128"/>
  <c r="H132"/>
  <c r="G132"/>
  <c r="B131"/>
  <c r="H128"/>
  <c r="G128"/>
  <c r="B127"/>
  <c r="E72"/>
  <c r="K72" s="1"/>
  <c r="K73" s="1"/>
  <c r="K68"/>
  <c r="J68"/>
  <c r="H68"/>
  <c r="G68"/>
  <c r="F68"/>
  <c r="E67"/>
  <c r="H67" s="1"/>
  <c r="F61"/>
  <c r="E61"/>
  <c r="D61"/>
  <c r="C61"/>
  <c r="B61"/>
  <c r="C101" i="1"/>
  <c r="B88"/>
  <c r="B77"/>
  <c r="G101"/>
  <c r="G102"/>
  <c r="F124"/>
  <c r="F125" s="1"/>
  <c r="F123"/>
  <c r="E124"/>
  <c r="E125" s="1"/>
  <c r="E123"/>
  <c r="F122"/>
  <c r="E122"/>
  <c r="F120"/>
  <c r="E120"/>
  <c r="F117"/>
  <c r="F119" s="1"/>
  <c r="F121" s="1"/>
  <c r="F126" s="1"/>
  <c r="E117"/>
  <c r="E119" s="1"/>
  <c r="E121" s="1"/>
  <c r="E126" s="1"/>
  <c r="D123"/>
  <c r="D122"/>
  <c r="D120"/>
  <c r="D117"/>
  <c r="D119" s="1"/>
  <c r="C124"/>
  <c r="C125" s="1"/>
  <c r="C123"/>
  <c r="C122"/>
  <c r="C120"/>
  <c r="C117"/>
  <c r="C119" s="1"/>
  <c r="B122"/>
  <c r="B118"/>
  <c r="B125" s="1"/>
  <c r="B117"/>
  <c r="B119" s="1"/>
  <c r="B121" s="1"/>
  <c r="C266"/>
  <c r="C265"/>
  <c r="C264"/>
  <c r="D263"/>
  <c r="B259"/>
  <c r="B265" s="1"/>
  <c r="B247"/>
  <c r="G202"/>
  <c r="G204" s="1"/>
  <c r="B206" s="1"/>
  <c r="C196"/>
  <c r="C195"/>
  <c r="F11" i="3"/>
  <c r="E11"/>
  <c r="D11"/>
  <c r="D14" s="1"/>
  <c r="C11"/>
  <c r="C14" s="1"/>
  <c r="B11"/>
  <c r="B14" s="1"/>
  <c r="E462" i="2"/>
  <c r="E472"/>
  <c r="E463" s="1"/>
  <c r="C442"/>
  <c r="C443" s="1"/>
  <c r="C444" s="1"/>
  <c r="C445" s="1"/>
  <c r="E423"/>
  <c r="E432"/>
  <c r="E425" s="1"/>
  <c r="E434"/>
  <c r="F429" s="1"/>
  <c r="E414"/>
  <c r="E424" s="1"/>
  <c r="B409"/>
  <c r="E399"/>
  <c r="F392" s="1"/>
  <c r="E397"/>
  <c r="E387" s="1"/>
  <c r="E395"/>
  <c r="E388" s="1"/>
  <c r="C379"/>
  <c r="E386" s="1"/>
  <c r="E358"/>
  <c r="E360"/>
  <c r="E366"/>
  <c r="E353"/>
  <c r="E346"/>
  <c r="E345"/>
  <c r="C323"/>
  <c r="C322"/>
  <c r="C252"/>
  <c r="C254" s="1"/>
  <c r="F281"/>
  <c r="C255"/>
  <c r="C217"/>
  <c r="B222" s="1"/>
  <c r="C177"/>
  <c r="F239" s="1"/>
  <c r="C211"/>
  <c r="C197"/>
  <c r="E226" s="1"/>
  <c r="C122"/>
  <c r="B127" s="1"/>
  <c r="F101"/>
  <c r="B65"/>
  <c r="C116" s="1"/>
  <c r="F214"/>
  <c r="C212" s="1"/>
  <c r="C168"/>
  <c r="C171" s="1"/>
  <c r="B187" s="1"/>
  <c r="B189" s="1"/>
  <c r="C306"/>
  <c r="C308" s="1"/>
  <c r="E292"/>
  <c r="B269"/>
  <c r="B272" s="1"/>
  <c r="B275" s="1"/>
  <c r="C281" s="1"/>
  <c r="C8"/>
  <c r="C7"/>
  <c r="F121"/>
  <c r="C118" s="1"/>
  <c r="F118"/>
  <c r="C117" s="1"/>
  <c r="I66" i="7" l="1"/>
  <c r="J64"/>
  <c r="I68"/>
  <c r="F96" i="5"/>
  <c r="B284" i="7"/>
  <c r="K68"/>
  <c r="K66"/>
  <c r="C10" i="2"/>
  <c r="E43" s="1"/>
  <c r="E45" s="1"/>
  <c r="E50" s="1"/>
  <c r="I47" i="6"/>
  <c r="L47"/>
  <c r="C201" i="7"/>
  <c r="L243" s="1"/>
  <c r="I255" s="1"/>
  <c r="C198" i="1"/>
  <c r="D265"/>
  <c r="C121"/>
  <c r="C126" s="1"/>
  <c r="F47" i="6"/>
  <c r="F103" i="2"/>
  <c r="E108" s="1"/>
  <c r="E46"/>
  <c r="E47" s="1"/>
  <c r="C119"/>
  <c r="D181" i="3"/>
  <c r="C185"/>
  <c r="M47" i="6"/>
  <c r="J47"/>
  <c r="E89"/>
  <c r="B237"/>
  <c r="B239" s="1"/>
  <c r="B190"/>
  <c r="B186"/>
  <c r="B187"/>
  <c r="G104" i="1"/>
  <c r="B126"/>
  <c r="D121"/>
  <c r="D124"/>
  <c r="D125" s="1"/>
  <c r="C109" i="5"/>
  <c r="D109" s="1"/>
  <c r="D102"/>
  <c r="G89" i="6"/>
  <c r="C543" i="4"/>
  <c r="C544" s="1"/>
  <c r="E159" i="5"/>
  <c r="H279" i="4"/>
  <c r="B311" s="1"/>
  <c r="K47" i="6"/>
  <c r="C270" i="7"/>
  <c r="F89" i="6"/>
  <c r="C175" i="3"/>
  <c r="D176" s="1"/>
  <c r="H69"/>
  <c r="C128"/>
  <c r="H129" s="1"/>
  <c r="H130" s="1"/>
  <c r="C132"/>
  <c r="F133" s="1"/>
  <c r="F134" s="1"/>
  <c r="C148"/>
  <c r="D149" s="1"/>
  <c r="D150" s="1"/>
  <c r="C170"/>
  <c r="F171" s="1"/>
  <c r="I67"/>
  <c r="I69" s="1"/>
  <c r="B68"/>
  <c r="J72"/>
  <c r="J73" s="1"/>
  <c r="C144"/>
  <c r="G145" s="1"/>
  <c r="G146" s="1"/>
  <c r="C152"/>
  <c r="F153" s="1"/>
  <c r="G67"/>
  <c r="G69" s="1"/>
  <c r="G133"/>
  <c r="G134" s="1"/>
  <c r="J67"/>
  <c r="J69" s="1"/>
  <c r="F176"/>
  <c r="F67"/>
  <c r="B168"/>
  <c r="K67"/>
  <c r="K69" s="1"/>
  <c r="K74" s="1"/>
  <c r="G45" i="1"/>
  <c r="G46" s="1"/>
  <c r="H46" s="1"/>
  <c r="H47" s="1"/>
  <c r="C237"/>
  <c r="F79"/>
  <c r="B83" s="1"/>
  <c r="G88"/>
  <c r="C102"/>
  <c r="C104" s="1"/>
  <c r="B89"/>
  <c r="F196" i="2"/>
  <c r="F198" s="1"/>
  <c r="C324"/>
  <c r="C325" s="1"/>
  <c r="C326" s="1"/>
  <c r="B78" i="1"/>
  <c r="G77"/>
  <c r="F72" i="3"/>
  <c r="F73" s="1"/>
  <c r="H72"/>
  <c r="H73" s="1"/>
  <c r="I72"/>
  <c r="I73" s="1"/>
  <c r="I74" s="1"/>
  <c r="G72"/>
  <c r="G73" s="1"/>
  <c r="C108" i="5"/>
  <c r="F115" s="1"/>
  <c r="C104"/>
  <c r="C110"/>
  <c r="F117" s="1"/>
  <c r="D103"/>
  <c r="E291" i="2"/>
  <c r="C256"/>
  <c r="G196" i="1"/>
  <c r="G198" s="1"/>
  <c r="H133" i="3"/>
  <c r="H134" s="1"/>
  <c r="C136"/>
  <c r="H137" s="1"/>
  <c r="H138" s="1"/>
  <c r="C140"/>
  <c r="D141" s="1"/>
  <c r="C165"/>
  <c r="D166" s="1"/>
  <c r="E181"/>
  <c r="C181" s="1"/>
  <c r="B211" i="4"/>
  <c r="B213"/>
  <c r="D101" i="5"/>
  <c r="B223" i="4"/>
  <c r="C223" s="1"/>
  <c r="D225" s="1"/>
  <c r="B251" i="1"/>
  <c r="H508" i="4"/>
  <c r="B259"/>
  <c r="D299"/>
  <c r="D290" s="1"/>
  <c r="D292" s="1"/>
  <c r="B307" s="1"/>
  <c r="B243" i="6"/>
  <c r="H89"/>
  <c r="B189"/>
  <c r="B188"/>
  <c r="H87" i="7"/>
  <c r="I87" s="1"/>
  <c r="C100"/>
  <c r="C186"/>
  <c r="D186" s="1"/>
  <c r="L242"/>
  <c r="I242"/>
  <c r="K242"/>
  <c r="F47" i="1"/>
  <c r="F48" s="1"/>
  <c r="L327" i="7"/>
  <c r="I335" s="1"/>
  <c r="E367" i="2"/>
  <c r="B74"/>
  <c r="B77" s="1"/>
  <c r="B93" s="1"/>
  <c r="B95" s="1"/>
  <c r="E372"/>
  <c r="E344"/>
  <c r="E347" s="1"/>
  <c r="E393"/>
  <c r="E293"/>
  <c r="C446"/>
  <c r="C447" s="1"/>
  <c r="C450" s="1"/>
  <c r="C452" s="1"/>
  <c r="E430"/>
  <c r="C214"/>
  <c r="E352"/>
  <c r="E354" s="1"/>
  <c r="E230"/>
  <c r="E203"/>
  <c r="C310"/>
  <c r="C312" s="1"/>
  <c r="E362"/>
  <c r="F371" s="1"/>
  <c r="C327"/>
  <c r="C328" s="1"/>
  <c r="C331" s="1"/>
  <c r="C333" s="1"/>
  <c r="F116" i="5"/>
  <c r="F118" s="1"/>
  <c r="D108"/>
  <c r="D110"/>
  <c r="C224" i="4"/>
  <c r="D224" s="1"/>
  <c r="G331" i="7"/>
  <c r="E176" i="3"/>
  <c r="C483" i="4"/>
  <c r="D482"/>
  <c r="D483" s="1"/>
  <c r="B583"/>
  <c r="B584" s="1"/>
  <c r="B589" s="1"/>
  <c r="C568"/>
  <c r="C576"/>
  <c r="D575"/>
  <c r="D576" s="1"/>
  <c r="B491"/>
  <c r="B492" s="1"/>
  <c r="B497" s="1"/>
  <c r="C290"/>
  <c r="C292" s="1"/>
  <c r="C175" i="6"/>
  <c r="E175" s="1"/>
  <c r="G170"/>
  <c r="F253" i="7"/>
  <c r="F247"/>
  <c r="F251"/>
  <c r="F333"/>
  <c r="F329"/>
  <c r="D46" i="1"/>
  <c r="E46" s="1"/>
  <c r="B244" i="6"/>
  <c r="H242" i="7"/>
  <c r="J242"/>
  <c r="H333"/>
  <c r="B241"/>
  <c r="C241" s="1"/>
  <c r="C243" s="1"/>
  <c r="F242"/>
  <c r="G242" s="1"/>
  <c r="J326"/>
  <c r="D104" i="5" l="1"/>
  <c r="G47" i="1"/>
  <c r="G48" s="1"/>
  <c r="E135" i="2"/>
  <c r="D126" i="1"/>
  <c r="C120" i="2"/>
  <c r="E107"/>
  <c r="B245" i="6"/>
  <c r="B248" s="1"/>
  <c r="B252" s="1"/>
  <c r="B253" s="1"/>
  <c r="C239" i="1"/>
  <c r="G236" s="1"/>
  <c r="G239" s="1"/>
  <c r="B264" s="1"/>
  <c r="D129" i="3"/>
  <c r="D130" s="1"/>
  <c r="E171"/>
  <c r="E129"/>
  <c r="E130" s="1"/>
  <c r="G129"/>
  <c r="G130" s="1"/>
  <c r="F129"/>
  <c r="F130" s="1"/>
  <c r="H74"/>
  <c r="G171"/>
  <c r="G74"/>
  <c r="D171"/>
  <c r="D133"/>
  <c r="D134" s="1"/>
  <c r="D145"/>
  <c r="D146" s="1"/>
  <c r="E133"/>
  <c r="E134" s="1"/>
  <c r="G153"/>
  <c r="G154" s="1"/>
  <c r="G149"/>
  <c r="G150" s="1"/>
  <c r="H149"/>
  <c r="H150" s="1"/>
  <c r="E149"/>
  <c r="E150" s="1"/>
  <c r="F149"/>
  <c r="F150" s="1"/>
  <c r="F154"/>
  <c r="H141"/>
  <c r="H142" s="1"/>
  <c r="J74"/>
  <c r="B76" s="1"/>
  <c r="E76" s="1"/>
  <c r="E153"/>
  <c r="E154" s="1"/>
  <c r="D153"/>
  <c r="D154" s="1"/>
  <c r="H153"/>
  <c r="H154" s="1"/>
  <c r="H145"/>
  <c r="H146" s="1"/>
  <c r="E145"/>
  <c r="F145"/>
  <c r="F146" s="1"/>
  <c r="B67"/>
  <c r="B69" s="1"/>
  <c r="B74" s="1"/>
  <c r="F69"/>
  <c r="F74" s="1"/>
  <c r="C215" i="2"/>
  <c r="E228" s="1"/>
  <c r="E202"/>
  <c r="F49" i="1"/>
  <c r="F50" s="1"/>
  <c r="H48"/>
  <c r="H49" s="1"/>
  <c r="D167" i="3"/>
  <c r="D142"/>
  <c r="G137"/>
  <c r="G138" s="1"/>
  <c r="E137"/>
  <c r="E138" s="1"/>
  <c r="F137"/>
  <c r="F138" s="1"/>
  <c r="B303" i="4"/>
  <c r="B306" s="1"/>
  <c r="C297" i="2"/>
  <c r="B216" i="4"/>
  <c r="G166" i="3"/>
  <c r="G167" s="1"/>
  <c r="F166"/>
  <c r="F167" s="1"/>
  <c r="H166"/>
  <c r="H167" s="1"/>
  <c r="E166"/>
  <c r="E167" s="1"/>
  <c r="E141"/>
  <c r="E142" s="1"/>
  <c r="G141"/>
  <c r="G142" s="1"/>
  <c r="F141"/>
  <c r="F142" s="1"/>
  <c r="D137"/>
  <c r="F235" i="2"/>
  <c r="E348"/>
  <c r="E349" s="1"/>
  <c r="E351" s="1"/>
  <c r="B455"/>
  <c r="E461" s="1"/>
  <c r="E468" s="1"/>
  <c r="E470"/>
  <c r="F467" s="1"/>
  <c r="F144"/>
  <c r="E294"/>
  <c r="C298" s="1"/>
  <c r="C12"/>
  <c r="C14" s="1"/>
  <c r="B23" s="1"/>
  <c r="B25" s="1"/>
  <c r="E241"/>
  <c r="B221"/>
  <c r="F428"/>
  <c r="F369"/>
  <c r="F391"/>
  <c r="F466" s="1"/>
  <c r="D241" i="7"/>
  <c r="E241" s="1"/>
  <c r="H241"/>
  <c r="I241" s="1"/>
  <c r="I243" s="1"/>
  <c r="J241"/>
  <c r="K241" s="1"/>
  <c r="K243" s="1"/>
  <c r="F241"/>
  <c r="G241" s="1"/>
  <c r="F167" i="6"/>
  <c r="F169"/>
  <c r="G169" s="1"/>
  <c r="G171" s="1"/>
  <c r="D111" i="5"/>
  <c r="E205" i="2"/>
  <c r="F233"/>
  <c r="F237"/>
  <c r="F390"/>
  <c r="E133" l="1"/>
  <c r="E146" s="1"/>
  <c r="B126"/>
  <c r="E110"/>
  <c r="E111" s="1"/>
  <c r="E112" s="1"/>
  <c r="F142"/>
  <c r="F138"/>
  <c r="F140"/>
  <c r="G167" i="6"/>
  <c r="C180" s="1"/>
  <c r="E180" s="1"/>
  <c r="B266" i="1"/>
  <c r="D264"/>
  <c r="D266" s="1"/>
  <c r="C171" i="3"/>
  <c r="C129"/>
  <c r="C133"/>
  <c r="H168"/>
  <c r="B169" s="1"/>
  <c r="J76"/>
  <c r="J77" s="1"/>
  <c r="C149"/>
  <c r="G168"/>
  <c r="E146"/>
  <c r="E168" s="1"/>
  <c r="C145"/>
  <c r="C153"/>
  <c r="G49" i="1"/>
  <c r="G50" s="1"/>
  <c r="H50" s="1"/>
  <c r="B308" i="4"/>
  <c r="B310"/>
  <c r="H172" i="3"/>
  <c r="H173" s="1"/>
  <c r="D138"/>
  <c r="D168" s="1"/>
  <c r="C137"/>
  <c r="C299" i="2"/>
  <c r="E295"/>
  <c r="F168" i="3"/>
  <c r="C141"/>
  <c r="C166"/>
  <c r="F368" i="2"/>
  <c r="F389"/>
  <c r="F393" s="1"/>
  <c r="F426"/>
  <c r="F464"/>
  <c r="F427"/>
  <c r="F465"/>
  <c r="F468" s="1"/>
  <c r="F370"/>
  <c r="F372" s="1"/>
  <c r="I76" i="3"/>
  <c r="I77" s="1"/>
  <c r="H76"/>
  <c r="H77" s="1"/>
  <c r="K76"/>
  <c r="K77" s="1"/>
  <c r="G76"/>
  <c r="G77" s="1"/>
  <c r="F76"/>
  <c r="F77" s="1"/>
  <c r="L329" i="7"/>
  <c r="L331"/>
  <c r="L333"/>
  <c r="J331"/>
  <c r="J333"/>
  <c r="I329"/>
  <c r="D48" i="1"/>
  <c r="E48" s="1"/>
  <c r="E206" i="2"/>
  <c r="E207" s="1"/>
  <c r="F241"/>
  <c r="L247" i="7"/>
  <c r="L249"/>
  <c r="L251"/>
  <c r="L253"/>
  <c r="I247"/>
  <c r="K245"/>
  <c r="J251"/>
  <c r="H251"/>
  <c r="J253"/>
  <c r="J249"/>
  <c r="G249"/>
  <c r="G245"/>
  <c r="H253"/>
  <c r="F430" i="2"/>
  <c r="B313" i="4"/>
  <c r="F172" i="3" l="1"/>
  <c r="F173" s="1"/>
  <c r="D172"/>
  <c r="E172"/>
  <c r="E173" s="1"/>
  <c r="G172"/>
  <c r="G173" s="1"/>
  <c r="B174" s="1"/>
  <c r="D173"/>
  <c r="F146" i="2"/>
  <c r="K78" i="3"/>
  <c r="K79" s="1"/>
  <c r="B78"/>
  <c r="E78" s="1"/>
  <c r="D50" i="1"/>
  <c r="E50" s="1"/>
  <c r="G177" i="3" l="1"/>
  <c r="G178" s="1"/>
  <c r="G78"/>
  <c r="G79" s="1"/>
  <c r="J78"/>
  <c r="J79" s="1"/>
  <c r="F78"/>
  <c r="F79" s="1"/>
  <c r="I78"/>
  <c r="I79" s="1"/>
  <c r="H78"/>
  <c r="H79" s="1"/>
  <c r="F177"/>
  <c r="F178" s="1"/>
  <c r="D177"/>
  <c r="D178" s="1"/>
  <c r="E177"/>
  <c r="E178" s="1"/>
  <c r="F182" l="1"/>
  <c r="F183" s="1"/>
  <c r="B179"/>
  <c r="I80"/>
  <c r="I81" s="1"/>
  <c r="E80"/>
  <c r="B80"/>
  <c r="H80" l="1"/>
  <c r="H81" s="1"/>
  <c r="B88" s="1"/>
  <c r="B90" s="1"/>
  <c r="K80"/>
  <c r="K81" s="1"/>
  <c r="G80"/>
  <c r="G81" s="1"/>
  <c r="J80"/>
  <c r="J81" s="1"/>
  <c r="F80"/>
  <c r="F81" s="1"/>
  <c r="E182"/>
  <c r="E183" s="1"/>
  <c r="E186" s="1"/>
  <c r="D182"/>
  <c r="D183" s="1"/>
  <c r="D186" s="1"/>
  <c r="B93" l="1"/>
  <c r="B92"/>
</calcChain>
</file>

<file path=xl/sharedStrings.xml><?xml version="1.0" encoding="utf-8"?>
<sst xmlns="http://schemas.openxmlformats.org/spreadsheetml/2006/main" count="4218" uniqueCount="2418">
  <si>
    <t>EJERCICIO N° 1</t>
  </si>
  <si>
    <t xml:space="preserve">Datos: </t>
  </si>
  <si>
    <t>t=</t>
  </si>
  <si>
    <t>926 kg. a $100/kg.</t>
  </si>
  <si>
    <t>$/kg.</t>
  </si>
  <si>
    <t>kg. de MP</t>
  </si>
  <si>
    <t>Demora normal del proveedor (D) =</t>
  </si>
  <si>
    <t>Demora máxima del proveedor (D + d) =</t>
  </si>
  <si>
    <t>Demanda anual (D) =</t>
  </si>
  <si>
    <t>tasa de mantenimiento de stocks (t) =</t>
  </si>
  <si>
    <t>Existencia inicial de materia prima =</t>
  </si>
  <si>
    <t>Costo de cada pedido ( r ) =</t>
  </si>
  <si>
    <t>Costo unitario del material (u) =</t>
  </si>
  <si>
    <t>días</t>
  </si>
  <si>
    <t>semanas</t>
  </si>
  <si>
    <t>unidades/día</t>
  </si>
  <si>
    <t>unidades/mes</t>
  </si>
  <si>
    <t>Relación I/P=</t>
  </si>
  <si>
    <t>kg/unidad</t>
  </si>
  <si>
    <t xml:space="preserve">La empresa utiliza un stock de seguridad primario para su materia prima. </t>
  </si>
  <si>
    <t>1) Lote óptimo de compra</t>
  </si>
  <si>
    <t xml:space="preserve">kgs. </t>
  </si>
  <si>
    <t>2) Frecuencia de compra en meses</t>
  </si>
  <si>
    <t>D</t>
  </si>
  <si>
    <t>Q</t>
  </si>
  <si>
    <t xml:space="preserve">Frecuencia en veces = </t>
  </si>
  <si>
    <t>Frecuencia en veces =</t>
  </si>
  <si>
    <t>veces/año</t>
  </si>
  <si>
    <t>Frecuencia en meses =</t>
  </si>
  <si>
    <t>Frec. en veces</t>
  </si>
  <si>
    <t xml:space="preserve">3) Costo de posesión y adquisición total mínimo </t>
  </si>
  <si>
    <r>
      <t xml:space="preserve">Q </t>
    </r>
    <r>
      <rPr>
        <b/>
        <vertAlign val="subscript"/>
        <sz val="11"/>
        <color theme="1"/>
        <rFont val="Arial"/>
        <family val="2"/>
      </rPr>
      <t>op.</t>
    </r>
    <r>
      <rPr>
        <b/>
        <sz val="11"/>
        <color theme="1"/>
        <rFont val="Arial"/>
        <family val="2"/>
      </rPr>
      <t xml:space="preserve">   =</t>
    </r>
  </si>
  <si>
    <t>x r</t>
  </si>
  <si>
    <t>x 500</t>
  </si>
  <si>
    <t>t  x</t>
  </si>
  <si>
    <t xml:space="preserve">x  u </t>
  </si>
  <si>
    <t>0,20 x</t>
  </si>
  <si>
    <t>x 100</t>
  </si>
  <si>
    <t>CT =</t>
  </si>
  <si>
    <t>A + P</t>
  </si>
  <si>
    <t xml:space="preserve">CT= </t>
  </si>
  <si>
    <t>12.500 + 12.500</t>
  </si>
  <si>
    <t>4) Inventario final de materias primas</t>
  </si>
  <si>
    <r>
      <t>S</t>
    </r>
    <r>
      <rPr>
        <vertAlign val="subscript"/>
        <sz val="10"/>
        <color theme="1"/>
        <rFont val="Arial"/>
        <family val="2"/>
      </rPr>
      <t xml:space="preserve">SP= </t>
    </r>
  </si>
  <si>
    <t>(C + c) x (D + d)</t>
  </si>
  <si>
    <t xml:space="preserve">Cons.máx.= </t>
  </si>
  <si>
    <t>kg/día</t>
  </si>
  <si>
    <t xml:space="preserve">84 kg/día x 14 días </t>
  </si>
  <si>
    <t>kg.-</t>
  </si>
  <si>
    <t>5) Ficha de stock y valuación del consumo de materia prima</t>
  </si>
  <si>
    <t>EI</t>
  </si>
  <si>
    <t>+ COMPRAS</t>
  </si>
  <si>
    <t>- EF</t>
  </si>
  <si>
    <t>CONSUMO</t>
  </si>
  <si>
    <t>Lote óptimo x Frecuencia mensual</t>
  </si>
  <si>
    <t>Compras =</t>
  </si>
  <si>
    <t xml:space="preserve">kg. </t>
  </si>
  <si>
    <t>PRODUCTO x Relación I/P =</t>
  </si>
  <si>
    <t>25 unidades/día x 30 días x 3 kg/unidad=</t>
  </si>
  <si>
    <t>2.250=</t>
  </si>
  <si>
    <t>Lote óptimo (Q) =</t>
  </si>
  <si>
    <t>mts. de MP</t>
  </si>
  <si>
    <t>$</t>
  </si>
  <si>
    <t>$/mt.</t>
  </si>
  <si>
    <t>Consumo normal semanal=</t>
  </si>
  <si>
    <t>mts/semana</t>
  </si>
  <si>
    <t>Consumo normal máximo (incremento)=</t>
  </si>
  <si>
    <t>x 20</t>
  </si>
  <si>
    <t>x 52</t>
  </si>
  <si>
    <t>Frecuencia en días =</t>
  </si>
  <si>
    <t>días/pedido</t>
  </si>
  <si>
    <t>pedidos/mes</t>
  </si>
  <si>
    <r>
      <t>S</t>
    </r>
    <r>
      <rPr>
        <vertAlign val="subscript"/>
        <sz val="10"/>
        <color theme="1"/>
        <rFont val="Arial"/>
        <family val="2"/>
      </rPr>
      <t xml:space="preserve">MP= </t>
    </r>
  </si>
  <si>
    <t>C x D</t>
  </si>
  <si>
    <t>Consumo normal diario =</t>
  </si>
  <si>
    <t>EJERCICIO N° 3</t>
  </si>
  <si>
    <t xml:space="preserve">2857,14 mts/día x 12 días </t>
  </si>
  <si>
    <t>mts.-</t>
  </si>
  <si>
    <t>EJERCICIO N° 4</t>
  </si>
  <si>
    <t>2 x 1.040.000 x 20</t>
  </si>
  <si>
    <t>Costo de adquisición ( r )=</t>
  </si>
  <si>
    <t>$/orden</t>
  </si>
  <si>
    <t>Demanda anual (D)=</t>
  </si>
  <si>
    <t>Q/2</t>
  </si>
  <si>
    <t>D/Q</t>
  </si>
  <si>
    <t>u</t>
  </si>
  <si>
    <t>t</t>
  </si>
  <si>
    <t>t x u</t>
  </si>
  <si>
    <t>r</t>
  </si>
  <si>
    <t>D/Q x r</t>
  </si>
  <si>
    <t>Costo total</t>
  </si>
  <si>
    <t>Q/2 x t x u</t>
  </si>
  <si>
    <t>2) ¿Cuál es el lote óptimo de compra?</t>
  </si>
  <si>
    <t>Demanda anual</t>
  </si>
  <si>
    <t>Precio por bolsa</t>
  </si>
  <si>
    <t>Costo de mantenimiento</t>
  </si>
  <si>
    <t>Costo por orden de compra</t>
  </si>
  <si>
    <t>SUPER</t>
  </si>
  <si>
    <t>NATURAL</t>
  </si>
  <si>
    <t>Bolsas</t>
  </si>
  <si>
    <t>Súper</t>
  </si>
  <si>
    <t>bolsas</t>
  </si>
  <si>
    <t>Natural</t>
  </si>
  <si>
    <t>2) ¿Cuál es la suma del total de costos anuales de adquisición y mantenimiento para cada producto?</t>
  </si>
  <si>
    <t xml:space="preserve">Número de entregas por año = </t>
  </si>
  <si>
    <t>Número de entregas por año=</t>
  </si>
  <si>
    <t>Capacidad normal =</t>
  </si>
  <si>
    <t xml:space="preserve">En el mes hubo un día feriado. </t>
  </si>
  <si>
    <t>HH</t>
  </si>
  <si>
    <t>Q ptos. presupuestados x R I/P = Horas Hombre presupuestadas</t>
  </si>
  <si>
    <t>R I/P =</t>
  </si>
  <si>
    <t>HH presup.</t>
  </si>
  <si>
    <t>Q ptos. pdos.</t>
  </si>
  <si>
    <t>HH/UNIDAD</t>
  </si>
  <si>
    <t>Incidencia de cargas sociales =</t>
  </si>
  <si>
    <t>Q ptos. reales x R I/P = Horas Hombre productivas</t>
  </si>
  <si>
    <t>Q ptos. reales =</t>
  </si>
  <si>
    <t>HH productivas</t>
  </si>
  <si>
    <t>R I/P</t>
  </si>
  <si>
    <t>Costo total de MOD = HH productivas x Costo horario</t>
  </si>
  <si>
    <t>Tarifa x (1 + Inc. Cs. Soc.)</t>
  </si>
  <si>
    <t>CH =</t>
  </si>
  <si>
    <t>Tarifa</t>
  </si>
  <si>
    <t>= Tarifa</t>
  </si>
  <si>
    <t xml:space="preserve">Costo total de MOD = 1.600 HH x 7,90 $/HH </t>
  </si>
  <si>
    <t xml:space="preserve">Costo total de MOD = </t>
  </si>
  <si>
    <t>Sueldo Anual Complementario (S.A.C.)</t>
  </si>
  <si>
    <t>Remuneración Bruta</t>
  </si>
  <si>
    <t>Retenciones (17%)</t>
  </si>
  <si>
    <t>$/HH</t>
  </si>
  <si>
    <t>Remuneración neta</t>
  </si>
  <si>
    <t>- Ausencias justificadas</t>
  </si>
  <si>
    <t>- Ausencias injustificadas</t>
  </si>
  <si>
    <t>Horas presenciales</t>
  </si>
  <si>
    <t>Horas normales</t>
  </si>
  <si>
    <t>- Improductividad informada</t>
  </si>
  <si>
    <t>Horas trabajadas</t>
  </si>
  <si>
    <t>- Improductividad oculta</t>
  </si>
  <si>
    <t>Horas productivas</t>
  </si>
  <si>
    <t xml:space="preserve">Improductividades </t>
  </si>
  <si>
    <t>Informada</t>
  </si>
  <si>
    <t>Oculta</t>
  </si>
  <si>
    <t>DEBE</t>
  </si>
  <si>
    <t>HABER</t>
  </si>
  <si>
    <t>Costo de la MOD</t>
  </si>
  <si>
    <t>Previsión por cargas sociales (uso)</t>
  </si>
  <si>
    <t>a Jornales a pagar</t>
  </si>
  <si>
    <t>a Retenciones a depositar</t>
  </si>
  <si>
    <t>a Aportes a pagar</t>
  </si>
  <si>
    <t>a Previsiones Cargas Sociales</t>
  </si>
  <si>
    <t xml:space="preserve">EJERCICIO N° 2 </t>
  </si>
  <si>
    <t xml:space="preserve">5 operarios asistieron a fábrica 15 días, los 10 días restantes se tomaron vacaciones. </t>
  </si>
  <si>
    <t xml:space="preserve">6 operarios asistieron durante 25 días laborales del mes, durante los 8 horas de la jornada </t>
  </si>
  <si>
    <t xml:space="preserve">el operario restante asistió a fábrica sólo 22 días. </t>
  </si>
  <si>
    <t xml:space="preserve">Un operario se ausentó 3 días no cumplimentando el requisito de reconocimiento médico de presentar el correspondiente certificado. </t>
  </si>
  <si>
    <t xml:space="preserve">Capacidad normal = </t>
  </si>
  <si>
    <t>5 operarios x 10 días x 8 hs.</t>
  </si>
  <si>
    <t>12 operarios x 1 día x 8 hs.</t>
  </si>
  <si>
    <t>1 operario x 3 días x 8 horas</t>
  </si>
  <si>
    <t>(2.472 HH x $5 + $4.000) x 0,17</t>
  </si>
  <si>
    <t>1.976 HH x $5/HH x (0,58-0,239)</t>
  </si>
  <si>
    <t>496 HH x 5 x 1.239 + $4.000 x 1,239</t>
  </si>
  <si>
    <t>40 operarios x 25 días x 7,5 horas/día</t>
  </si>
  <si>
    <t xml:space="preserve">9 operarios x 14 días x 7,5 horas/día </t>
  </si>
  <si>
    <t>dato del ejercicio</t>
  </si>
  <si>
    <t xml:space="preserve">Al decir "se cumplió la relación Insumo-Producto", se infiere que no ha habido improductividad oculta. </t>
  </si>
  <si>
    <t>Q ptos. reales</t>
  </si>
  <si>
    <t>R I/P=</t>
  </si>
  <si>
    <t>Aportes patronales</t>
  </si>
  <si>
    <t>Horas de improductividad informada = 97 HH/día x 20 días</t>
  </si>
  <si>
    <t>Horas de improductividad informada= 1940 HH</t>
  </si>
  <si>
    <t>Relación I/P =</t>
  </si>
  <si>
    <t xml:space="preserve">HH ptadas. </t>
  </si>
  <si>
    <t>HH/unidad</t>
  </si>
  <si>
    <t>6.000 unidades x 1,70HH/unidad</t>
  </si>
  <si>
    <t>Costo total de MOD = 10.200 HH x $6/HH x (1+0,52068)</t>
  </si>
  <si>
    <t>Costo total de MOD = 6.000 HH x 5$/HH x (1+0,50)</t>
  </si>
  <si>
    <t>$6/HH x (1+0,5268)</t>
  </si>
  <si>
    <t>Improductividad oculta = Horas productivas - Horas trabajadas</t>
  </si>
  <si>
    <t>Improductividad oculta = 10.200 HH - 10.500 HH</t>
  </si>
  <si>
    <t>Improductividad oculta= -300 HH</t>
  </si>
  <si>
    <t>Jornales a pagar</t>
  </si>
  <si>
    <t>SAC</t>
  </si>
  <si>
    <t>Total</t>
  </si>
  <si>
    <r>
      <t xml:space="preserve">Q </t>
    </r>
    <r>
      <rPr>
        <b/>
        <vertAlign val="subscript"/>
        <sz val="10"/>
        <color theme="1"/>
        <rFont val="Arial"/>
        <family val="2"/>
      </rPr>
      <t>op.</t>
    </r>
    <r>
      <rPr>
        <b/>
        <sz val="10"/>
        <color theme="1"/>
        <rFont val="Arial"/>
        <family val="2"/>
      </rPr>
      <t xml:space="preserve">   =</t>
    </r>
  </si>
  <si>
    <t>Subtotal</t>
  </si>
  <si>
    <t>20 op x 1 día x 9HH/día = 180 HH</t>
  </si>
  <si>
    <t>2 op. X 2 días x 9HH/día = 36 HH</t>
  </si>
  <si>
    <t>Horas extra para cumplir Cap. Normal</t>
  </si>
  <si>
    <t>Horas de presencia totales</t>
  </si>
  <si>
    <t>Sin informe en enunciado</t>
  </si>
  <si>
    <t>No hay porque se cumplió la R I/P</t>
  </si>
  <si>
    <t>Jornal bruto horario =</t>
  </si>
  <si>
    <t>Remuneración a capacidad normal</t>
  </si>
  <si>
    <t>Capacidad normal HH</t>
  </si>
  <si>
    <t>Jornal bruto horario=</t>
  </si>
  <si>
    <t>3.960 HH</t>
  </si>
  <si>
    <t>$5/HH</t>
  </si>
  <si>
    <t xml:space="preserve">Incidencia Cs. Soc. </t>
  </si>
  <si>
    <t>Base jornal por hs. Presencia</t>
  </si>
  <si>
    <t>Ausencias pagas</t>
  </si>
  <si>
    <t>Ad. Hs. Extras</t>
  </si>
  <si>
    <t>Ap. Patronales (23,9%)</t>
  </si>
  <si>
    <t>Ropa de trabajo</t>
  </si>
  <si>
    <t>Otros no rem.</t>
  </si>
  <si>
    <t>-Base</t>
  </si>
  <si>
    <t xml:space="preserve">Inc. Cs. Soc. </t>
  </si>
  <si>
    <t>a)</t>
  </si>
  <si>
    <t>Costo horario</t>
  </si>
  <si>
    <t>Jornal Bruto horario x (1+ inc. CS)</t>
  </si>
  <si>
    <t>5$/hh x 1,48= 7,40 $/HH</t>
  </si>
  <si>
    <t>Costo producción</t>
  </si>
  <si>
    <t>HH Productivas x costo horario</t>
  </si>
  <si>
    <t>b)</t>
  </si>
  <si>
    <t>Hs Presencia Normales</t>
  </si>
  <si>
    <t>216HH x 5$/HH</t>
  </si>
  <si>
    <t>Remuneración Neta</t>
  </si>
  <si>
    <t>Remuneración Neta a pagar + salario</t>
  </si>
  <si>
    <t>Aportes Patronales (s/ rem BRUTA)</t>
  </si>
  <si>
    <t>216HH x 5$/HH x 1,50*</t>
  </si>
  <si>
    <t>Constitución de Previsión</t>
  </si>
  <si>
    <t>Asiento de cargo al costo</t>
  </si>
  <si>
    <t>H</t>
  </si>
  <si>
    <t>A+</t>
  </si>
  <si>
    <t>Prod. En proceso MOD</t>
  </si>
  <si>
    <t xml:space="preserve">Previsión Cs. Soc. </t>
  </si>
  <si>
    <t>P-</t>
  </si>
  <si>
    <t>P+</t>
  </si>
  <si>
    <t xml:space="preserve">P+ </t>
  </si>
  <si>
    <t>Rem. A pagar</t>
  </si>
  <si>
    <t>Aportes a depositar</t>
  </si>
  <si>
    <t>Contribuc. Patron. A pagar</t>
  </si>
  <si>
    <t>2)  Tratamiento del adicional de las hs extras: Pérdida (son causadas por una causa fortuita)</t>
  </si>
  <si>
    <t>RN+</t>
  </si>
  <si>
    <t>Pérdida Adic. Hs. Extras</t>
  </si>
  <si>
    <t>Retenciones a depositar</t>
  </si>
  <si>
    <t>Ap. Patronales a depositar</t>
  </si>
  <si>
    <t>Prod. En proceso CIF (Adic. Hs. Extras)</t>
  </si>
  <si>
    <t xml:space="preserve">Incidencia de cargas sociales = </t>
  </si>
  <si>
    <t xml:space="preserve">(1 + 0,04 + 0,05 + 0,01) x (1 + 0,0833) x (1 + 0,239) + (0,0135 + 0,01008) </t>
  </si>
  <si>
    <t xml:space="preserve">Horas hombre presenciales + horas de ausencias justificadas </t>
  </si>
  <si>
    <t>(-) Retenciones (17%)</t>
  </si>
  <si>
    <t>Remuneración neta (a pagar)</t>
  </si>
  <si>
    <t>Remuneración bruta x 0,239</t>
  </si>
  <si>
    <t>Datos:</t>
  </si>
  <si>
    <t>5 operarios asistieron a fábrica 11 días, los 10 días restantes se tomaron vacaciones.</t>
  </si>
  <si>
    <t xml:space="preserve">6 operarios asistieron durante 21 días. </t>
  </si>
  <si>
    <t xml:space="preserve">el operario restante asistió a fábrica sólo 18 días. </t>
  </si>
  <si>
    <t xml:space="preserve">Jornada diaria 9 horas. </t>
  </si>
  <si>
    <t xml:space="preserve">Cantidad de obreros x días de jornada x horas por jornada </t>
  </si>
  <si>
    <t>12 operarios x 22 días x 9 horas</t>
  </si>
  <si>
    <t>5 operarios x 10 días x 9 hs.</t>
  </si>
  <si>
    <t>12 operarios x 1 día x 9 hs.</t>
  </si>
  <si>
    <t>1 operario x 3 días x 9 hs.</t>
  </si>
  <si>
    <t>(151 HH + 40 HH) x $7,90/HH</t>
  </si>
  <si>
    <t>585 HH x 5 x 1.239 + $4.000 x 1,239</t>
  </si>
  <si>
    <t>(2.376 HH x $5 + $4.000) x 0,17</t>
  </si>
  <si>
    <t>1.791 HH x $5/HH x (0,58-0,239)</t>
  </si>
  <si>
    <t>Horas hombre presenciales + ausencias justificadas</t>
  </si>
  <si>
    <t>1.600 HH x $7,90/HH</t>
  </si>
  <si>
    <t>(286 HH + 90 HH) x $7,90/HH</t>
  </si>
  <si>
    <t>(2.472 HH x $5 + $4.000) x 0,83</t>
  </si>
  <si>
    <t xml:space="preserve">(2.472 HH x $5 + 4.000) x 0,239 </t>
  </si>
  <si>
    <t xml:space="preserve">Incidencia de cargas sociales = (1 + 0,02 + 0,05 + 0,08) x (1 + 0,0833) x (1 + 0,239) + (0,02 + 0,01646) </t>
  </si>
  <si>
    <t xml:space="preserve">Horas hombre presenciales + ausencias justificadas </t>
  </si>
  <si>
    <t>(2.376 HH x $5 + $4.000) x 0,83</t>
  </si>
  <si>
    <t>(2.376 HH x $5 + 4.000) x 0,239</t>
  </si>
  <si>
    <t xml:space="preserve">Incidencia de cargas sociales = (1 + 0,03 + 0,08) x (1 + 0,0833) x (1 + 0,239) + (0,01675 + 0,014074) </t>
  </si>
  <si>
    <t xml:space="preserve">Hs. productivas= </t>
  </si>
  <si>
    <t xml:space="preserve">Hs. productivas = </t>
  </si>
  <si>
    <t xml:space="preserve">Retenciones </t>
  </si>
  <si>
    <t>Total Aportes y Retenciones a dep.</t>
  </si>
  <si>
    <t>EJERCICIO N° 5 - HORAS EXTRAS</t>
  </si>
  <si>
    <t>3.744HH x 5$/HH</t>
  </si>
  <si>
    <t>(+) Hs. Extras</t>
  </si>
  <si>
    <t>(+) Hs. Ausencias Pagas</t>
  </si>
  <si>
    <t>(-) Retenciones a depositar</t>
  </si>
  <si>
    <t>(+) Salario familiar</t>
  </si>
  <si>
    <t>(-) Salario Familiar</t>
  </si>
  <si>
    <t>Aportes Patronales a pagar</t>
  </si>
  <si>
    <t>3960 HH x 5 $/HH x (0,48 - 0,239)</t>
  </si>
  <si>
    <t>50% x 216 HH x 5$/HH x 1,239</t>
  </si>
  <si>
    <t>216 HH x 5$/HH x 1,239</t>
  </si>
  <si>
    <t>1) Tratamiento de las horas extras si son programadas y constantes</t>
  </si>
  <si>
    <t xml:space="preserve">a) </t>
  </si>
  <si>
    <t xml:space="preserve"> HH productivas x Costo horario</t>
  </si>
  <si>
    <t>Costo de MOD</t>
  </si>
  <si>
    <t>3960 HH x $7,40/HH</t>
  </si>
  <si>
    <t xml:space="preserve">b) </t>
  </si>
  <si>
    <t xml:space="preserve">La liquidación de jornales es ídem punto 1. </t>
  </si>
  <si>
    <t>Prod. en proceso MOD</t>
  </si>
  <si>
    <t>Uso de previsión</t>
  </si>
  <si>
    <t>Pérdida Adicional por horas extras</t>
  </si>
  <si>
    <t>216 HH x 5$/HH x 0,5 x 1,48</t>
  </si>
  <si>
    <t>Constitución de la previsión</t>
  </si>
  <si>
    <t>[(3744 HH x 5$/HH) + (216 HH x 7,50$/HH)] x (0,48-0,239)</t>
  </si>
  <si>
    <t>Adicional por horas extras</t>
  </si>
  <si>
    <t>Licencias pagas</t>
  </si>
  <si>
    <t>3)  Tratamiento del adicional de las hs extras: Costo MOD de orden determinada</t>
  </si>
  <si>
    <t xml:space="preserve">Relación I/P = </t>
  </si>
  <si>
    <t>Capacidad normal</t>
  </si>
  <si>
    <t>Prod. Normal</t>
  </si>
  <si>
    <t>OF. Determinada =</t>
  </si>
  <si>
    <t>1.000 HH</t>
  </si>
  <si>
    <t>2.000 unidades x 0,5HH/unidad</t>
  </si>
  <si>
    <t>784 HH x 5$/HH x 1,48</t>
  </si>
  <si>
    <t xml:space="preserve">Resto de las OF. </t>
  </si>
  <si>
    <t xml:space="preserve">216 HH x 5$/HH x 1,48 x 1,50 </t>
  </si>
  <si>
    <t>5.920 unidades x 0,5HH/unidad</t>
  </si>
  <si>
    <t>2.960 HH</t>
  </si>
  <si>
    <t>2.960 HH x 5$/HH x 1,48</t>
  </si>
  <si>
    <t xml:space="preserve">b) La liquidación de jornales es ídem punto 1. Sólo cambia la adjudicación al costo de cada orden. </t>
  </si>
  <si>
    <t>Rem. a pagar</t>
  </si>
  <si>
    <t>Uso previsión</t>
  </si>
  <si>
    <t>Prod. en proceso MOD ORDEN FAB. XX (Ad. Hs. Extras)</t>
  </si>
  <si>
    <t>Constitución previsión</t>
  </si>
  <si>
    <t>Prod. en proceso - MOD</t>
  </si>
  <si>
    <t>4) Tratamiento del adicional de horas extras: cargo a CIF</t>
  </si>
  <si>
    <t xml:space="preserve">Incidencia cargas sociales: </t>
  </si>
  <si>
    <t>Costo de MOD =</t>
  </si>
  <si>
    <t>3.960HH x 5$/HH x 1,453192</t>
  </si>
  <si>
    <t xml:space="preserve">b) La liquidación es ídem punto 1. </t>
  </si>
  <si>
    <t>3.960HH X 5$/hh X (0,453156 - 0,239)</t>
  </si>
  <si>
    <t>Torrado y M.</t>
  </si>
  <si>
    <t>Envasado</t>
  </si>
  <si>
    <t>Alm. MP</t>
  </si>
  <si>
    <t>Manten.</t>
  </si>
  <si>
    <t>Jorn. Indirectos</t>
  </si>
  <si>
    <t>Gastos T. y M.</t>
  </si>
  <si>
    <t xml:space="preserve">        ----</t>
  </si>
  <si>
    <t xml:space="preserve">      ----</t>
  </si>
  <si>
    <t xml:space="preserve">    ---- </t>
  </si>
  <si>
    <t>Fuerza Motriz</t>
  </si>
  <si>
    <t xml:space="preserve">    ----</t>
  </si>
  <si>
    <t xml:space="preserve">Alquiler </t>
  </si>
  <si>
    <t>Amortizaciones</t>
  </si>
  <si>
    <t xml:space="preserve">Gastos Almacén  </t>
  </si>
  <si>
    <t xml:space="preserve">       ----</t>
  </si>
  <si>
    <t xml:space="preserve">      ---- </t>
  </si>
  <si>
    <t>D. Primaria</t>
  </si>
  <si>
    <t>Cierre Almacén</t>
  </si>
  <si>
    <t>Cierre Manten.</t>
  </si>
  <si>
    <t xml:space="preserve">     ---- </t>
  </si>
  <si>
    <t>D. Secundaria</t>
  </si>
  <si>
    <t xml:space="preserve">     ----</t>
  </si>
  <si>
    <t>unidades de materia prima</t>
  </si>
  <si>
    <t>$/año/unidad</t>
  </si>
  <si>
    <t>$/unidad</t>
  </si>
  <si>
    <t>1) Determinar la tasa de costo de posesión de inventarios</t>
  </si>
  <si>
    <t>2) Calcular el costo total mínimo</t>
  </si>
  <si>
    <r>
      <t>(4000)</t>
    </r>
    <r>
      <rPr>
        <vertAlign val="superscript"/>
        <sz val="10"/>
        <color theme="1"/>
        <rFont val="Arial"/>
        <family val="2"/>
      </rPr>
      <t xml:space="preserve">2 </t>
    </r>
    <r>
      <rPr>
        <sz val="10"/>
        <color theme="1"/>
        <rFont val="Arial"/>
        <family val="2"/>
      </rPr>
      <t>x (52 x t)=</t>
    </r>
  </si>
  <si>
    <t xml:space="preserve">CA= </t>
  </si>
  <si>
    <t>CA=</t>
  </si>
  <si>
    <t>CP=</t>
  </si>
  <si>
    <t>4) Determinar la frecuencia de compra en días</t>
  </si>
  <si>
    <t>5) Calcular el stock mínimo primario</t>
  </si>
  <si>
    <t>mts./día</t>
  </si>
  <si>
    <t>0,05 x</t>
  </si>
  <si>
    <t>5.200 + 5.200</t>
  </si>
  <si>
    <t>Producción mensual máxima=</t>
  </si>
  <si>
    <t>Costo mantenimiento por unidad (t x u)=</t>
  </si>
  <si>
    <t>unidades</t>
  </si>
  <si>
    <t>1) Calcular el lote óptimo para Super y para Natural</t>
  </si>
  <si>
    <t>3) Calcular el número de entregas al año para Súper y para Natural</t>
  </si>
  <si>
    <t>x 30</t>
  </si>
  <si>
    <t>0,30 x</t>
  </si>
  <si>
    <t>x 47</t>
  </si>
  <si>
    <t>600 + 600</t>
  </si>
  <si>
    <t>x 40</t>
  </si>
  <si>
    <t>x 35</t>
  </si>
  <si>
    <t>562 + 562</t>
  </si>
  <si>
    <t>Centro</t>
  </si>
  <si>
    <t>Superficie ocupada</t>
  </si>
  <si>
    <t>Personal ocupado</t>
  </si>
  <si>
    <t xml:space="preserve">Consumo Kw. </t>
  </si>
  <si>
    <t>Costo de reparaciones</t>
  </si>
  <si>
    <t>Materiales utilizados</t>
  </si>
  <si>
    <t>CORTE</t>
  </si>
  <si>
    <t>MAQUINADO</t>
  </si>
  <si>
    <t>ARMADO</t>
  </si>
  <si>
    <t>ALMACÉN</t>
  </si>
  <si>
    <t>SCIO. MÉDICO</t>
  </si>
  <si>
    <t>TALLER MECÁNICO</t>
  </si>
  <si>
    <t>TOTALES</t>
  </si>
  <si>
    <t>Concepto de costo</t>
  </si>
  <si>
    <t>Total presupuestado</t>
  </si>
  <si>
    <t>Base de prorrateo</t>
  </si>
  <si>
    <t>Cuota</t>
  </si>
  <si>
    <t>Coeficiente</t>
  </si>
  <si>
    <t>SCIO. MÉD.</t>
  </si>
  <si>
    <t>TALLER</t>
  </si>
  <si>
    <t>A) DIST. PRIMARIA</t>
  </si>
  <si>
    <t>COSTOS FIJOS</t>
  </si>
  <si>
    <t>Alquileres</t>
  </si>
  <si>
    <r>
      <t>m</t>
    </r>
    <r>
      <rPr>
        <vertAlign val="superscript"/>
        <sz val="10"/>
        <color theme="1"/>
        <rFont val="Arial"/>
        <family val="2"/>
      </rPr>
      <t>2</t>
    </r>
  </si>
  <si>
    <t>10.000/2.500</t>
  </si>
  <si>
    <t xml:space="preserve">Depreciación máq. </t>
  </si>
  <si>
    <t>Valor/vida</t>
  </si>
  <si>
    <t>s/ vida útil</t>
  </si>
  <si>
    <t>-</t>
  </si>
  <si>
    <t>Total Costos fijos</t>
  </si>
  <si>
    <t>COSTOS VARIABLES</t>
  </si>
  <si>
    <t>Mat. Prima indirecta</t>
  </si>
  <si>
    <t xml:space="preserve">Asig. Direc. </t>
  </si>
  <si>
    <t>Luz</t>
  </si>
  <si>
    <t xml:space="preserve">Kw </t>
  </si>
  <si>
    <t>1.000/100.000</t>
  </si>
  <si>
    <t>Distribución primaria</t>
  </si>
  <si>
    <t>B) DIST. SECUNDARIA</t>
  </si>
  <si>
    <t>Del dpto. Scio médico</t>
  </si>
  <si>
    <t>4.900/100</t>
  </si>
  <si>
    <t>El que más servicio presta</t>
  </si>
  <si>
    <t>Del dpto. Taller mecánico</t>
  </si>
  <si>
    <t>Costo reparacion</t>
  </si>
  <si>
    <t>4.696/11.740</t>
  </si>
  <si>
    <t>El de mayor monto</t>
  </si>
  <si>
    <t>Del dpto. Almacén</t>
  </si>
  <si>
    <t>Mat. Utilizados</t>
  </si>
  <si>
    <t>1.194/59.700</t>
  </si>
  <si>
    <t>Distribución secundaria</t>
  </si>
  <si>
    <t>PRODUCTOS A</t>
  </si>
  <si>
    <t>PRODUCTOS B</t>
  </si>
  <si>
    <t>VNP (unidades)</t>
  </si>
  <si>
    <t>Sistema tradicional</t>
  </si>
  <si>
    <t>Costo ind. total armado</t>
  </si>
  <si>
    <t>Capacidad (en HH)</t>
  </si>
  <si>
    <t xml:space="preserve">T.A.C.F. </t>
  </si>
  <si>
    <t>Costo carga fabril unitario</t>
  </si>
  <si>
    <t>Producto B</t>
  </si>
  <si>
    <t xml:space="preserve">Producto A </t>
  </si>
  <si>
    <t>(3HH/unidad x $38,11/HH)</t>
  </si>
  <si>
    <t>(2HH/unidad x $38,11/HH)</t>
  </si>
  <si>
    <t>A</t>
  </si>
  <si>
    <t>B</t>
  </si>
  <si>
    <t>Concepto</t>
  </si>
  <si>
    <t>Fuerza motriz</t>
  </si>
  <si>
    <t>Materiales indirectos</t>
  </si>
  <si>
    <t>Total Distribución 1°</t>
  </si>
  <si>
    <t>Total Distribución 2°</t>
  </si>
  <si>
    <t>PRESUPUESTO DE GASTOS DEL MES</t>
  </si>
  <si>
    <t>($)</t>
  </si>
  <si>
    <t>Depreciación de edificio</t>
  </si>
  <si>
    <t>Corte</t>
  </si>
  <si>
    <t>HM</t>
  </si>
  <si>
    <t>Depreciación de maquinarias</t>
  </si>
  <si>
    <t>Seguros de maquinarias</t>
  </si>
  <si>
    <t>Impuesto inmobiliario de planta</t>
  </si>
  <si>
    <t>Consumo de energia electrica</t>
  </si>
  <si>
    <t>Refrigerios de planta</t>
  </si>
  <si>
    <t>Medicamentos</t>
  </si>
  <si>
    <t>Materiales de mantenimiento</t>
  </si>
  <si>
    <t>Sueldos personal mantenimiento</t>
  </si>
  <si>
    <t>Sueldos personal control de calidad</t>
  </si>
  <si>
    <t>Sueldos de enfermería</t>
  </si>
  <si>
    <t>Sueldo gerente general de planta</t>
  </si>
  <si>
    <t>KW instalados</t>
  </si>
  <si>
    <t>Control de calidad</t>
  </si>
  <si>
    <t>Mantenimiento de maquinarias</t>
  </si>
  <si>
    <t>Enfermería</t>
  </si>
  <si>
    <t xml:space="preserve">Centro </t>
  </si>
  <si>
    <t>Cantidad de personas</t>
  </si>
  <si>
    <r>
      <t>Superficie edificio (m</t>
    </r>
    <r>
      <rPr>
        <b/>
        <vertAlign val="super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)</t>
    </r>
  </si>
  <si>
    <t>Obreros atendidos en enfermeria</t>
  </si>
  <si>
    <t>Ord. mant.</t>
  </si>
  <si>
    <t>Conceptos</t>
  </si>
  <si>
    <t>Base</t>
  </si>
  <si>
    <t>ENVASADO</t>
  </si>
  <si>
    <t>CALIDAD</t>
  </si>
  <si>
    <t>MANTEN.</t>
  </si>
  <si>
    <t>ENFERMERIA</t>
  </si>
  <si>
    <t>Depreciación del edificio</t>
  </si>
  <si>
    <r>
      <t>Superficie (m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</t>
    </r>
  </si>
  <si>
    <t>Monto invertido en maquinarias y herramientas</t>
  </si>
  <si>
    <t xml:space="preserve">Monto invertido </t>
  </si>
  <si>
    <t>Impuesto inmobiliario planta</t>
  </si>
  <si>
    <t>Consumo energía eléctrica</t>
  </si>
  <si>
    <t>Cant. de personas</t>
  </si>
  <si>
    <t>Obreros atendidos</t>
  </si>
  <si>
    <t>Materiales indirectos depto. de corte</t>
  </si>
  <si>
    <t>Materiales indirectos depto. envasado</t>
  </si>
  <si>
    <t>Materiales depto. calidad</t>
  </si>
  <si>
    <t>Materiales ind. Corte</t>
  </si>
  <si>
    <t>Materiales ind. Envasado</t>
  </si>
  <si>
    <t>Materiales ind. Calidad</t>
  </si>
  <si>
    <t>Materiales ind. Mto.</t>
  </si>
  <si>
    <t>Asignación directa</t>
  </si>
  <si>
    <t>Deshidratado</t>
  </si>
  <si>
    <t>Sueldos de supervisores depto. Corte</t>
  </si>
  <si>
    <t>Sueldos de supervisores depto. envasado</t>
  </si>
  <si>
    <t>Sueldo sup. Corte</t>
  </si>
  <si>
    <t>Sueldo sup. Envasado</t>
  </si>
  <si>
    <t>Sueldo personal Mto.</t>
  </si>
  <si>
    <t>Sueldo personal Calidad</t>
  </si>
  <si>
    <t>Sueldo de enfermería</t>
  </si>
  <si>
    <t>Sueldo gte. general planta</t>
  </si>
  <si>
    <t>Los costos de control de calidad se asignan en función de las hs maquinas</t>
  </si>
  <si>
    <t>Presupuesto de capacidad Normal (*)</t>
  </si>
  <si>
    <t xml:space="preserve">Cierre Enfermería </t>
  </si>
  <si>
    <t>El que menos servicio recibe</t>
  </si>
  <si>
    <t>Cierre Mantenimiento</t>
  </si>
  <si>
    <t>Cierre Control de Calidad</t>
  </si>
  <si>
    <t>Horas máquina</t>
  </si>
  <si>
    <t>Órdenes mto.</t>
  </si>
  <si>
    <t>Distribución terciaria</t>
  </si>
  <si>
    <t>Tasas predeterminadas de aplicación</t>
  </si>
  <si>
    <t>PRESUPUESTADO</t>
  </si>
  <si>
    <t>APLICADO</t>
  </si>
  <si>
    <t>PANR</t>
  </si>
  <si>
    <t>REAL</t>
  </si>
  <si>
    <t>Capacidad (HM)</t>
  </si>
  <si>
    <t>CFF</t>
  </si>
  <si>
    <t>CFV</t>
  </si>
  <si>
    <t>CFT</t>
  </si>
  <si>
    <t xml:space="preserve">HM </t>
  </si>
  <si>
    <t>1) Nivel real = NN x % actividad de planta = 10.000 HM x 97%= 9.700 HM</t>
  </si>
  <si>
    <t>3) TACFF= CIF fijo presupuestado / Nivel normal = $80.000/10.000 HM = $8/HM</t>
  </si>
  <si>
    <t xml:space="preserve">4) Variación presupuesto fija= VP total - VPV = -$1.650 + $600 = -$1.050 </t>
  </si>
  <si>
    <t xml:space="preserve">2) CIF FIJO PRESUPUESTADO = Variación capacidad / % inactividad = -2.400/-0,03 = $80.000 </t>
  </si>
  <si>
    <t>6) CIF VARIABLE REAL= CIF REAL TOTAL - CIF FIJO REAL= $130.150 - $81.050= $49.100</t>
  </si>
  <si>
    <t>8) TACFV= CIF VAR. APLICADO / NIVEL REAL= $48.500/9.700HM= $5,00/HM</t>
  </si>
  <si>
    <t xml:space="preserve">Var. capacidad </t>
  </si>
  <si>
    <t>Var. presup.</t>
  </si>
  <si>
    <t>9) VARIACIÓN NETA= $-2.400 + -$1.650= -$4.050 (Subaplicación de CF)</t>
  </si>
  <si>
    <t>Nivel de capacidad</t>
  </si>
  <si>
    <t>REFERENCIAS DE CÁLCULO</t>
  </si>
  <si>
    <t>1) Capacidad normal= 4 máq. x 8hs. x 3 t. x 25 días= 2.400 HM</t>
  </si>
  <si>
    <t>2) TACFV= $16.080/2.400HM = $6,7/HM.</t>
  </si>
  <si>
    <t>3) TACF= $9.840/2.400HM =  $4,10/HM.</t>
  </si>
  <si>
    <t>4) Nivel real - justificación por diferencia de niveles</t>
  </si>
  <si>
    <t>Var. cap.= (NR - NN) x TACFF</t>
  </si>
  <si>
    <t>Var. capacidad</t>
  </si>
  <si>
    <t xml:space="preserve">NR= -$492/4,10$/HM + 2.400HM = 2.280HM </t>
  </si>
  <si>
    <t>Relación I/P= 2.400HM/3.000 unidades = 0,80HM/unidad</t>
  </si>
  <si>
    <t>5) CIF FIJO APLICADO= CIF FIJO PRES. + VAR. CAP.</t>
  </si>
  <si>
    <t>6) Comprobación: NIVEL REAL= CIF FIJO APLICADO/TACFF = $9.348/4,10$/HM</t>
  </si>
  <si>
    <t xml:space="preserve">7) CIF VAR. REALES= $15.276 - $276 = $15.000 </t>
  </si>
  <si>
    <t>8) VARIACIÓN NETA= $-492 + 276= -$216 (Subaplicación de CF)</t>
  </si>
  <si>
    <t>1) NIVEL NORMAL= 25maq.x20 díasx8hs/día=  4.000HM</t>
  </si>
  <si>
    <t>2) NIVEL REAL= 4.000HM x 0,85 (% de actividad)= 3.400HM</t>
  </si>
  <si>
    <t>4) TACFF= CIF FIJO PRES./NN= $3.000/4.000HM = 0,75$/HM.</t>
  </si>
  <si>
    <t>7) CIF VARIABLE PANR= CIF VAR. APLICADO = CIF VAR. REAL + VAR. PRES. VAR.= $49.100 - $600= $48.500</t>
  </si>
  <si>
    <t>5) CIF FIJO REAL = CIF FIJO PANR - VPF = $80.000 - ($1.050) = $81.050</t>
  </si>
  <si>
    <t>1) Determinar el consumo y costo de materia prima</t>
  </si>
  <si>
    <t>EIMP</t>
  </si>
  <si>
    <t>+COMPRAS</t>
  </si>
  <si>
    <t>-EFMP</t>
  </si>
  <si>
    <t>2) Determinar el costo de MOD</t>
  </si>
  <si>
    <t>3) Completar el cuadro de análisis de carga fabril</t>
  </si>
  <si>
    <t xml:space="preserve">1) </t>
  </si>
  <si>
    <t>4) Determinar el costo unitario del período</t>
  </si>
  <si>
    <t>COSTO MP</t>
  </si>
  <si>
    <t>COSTO MOD</t>
  </si>
  <si>
    <t>CIF APLICADO</t>
  </si>
  <si>
    <t>COSTO DE PRODUCCIÓN</t>
  </si>
  <si>
    <r>
      <t xml:space="preserve">Producción real: 24.000 UMP/ 2UMP/u = </t>
    </r>
    <r>
      <rPr>
        <b/>
        <sz val="10"/>
        <color theme="1"/>
        <rFont val="Arial"/>
        <family val="2"/>
      </rPr>
      <t>12.000 unidades</t>
    </r>
  </si>
  <si>
    <t>Costo MOD=</t>
  </si>
  <si>
    <t>Horas productivas x costo horario</t>
  </si>
  <si>
    <t>9.000 HH x $6/HH</t>
  </si>
  <si>
    <t>13.500 HM</t>
  </si>
  <si>
    <t>10.800 HM (1)</t>
  </si>
  <si>
    <t>10.800 HM</t>
  </si>
  <si>
    <t>40.500 (2)</t>
  </si>
  <si>
    <t>32.400 (3)</t>
  </si>
  <si>
    <t>35.900 (8)</t>
  </si>
  <si>
    <t>2,00 (5)</t>
  </si>
  <si>
    <t>21.600 (4)</t>
  </si>
  <si>
    <t>23.200 (7)</t>
  </si>
  <si>
    <t>59.100 (6)</t>
  </si>
  <si>
    <t>Var. Cap.=</t>
  </si>
  <si>
    <t>Var. Pres.=</t>
  </si>
  <si>
    <t>20 % inactividad --------------- 2.700 HM</t>
  </si>
  <si>
    <t>100% (Nivel normal) ----------13.500 HM</t>
  </si>
  <si>
    <t>80% (Nivel real) ---------------- 10.800 HM</t>
  </si>
  <si>
    <t>2) CIF fijos presupuestados = $3/HM x 13.500 HM = $40.500</t>
  </si>
  <si>
    <t>3) CIF fijos aplicados = $3/HM x 10.800 HM = $32.400</t>
  </si>
  <si>
    <t>4) CIF variables PANR= CIF PANR total - CIF PANR fijo = $62.100 - $40.500 = $21.600</t>
  </si>
  <si>
    <t>5) Tasa de aplicación variable = $21.600/10.800 HM= $2/HM</t>
  </si>
  <si>
    <t>6) CIF real= CIF PANR - Variación pres. fav. = $62.100 - $3.000 = $59.100</t>
  </si>
  <si>
    <t xml:space="preserve">COSTO UNITARIO = </t>
  </si>
  <si>
    <t>$204.000/12.000 unidades</t>
  </si>
  <si>
    <t>COSTO UNITARIO =</t>
  </si>
  <si>
    <t>1) Cuadro completo de variaciones de carga fabril</t>
  </si>
  <si>
    <t>Unidades procesadas= Capacidad real / Relación Insumo-Producto</t>
  </si>
  <si>
    <t>3) Asignación de CIF aplicado para cada orden de fabricación</t>
  </si>
  <si>
    <t xml:space="preserve">OF CA A/09 </t>
  </si>
  <si>
    <t>OF CA B/09</t>
  </si>
  <si>
    <t>4) Incidencia porcentual de cargas sociales</t>
  </si>
  <si>
    <t xml:space="preserve">ICS = </t>
  </si>
  <si>
    <t>[(1 + 0.03 + 0.05 + 0.02 + 0.01) x (1 + 0.0833) x (1 + 0.239) + (0.0107 + 0.0195)]-1 x 100</t>
  </si>
  <si>
    <t>5) Cálculo de las horas productivas e improductivas del mes</t>
  </si>
  <si>
    <t>6) Costo horario de la mano de obra directa</t>
  </si>
  <si>
    <t>Costo horario = $4,56/HH</t>
  </si>
  <si>
    <t>7) Costo de MOD y asignación por cada orden de fabricación</t>
  </si>
  <si>
    <t>Costo MOD =</t>
  </si>
  <si>
    <t>Horas productivas x Costo horario</t>
  </si>
  <si>
    <t>Asignación por cada orden de fabricación</t>
  </si>
  <si>
    <t>8) Consumo de materia prima 1 en litros. Valorización y asignación por cada orden</t>
  </si>
  <si>
    <t>Materia prima 1</t>
  </si>
  <si>
    <t>UEPS</t>
  </si>
  <si>
    <t>212.5 x 0.70 87.50 x 0.80</t>
  </si>
  <si>
    <t>OF A/09=</t>
  </si>
  <si>
    <t>OF B/09=</t>
  </si>
  <si>
    <t>Materia prima 2</t>
  </si>
  <si>
    <t>G/ 08</t>
  </si>
  <si>
    <t>A/ 09</t>
  </si>
  <si>
    <t>B/09</t>
  </si>
  <si>
    <t>TOTAL</t>
  </si>
  <si>
    <t>EI PT</t>
  </si>
  <si>
    <t>PRODUCCIÓN</t>
  </si>
  <si>
    <t>Consumo MP 1</t>
  </si>
  <si>
    <t>Consumo MP 2</t>
  </si>
  <si>
    <t>Costo MOD</t>
  </si>
  <si>
    <t>CIF aplicado</t>
  </si>
  <si>
    <t>TOTAL CP</t>
  </si>
  <si>
    <t>- EF PT</t>
  </si>
  <si>
    <t>COSTO PTyV</t>
  </si>
  <si>
    <t>11) Confeccionar el estado de resultado para el mes de septiembre</t>
  </si>
  <si>
    <t>Ventas</t>
  </si>
  <si>
    <t>[1500 un. (OF G/08) +2400 un. (OF A/09)] x 7$/u</t>
  </si>
  <si>
    <t>CPTyV</t>
  </si>
  <si>
    <t>dato extraído del estado de costos</t>
  </si>
  <si>
    <t>Utilidad bruta</t>
  </si>
  <si>
    <t>Gastos Adm.</t>
  </si>
  <si>
    <t xml:space="preserve">Gastos Com. </t>
  </si>
  <si>
    <t>3% s /ventas $819 + 0,25$/u vendida $975</t>
  </si>
  <si>
    <t>Subaplicación CF</t>
  </si>
  <si>
    <t>variación capacidad + variación presupuesto</t>
  </si>
  <si>
    <t>Imp. MOD</t>
  </si>
  <si>
    <t>Utilidad neta</t>
  </si>
  <si>
    <t>3.000 HM</t>
  </si>
  <si>
    <t>2.625 HM</t>
  </si>
  <si>
    <t>13.725 (1)</t>
  </si>
  <si>
    <t>1) CIF PANR total = CIF reales totales + variación pres. desf. = 14.110 - 385 = $13.725</t>
  </si>
  <si>
    <t>2.625 HM (2)</t>
  </si>
  <si>
    <t>2) Nivel real = 3.000 HM x (1-0,125) = 2.625 HM</t>
  </si>
  <si>
    <t>3) TACF fija = $9.000 / 3.000HM = $3/HM</t>
  </si>
  <si>
    <t>3,00 (3)</t>
  </si>
  <si>
    <t>1,80 (4)</t>
  </si>
  <si>
    <t>Sin datos</t>
  </si>
  <si>
    <t>4) TACF variable= $4.725 / 2.625HM = $1,80/HM</t>
  </si>
  <si>
    <t>2) Cantidad de unidades producidas en el mes (basado en el nivel de CIF)</t>
  </si>
  <si>
    <t>Relación Insumo/Producto 0,5 HM/unid.</t>
  </si>
  <si>
    <t>Unidades procesadas= 2.625 HM/0,5 HM/u = 5.250 unidades</t>
  </si>
  <si>
    <t>Of A/09 2.400u (la orden se completó y vendió en el mes)</t>
  </si>
  <si>
    <t>Horas normales (Cap. Normal)</t>
  </si>
  <si>
    <t>12 op. x 25 días x 8 horas/día</t>
  </si>
  <si>
    <t xml:space="preserve">Jornal bruto = $7.200/2.400 HH = $3/HH. </t>
  </si>
  <si>
    <t>5.250 unidades x 0.4HH/unidad</t>
  </si>
  <si>
    <t>2.100 HH x $4,56/HH</t>
  </si>
  <si>
    <t>2.400 x 0,4HH/u x $4,56/HM= $4,377.60</t>
  </si>
  <si>
    <t>2.850 x 0,4HH/u x $4,56/HM= $5,198.40</t>
  </si>
  <si>
    <t>2.400 x 0,5HM/u x $4,80/HM= $5.760</t>
  </si>
  <si>
    <t>2.850 x 0,5HM/u x $4,80/HM= $6.840</t>
  </si>
  <si>
    <t>Costo horario = $3/HH x (1 + 0,52)</t>
  </si>
  <si>
    <t>2.400 unidades x 0,25 lt./un x $0,80/lt. = $480</t>
  </si>
  <si>
    <t>Consumo= 5.250 x 0,25litros/u = 1312,50 litros</t>
  </si>
  <si>
    <t>2.850 unidades x 0,25 lt/un. x $0,80/lt. = $570</t>
  </si>
  <si>
    <t>9) Consumo de materia prima 2 en kilogramos. Valorización y asignación por cada orden</t>
  </si>
  <si>
    <t xml:space="preserve">Consumo= 5.250 x 0,2 kg/u. = 1.050 kg. </t>
  </si>
  <si>
    <t>2.400 unidades x 0,2 kg/un. x $2/kg. = $960</t>
  </si>
  <si>
    <t>2.850 unidades x 0,2 kg/un. x $2/kg. = $1.140</t>
  </si>
  <si>
    <t>10) Confeccionar el estado de costos por cada orden y el total del mes</t>
  </si>
  <si>
    <t>1) Determinación de la producción del período</t>
  </si>
  <si>
    <t>18 operarios x 22 días x 8 horas/día</t>
  </si>
  <si>
    <t>diferencia entre las horas trabajadas y productivas</t>
  </si>
  <si>
    <t>Producción real "A10" x I/P A + Producción real "B20" x I/P B = HORAS PRODUCTIVAS</t>
  </si>
  <si>
    <t>Producción real "B20" = 866,67 unidades (se redondeará a 867 unidades)</t>
  </si>
  <si>
    <t>Costo horario= jornal x (1 + incidencia de cargas sociales)</t>
  </si>
  <si>
    <t>Costo horario= $2.625/HH x (1+ 0.60)</t>
  </si>
  <si>
    <t>Costo horario= $4.20/HH</t>
  </si>
  <si>
    <t>Costo MOD= Horas productivas x CH</t>
  </si>
  <si>
    <t>2) Cálculo del consumo de materia prima</t>
  </si>
  <si>
    <t xml:space="preserve">3) Análisis de variaciones de carga fabril </t>
  </si>
  <si>
    <t>4) Estado de costos</t>
  </si>
  <si>
    <t>OF. A10 - Composición de la orden: 4.000 unidades</t>
  </si>
  <si>
    <t>Costo unitario - Producto "A10"</t>
  </si>
  <si>
    <t xml:space="preserve">Cantidad </t>
  </si>
  <si>
    <t>Costo unitario</t>
  </si>
  <si>
    <t xml:space="preserve">MP </t>
  </si>
  <si>
    <t>EIPT</t>
  </si>
  <si>
    <t>3 kg./unidad x $5,00/kg.</t>
  </si>
  <si>
    <t>MOD</t>
  </si>
  <si>
    <t>I/P x costo horario (CH)</t>
  </si>
  <si>
    <t>-EFPT</t>
  </si>
  <si>
    <t>CTPyV</t>
  </si>
  <si>
    <t>CF</t>
  </si>
  <si>
    <t>I/P x TACF</t>
  </si>
  <si>
    <t xml:space="preserve">3 HM/unidad x $3.81/HM </t>
  </si>
  <si>
    <t xml:space="preserve">COSTO UNITARIO TOTAL </t>
  </si>
  <si>
    <t>OF B20 - Composición de la orden: 1.400 unidades</t>
  </si>
  <si>
    <t>Costo unitario - Producto "B20"</t>
  </si>
  <si>
    <t>5) Estado de Resultados</t>
  </si>
  <si>
    <t xml:space="preserve">3% s /ventas </t>
  </si>
  <si>
    <t>Variación capacidad + variación presupuesto</t>
  </si>
  <si>
    <t>(imp. informada + imp. oculta) x CH= 368HH x 4,20$/hh</t>
  </si>
  <si>
    <t>Carga Fabril</t>
  </si>
  <si>
    <t>1) Cuadro de análisis de variaciones de Carga Fabril</t>
  </si>
  <si>
    <t>2) Determinación de la producción del período por orden de fabricación</t>
  </si>
  <si>
    <t>Producción OF N° 4100 = Composición de la orden - Existencia inicial de PT</t>
  </si>
  <si>
    <t>Producción real "100 A" x I/P A + Producción real "200 B" x I/P B = Capacidad real (HM)</t>
  </si>
  <si>
    <t>Materia prima</t>
  </si>
  <si>
    <t xml:space="preserve">Consumo de MP:Producción real "100 A" x I/P A + Producción real "200 B" x I/P B </t>
  </si>
  <si>
    <t xml:space="preserve">Consumo de MP: </t>
  </si>
  <si>
    <t xml:space="preserve">Mano de obra directa </t>
  </si>
  <si>
    <t>25 operarios x 201 horas/mes</t>
  </si>
  <si>
    <t>por diferencia entre horas productivas y trabajadas</t>
  </si>
  <si>
    <t>Costo horario = jornal o tarifa x (1 + incidencia de cargas sociales)</t>
  </si>
  <si>
    <t>Costo horario = $5/HH x (1+ 0.50)</t>
  </si>
  <si>
    <t>Costo horario = $7,5/HH</t>
  </si>
  <si>
    <t>Incidencia de cargas sociales= [(1 + 0.10) x (1 + 0.0833) x (1 + 0.239) + (0.01 + 0.01357)] - 1 x 100</t>
  </si>
  <si>
    <t>Incidencia de cargas sociales= 0.50</t>
  </si>
  <si>
    <t>Costo MOD = Horas productivas x costo horario</t>
  </si>
  <si>
    <t>3) Estado de costos para cada orden de fabricación</t>
  </si>
  <si>
    <t>OF. N° 4100 - Composición de la orden: 2.500 unidades</t>
  </si>
  <si>
    <t>1 kg./unidad x $4,00/kg.</t>
  </si>
  <si>
    <t>1.5 HH/unidad x $7,5/HH</t>
  </si>
  <si>
    <t xml:space="preserve">2 HM/unidad x $7.00/HM </t>
  </si>
  <si>
    <t>OF 5200 - Composición de la orden: 2.100 unidades</t>
  </si>
  <si>
    <t>2 kg./unidad x $4,00/kg.</t>
  </si>
  <si>
    <t>2 HH/unidad x $7.5/HH</t>
  </si>
  <si>
    <t xml:space="preserve">2.5 HM/unidad x $7/HM </t>
  </si>
  <si>
    <t xml:space="preserve">4) Estado de Resultados </t>
  </si>
  <si>
    <t xml:space="preserve">4% s /ventas </t>
  </si>
  <si>
    <t>(imp. informada + imp. oculta) x CH= 505HH x 7.50$/hh</t>
  </si>
  <si>
    <t xml:space="preserve"> </t>
  </si>
  <si>
    <t>-6.437,5 = (NR - 6.437,50) x $5/HM</t>
  </si>
  <si>
    <t>NR = 5.150 HM</t>
  </si>
  <si>
    <t>Var. Presupuesto = 42.487,50 - 43.792</t>
  </si>
  <si>
    <t>Var. Presupuesto = -$1.304,50</t>
  </si>
  <si>
    <t>Capacidad</t>
  </si>
  <si>
    <t>6.437,5 HM</t>
  </si>
  <si>
    <t>5.150 HM (1)</t>
  </si>
  <si>
    <t>2) TACFV= $12.875/6.437,50HM = 2,00$/HM.</t>
  </si>
  <si>
    <t>3) TACFF= $32.187,5/6.437,5HM = 5,00$/HM.</t>
  </si>
  <si>
    <t>5,00 (3)</t>
  </si>
  <si>
    <t>2,00 (2)</t>
  </si>
  <si>
    <t xml:space="preserve">1) Variación cap.= (NR - NN) x TACFF </t>
  </si>
  <si>
    <t>Var. Pres. (4)=</t>
  </si>
  <si>
    <t xml:space="preserve">Variación neta (subaplicación de CF)= </t>
  </si>
  <si>
    <t xml:space="preserve">Producción OF N° 4100 = 2.500 - 1.500 = 1.000 unidades. </t>
  </si>
  <si>
    <t>1.000 unidades x 2 HM/unidad + Producción real "200 B" x 2,5 HM/unidad = 5.150 HM</t>
  </si>
  <si>
    <t>Producción real "200 B"= 1.260 unidades</t>
  </si>
  <si>
    <t>Consumo de MP: 1.000 unidades x 1 kg./unidad + 1.260 unidades x 2kg./unidad</t>
  </si>
  <si>
    <t xml:space="preserve">3.520 kg. </t>
  </si>
  <si>
    <t>Horas productivas: 1.000 unidades x 1,5HH/unidad + 1.260 unidades x 2 HH/unidad</t>
  </si>
  <si>
    <t>Horas productivas: 4.020 HH</t>
  </si>
  <si>
    <t>Costo MOD = 4.020 HH x $7,5/HH</t>
  </si>
  <si>
    <t>Costo MOD= $30.150</t>
  </si>
  <si>
    <t>3.000 unidades x 0,5/unidad + Producción real "B20" x 1,5HH/unidad = 2.800 HH</t>
  </si>
  <si>
    <t>Costo MOD= 2.800 HH x $4,20/HH</t>
  </si>
  <si>
    <t>Costo MOD= $11.760</t>
  </si>
  <si>
    <t xml:space="preserve">Consumo MP= 3.000 unidades x 3kg./unidad + 867 unidades x 3kg./u </t>
  </si>
  <si>
    <t xml:space="preserve">Consumo MP= 11.600 kg. </t>
  </si>
  <si>
    <t>11.600 HM</t>
  </si>
  <si>
    <t>12.083,33 HM (1)</t>
  </si>
  <si>
    <t>1) Nivel normal= 11.600 HM/ (1 - 0,04) = 12.0833,33 HM</t>
  </si>
  <si>
    <t>2,15 (2)</t>
  </si>
  <si>
    <t>1,66 (3)</t>
  </si>
  <si>
    <t xml:space="preserve">2) TACFF= $24.960/11.600 HM= 2,15$/HM. </t>
  </si>
  <si>
    <t>3) TACFV= $19.200/11.600 HM= 1,66$/HM.</t>
  </si>
  <si>
    <t xml:space="preserve">45.528 (4) </t>
  </si>
  <si>
    <t>4) CIF TOTALES REALES= 45.200 + 328 = $45.528</t>
  </si>
  <si>
    <t>5) Var. Capacidad= 44.160 - 45.200= -$1.040</t>
  </si>
  <si>
    <t>Var. Cap.(5)=</t>
  </si>
  <si>
    <t>1,5 HH/unidad x $4,20/HH</t>
  </si>
  <si>
    <t>0,5 HH/unidad x $4,20/HH</t>
  </si>
  <si>
    <t xml:space="preserve">3 HM/unidad x $3,81/HM </t>
  </si>
  <si>
    <t xml:space="preserve">Variación neta (subaplicación de CF) = </t>
  </si>
  <si>
    <t>Producción Procesada Computable (PPC)</t>
  </si>
  <si>
    <t>PP/(1+ t) = 20000u / (1 + 0.04) = 19231u</t>
  </si>
  <si>
    <t>Producción Procesada Buen Estado (PPBE)</t>
  </si>
  <si>
    <t>PP – DT = 20000u – 2400u = 17600u</t>
  </si>
  <si>
    <t>Desperdicio Normal (DN)</t>
  </si>
  <si>
    <t>t. PPBE = 0.04 x 17600u = 704u</t>
  </si>
  <si>
    <t>Desperdicio Extraordinario (DE)</t>
  </si>
  <si>
    <t>DT – DN = 2400u – 704u = 1696u</t>
  </si>
  <si>
    <t>Desperdicio Extraordinario Computable (DEC)</t>
  </si>
  <si>
    <t>DE / ( 1 + t ) = 1696u / (1 + 0.04) = 1631u</t>
  </si>
  <si>
    <t>Inventario Final Producción Procesada (IFPP)</t>
  </si>
  <si>
    <t>PPBE – PT + IIPP = 14400u – 10000u + 5000u = 9400u</t>
  </si>
  <si>
    <t>PP – DT = 15000u – 600u = 14400u</t>
  </si>
  <si>
    <t>t. PPBE = 0.02 x 14400u = 288u</t>
  </si>
  <si>
    <t>DT – DN = 600u – 288u = 312u</t>
  </si>
  <si>
    <t>DE / ( 1 + t ) = 312u / (1 + 0.02) = 306u</t>
  </si>
  <si>
    <t>PPBE + DEC = 14400u + 306u = 14706u</t>
  </si>
  <si>
    <t>Caso N° 2</t>
  </si>
  <si>
    <t>Caso N° 1</t>
  </si>
  <si>
    <t>Caso N° 3</t>
  </si>
  <si>
    <t>PPBE – PT + IIPP = 21000u – 20000u + 6400u = 7400u</t>
  </si>
  <si>
    <t xml:space="preserve">PP – DT = 21800u – 800u = 21000u </t>
  </si>
  <si>
    <t>t x PPBE = 0.02 x 21000u = 420u</t>
  </si>
  <si>
    <t xml:space="preserve">DT – DN =800u – 420u = 380u </t>
  </si>
  <si>
    <t>DE / (1+t) = 380u / (1+0.02) = 373u</t>
  </si>
  <si>
    <t>PP / (1+t) = 21800u / 1.02 = 21373u</t>
  </si>
  <si>
    <t>Elem.</t>
  </si>
  <si>
    <t>PTyT (5)</t>
  </si>
  <si>
    <t>IFPP</t>
  </si>
  <si>
    <t>IIPP</t>
  </si>
  <si>
    <t>PPBE</t>
  </si>
  <si>
    <t>DESPERDICIOS</t>
  </si>
  <si>
    <t>PPC</t>
  </si>
  <si>
    <t>PP</t>
  </si>
  <si>
    <t>Un. Físicas</t>
  </si>
  <si>
    <t>%</t>
  </si>
  <si>
    <t>U. eq.</t>
  </si>
  <si>
    <t>DT (4)</t>
  </si>
  <si>
    <t>DN</t>
  </si>
  <si>
    <t>DE</t>
  </si>
  <si>
    <t>DEC</t>
  </si>
  <si>
    <t>MP</t>
  </si>
  <si>
    <t>860 (1)</t>
  </si>
  <si>
    <t>17 (2)</t>
  </si>
  <si>
    <t>122 (3)</t>
  </si>
  <si>
    <t>888 (6)</t>
  </si>
  <si>
    <t>1) SI PPC= PPBE + DEC entonces PPBE = PPC-DEC = 980 -120 = 860</t>
  </si>
  <si>
    <t>2) DN MP= PPBE x t = 860 *0,02 = 17</t>
  </si>
  <si>
    <t>3) DEC= DE/1,02 = 120 x 1,02=122</t>
  </si>
  <si>
    <t>4) DT= DN+DE= 17+122= 139</t>
  </si>
  <si>
    <t>5) PTyT+IFPP-IIPP= PPBE entonces PTyT= PPBE -IFPP+IIPP = 860-216+200 = 844</t>
  </si>
  <si>
    <t>6) PPBE= 844+144-100= 888</t>
  </si>
  <si>
    <t>Costos incurridos</t>
  </si>
  <si>
    <t>MP= 3000KGX 3$/KG=</t>
  </si>
  <si>
    <t>MOD= 2000HHX 3$/HH=</t>
  </si>
  <si>
    <t>CIF= 2000HH X 2$/HH=</t>
  </si>
  <si>
    <t>Costo</t>
  </si>
  <si>
    <t>CIF</t>
  </si>
  <si>
    <t>$/UEQ</t>
  </si>
  <si>
    <t>(Como PT es menor que la PPBE, queda valuado al último costo)</t>
  </si>
  <si>
    <t>PTyT</t>
  </si>
  <si>
    <t>Costo de la EFPP</t>
  </si>
  <si>
    <t>EFPP</t>
  </si>
  <si>
    <t>$500/100 ueq = $5/ueq.</t>
  </si>
  <si>
    <t xml:space="preserve">$300/100 ueq. = $3/ueq. </t>
  </si>
  <si>
    <t>16 x 9.184 + 200 x 9</t>
  </si>
  <si>
    <t xml:space="preserve">44 x 5.958 + 100 x 5 </t>
  </si>
  <si>
    <t xml:space="preserve">44 x 3.972 + 100 x 3 </t>
  </si>
  <si>
    <t xml:space="preserve">$1.800/200 ueq = $9/ueq. </t>
  </si>
  <si>
    <t>DT</t>
  </si>
  <si>
    <t>DN (2)</t>
  </si>
  <si>
    <t>Referencias:</t>
  </si>
  <si>
    <t>2) t= (PP/PPC) - 1= (8,960/8,296) - 1 = 8%</t>
  </si>
  <si>
    <t>2) Determinación del costo unitario de la PPC</t>
  </si>
  <si>
    <t>EI MP</t>
  </si>
  <si>
    <t xml:space="preserve">+ Compra </t>
  </si>
  <si>
    <t>- EF MP</t>
  </si>
  <si>
    <t>Consumo</t>
  </si>
  <si>
    <t xml:space="preserve">MOD </t>
  </si>
  <si>
    <t>(9) 2.000</t>
  </si>
  <si>
    <t>(8) 1.260</t>
  </si>
  <si>
    <t>(10) 4.000</t>
  </si>
  <si>
    <t>(11) 78</t>
  </si>
  <si>
    <t>(12) 2.400</t>
  </si>
  <si>
    <t>(4) 8.140</t>
  </si>
  <si>
    <t>(13) 8.600</t>
  </si>
  <si>
    <t>(13) 8.880</t>
  </si>
  <si>
    <t>(12) 2.080</t>
  </si>
  <si>
    <t>(3) 820</t>
  </si>
  <si>
    <t>(5) 651</t>
  </si>
  <si>
    <t>(6) 169</t>
  </si>
  <si>
    <t>(7) 156</t>
  </si>
  <si>
    <t>(14) 8.772</t>
  </si>
  <si>
    <t>(14) 8.982</t>
  </si>
  <si>
    <t>(15) 9.420</t>
  </si>
  <si>
    <t>(15) 9.700</t>
  </si>
  <si>
    <t>3) Valuación Producto Terminado por el método PEPS</t>
  </si>
  <si>
    <t>(1) 8.960</t>
  </si>
  <si>
    <t xml:space="preserve">1) PP MP= 22.400 kg./ 2,5 kg./up = 8.960u.  </t>
  </si>
  <si>
    <t xml:space="preserve">3) DT= 2.050 kg./2,5 kg/up. = 820 u.  </t>
  </si>
  <si>
    <t xml:space="preserve">4) PPBE= PP - DT = 8.960 - 820 = 8.140u. </t>
  </si>
  <si>
    <t>5) DN= t x PPBE = 0,08 x 8.140 = 651 u.</t>
  </si>
  <si>
    <t>(5) 688</t>
  </si>
  <si>
    <t>(5) 710</t>
  </si>
  <si>
    <t>8.600 x 0,08 = 688 u.</t>
  </si>
  <si>
    <t>8.880 x 0,08 = 710 u.</t>
  </si>
  <si>
    <t>(6) 132</t>
  </si>
  <si>
    <t>(6) 110</t>
  </si>
  <si>
    <t>820 - 710 = 110 u.</t>
  </si>
  <si>
    <t>820 - 688 = 132 u.</t>
  </si>
  <si>
    <t xml:space="preserve">6) DE= DT - DN = 820 - 651 = 169 u. </t>
  </si>
  <si>
    <t>(7) 122</t>
  </si>
  <si>
    <t>(7) 102</t>
  </si>
  <si>
    <t>7) DEC = PPC - PPBE = 8960 - 8140 = 156 u.</t>
  </si>
  <si>
    <t>DE/(1+t) = 132 / 1.08 = 122 u.</t>
  </si>
  <si>
    <t>110/1,08 = 102 u.</t>
  </si>
  <si>
    <t xml:space="preserve">8) EFPP = PPBE + EIPP - PT = 8.140 + 3.120 - 10.000 = 1.260 ueq. </t>
  </si>
  <si>
    <t xml:space="preserve">9) EFPPuf = EFPPueq. / % avance = 1.260/0,63 = 2.000 un. </t>
  </si>
  <si>
    <t xml:space="preserve">10) EIPP uf= 2.200 / 2,5= 880 u. (lo que faltó agregar a la EIPP para ser PTyT) + 3.120 ueq= 4.000 un. </t>
  </si>
  <si>
    <t>11) % avance = EIPPueq. / EIPP uf= 3.120/4.000 = 78%</t>
  </si>
  <si>
    <t xml:space="preserve">12) EIPP ueq. = EIPP uf x % avance = 4.000 x 0.60 = 2.400 ueq. </t>
  </si>
  <si>
    <t xml:space="preserve">4.000 x 0,52 = 2.080 ueq. </t>
  </si>
  <si>
    <t xml:space="preserve">13) PPBE = PT + EFPP - EIPP = 10.000 + 1.000 - 2.400 = 8.600 ueq. </t>
  </si>
  <si>
    <t xml:space="preserve">10.000 + 960 - 2.080 = 8.880 ueq. </t>
  </si>
  <si>
    <t>14) PPC = PPBE + DEC = 8.600 + 122 = 8.722 ueq.</t>
  </si>
  <si>
    <t xml:space="preserve">8.880 + 102 = 8.982 ueq. </t>
  </si>
  <si>
    <t xml:space="preserve">15) PP= PPBE + DT= 8.600 + 820 = 9.420 un. </t>
  </si>
  <si>
    <t xml:space="preserve">8.880 + 820 = 9.700 un. </t>
  </si>
  <si>
    <t xml:space="preserve">2.000 x 4 20.400 x 4,2 </t>
  </si>
  <si>
    <r>
      <t xml:space="preserve">MP= 93.680/8.296 = </t>
    </r>
    <r>
      <rPr>
        <b/>
        <sz val="10"/>
        <color theme="1"/>
        <rFont val="Arial"/>
        <family val="2"/>
      </rPr>
      <t>$11,2922</t>
    </r>
  </si>
  <si>
    <r>
      <t xml:space="preserve">MOD= 77.625,80/8.722 = </t>
    </r>
    <r>
      <rPr>
        <b/>
        <sz val="10"/>
        <color theme="1"/>
        <rFont val="Arial"/>
        <family val="2"/>
      </rPr>
      <t>$8,9</t>
    </r>
  </si>
  <si>
    <r>
      <t xml:space="preserve">CF= 70.500,85/8.982 = </t>
    </r>
    <r>
      <rPr>
        <b/>
        <sz val="10"/>
        <color theme="1"/>
        <rFont val="Arial"/>
        <family val="2"/>
      </rPr>
      <t>$7,8491</t>
    </r>
  </si>
  <si>
    <t xml:space="preserve">3.120 x 10 </t>
  </si>
  <si>
    <t>6.880 x 11,29</t>
  </si>
  <si>
    <t>2.400 x 8,2</t>
  </si>
  <si>
    <t>7.600 x 8,9</t>
  </si>
  <si>
    <t>7.920 x 7,849</t>
  </si>
  <si>
    <t>2.080 x 7,5</t>
  </si>
  <si>
    <t>MOD                     IIPP</t>
  </si>
  <si>
    <t>Ueq.</t>
  </si>
  <si>
    <t>2.400 (DATO)</t>
  </si>
  <si>
    <t>Relación I/P= 91 operarios x 8h/d x 25 días/mes = 18.200 HH (capacidad normal)/10.000 unidades de producción normal = 1.82 HH/u.</t>
  </si>
  <si>
    <t xml:space="preserve">2.912HH (dato del ejercicio)/1.82 HH/unidad (Relación I/P) = 1.600ueq (lo que le faltaba agregar a las 2400 ueq. para terminar las unidades físicas del IIPP). </t>
  </si>
  <si>
    <t xml:space="preserve">unidades </t>
  </si>
  <si>
    <t>1600ueq+2400ueq=  4.000 u físicas IIPP --------  100%</t>
  </si>
  <si>
    <t>2.400ueq. ------------------------ 60%</t>
  </si>
  <si>
    <t>Cap. Normal (91op. x 8h/d x 25d)</t>
  </si>
  <si>
    <t>18.200 HH</t>
  </si>
  <si>
    <t>Ausencias  (2opx14dx8h/d + 1opx17dx8h/d)</t>
  </si>
  <si>
    <t>(360 HH)</t>
  </si>
  <si>
    <t>Hs. presencia</t>
  </si>
  <si>
    <t>17.840 HH</t>
  </si>
  <si>
    <t>Hs. improductividad informada (dato)</t>
  </si>
  <si>
    <t>(252 HH)</t>
  </si>
  <si>
    <t>Hs. trabajadas</t>
  </si>
  <si>
    <t>17.588 HH</t>
  </si>
  <si>
    <t>Hs. improductividad oculta (dato)</t>
  </si>
  <si>
    <t>(443,60 HH)</t>
  </si>
  <si>
    <t>Hs. productivas</t>
  </si>
  <si>
    <t>17.144,40 HH</t>
  </si>
  <si>
    <t>PP= Horas hombre productivas / Relación I/P = 17.144,40 HH/1,82 HH/u</t>
  </si>
  <si>
    <t xml:space="preserve">Rta: 9.420 un. </t>
  </si>
  <si>
    <t>Rta: 8%</t>
  </si>
  <si>
    <t>PPC= PP/ (1+t)   t= (PP/PPC)-1</t>
  </si>
  <si>
    <t>t= (9.420u/8.722u.) – 1 = 0,08 = 8%</t>
  </si>
  <si>
    <t>Rta: 820 un.</t>
  </si>
  <si>
    <t>DT= 1492,40 HH / 1,82 HH/u</t>
  </si>
  <si>
    <t>PPBE= PP – DT = 9.420u. – 820u.</t>
  </si>
  <si>
    <t>Rta: 8.600un.</t>
  </si>
  <si>
    <t>MOD                     IFPP</t>
  </si>
  <si>
    <t>PT= PPBE+IIPP – IFPP</t>
  </si>
  <si>
    <t>IFPP ueq.= PPBE+IIPP-PT= 8.600u + 2.400ueq. – 10.000u= 1.000ueq.</t>
  </si>
  <si>
    <t>IFPP ueq.= 1.000ueq. con un 50% de grado de avance= 2.000 unidades físicas.</t>
  </si>
  <si>
    <t xml:space="preserve">DE= DT –DN = DT – (t x PPBE) = 820un. – (0,08 x 8.600un.) = 820u – 688u= 132 ueq. </t>
  </si>
  <si>
    <t>Rta: 132 un.</t>
  </si>
  <si>
    <t>COSTO INCURRIDO  / PPC = COSTO UNITARIO PPC</t>
  </si>
  <si>
    <t>$79.378,572 / 8.722 = 9,1009 $/UEQ</t>
  </si>
  <si>
    <t>Costo MOD= horas productivas x costo horario= 17.144,40 HH x 4,63$/HH=$79.378,57</t>
  </si>
  <si>
    <t>Rta.: $1.110,3</t>
  </si>
  <si>
    <t>DEC = 122 ueq x 9,1009 $/ueq</t>
  </si>
  <si>
    <t>PEPS</t>
  </si>
  <si>
    <t>Producción terminada y transferida</t>
  </si>
  <si>
    <t>2.400 x $8,20 (IIPP)
7.600 x $9,1009 (Resto)</t>
  </si>
  <si>
    <t>Rta: $88.847,30</t>
  </si>
  <si>
    <t>Rta: $9.100,9</t>
  </si>
  <si>
    <t>EF de producto en proceso</t>
  </si>
  <si>
    <t>1.000 ueq.</t>
  </si>
  <si>
    <t>Costo incurrido +  valuación IIPP =  PTyT + IFPP + DEC</t>
  </si>
  <si>
    <t>$79.378,57 + $19.680 = $88.847,30 + $9100,9 + 1.110,30</t>
  </si>
  <si>
    <t>99.058,57      =    $99.058,50</t>
  </si>
  <si>
    <t>Si 5000 HM = 10.000 u; entonces 1 unidad = ½ HM</t>
  </si>
  <si>
    <t>410 HM / 1/2HM/u = 820 unidades</t>
  </si>
  <si>
    <t xml:space="preserve">DE = DT – DN = DT – (t x PPBE) = 820 – (8880 x 8%) = 820 – 710 = 110 unidades equivalentes. </t>
  </si>
  <si>
    <t>$/ueq.</t>
  </si>
  <si>
    <t>Valuación Desperdicio Extraordinario Computable</t>
  </si>
  <si>
    <t>DEC = DE/ (1+t) = 110/1.08 = 101 ueq x $ 7.85 $/ueq = $ 792.85</t>
  </si>
  <si>
    <t>2.020 x $7,50
7.920 x $7,85</t>
  </si>
  <si>
    <t>960 ueq.</t>
  </si>
  <si>
    <t>Si 4850 HM = 97%; el 100% = 4850HM/0.97 = 5.000 HM</t>
  </si>
  <si>
    <t>960 HM/1/2HM/u = 1.920 ueq (le faltaban para terminar IIPP)</t>
  </si>
  <si>
    <t>unidades físicas = 2.080 + 1.920 = 4.000 unidades</t>
  </si>
  <si>
    <t>Si 4.000 = 100%</t>
  </si>
  <si>
    <t xml:space="preserve">2.080 unidades equivalentes = x = 2.080/4.000 = 52% </t>
  </si>
  <si>
    <t>4.850 HM/1/2 HM/u = 9.700 unidades</t>
  </si>
  <si>
    <t>PPC = PP / (1+t) = (PP/PPC)-1 = (9.700/8.981)-1 = 8%</t>
  </si>
  <si>
    <t>PPBE = PP – DT = 9.700 – 820 = 8.880 unidades</t>
  </si>
  <si>
    <t>CIF APLICADO = $ 26.850,85 + 9 $/HM * 4.850 HM = $ 70.500,85</t>
  </si>
  <si>
    <t>5000 HM * 3% (inactividad) = 150 HM x 9 $/HM = $ 1.350 (desfavorable)</t>
  </si>
  <si>
    <r>
      <t>Consumo MP:  3.000 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. </t>
    </r>
  </si>
  <si>
    <t xml:space="preserve">Las compras del 15/1 se determinaron por diferencia. </t>
  </si>
  <si>
    <t>COMPRAS 15/1: CONSUMO + EFMP - COMPRAS 2/1 - EIMP</t>
  </si>
  <si>
    <r>
      <t>Consumo MP:  12.000 unidades x 0,25m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/unidad</t>
    </r>
  </si>
  <si>
    <t>500 x $0,25</t>
  </si>
  <si>
    <t>1.500 x $0,26</t>
  </si>
  <si>
    <t>1.000 x $0,27</t>
  </si>
  <si>
    <t>COMPRAS 15/1: 3.000 + 1.000 - 1.500 - 500</t>
  </si>
  <si>
    <t xml:space="preserve">COMPRAS 15/1: 2.000 MTS. </t>
  </si>
  <si>
    <t xml:space="preserve">Se calcula por diferencia. </t>
  </si>
  <si>
    <t>40 op. x 25 días x 7,5hs./mes</t>
  </si>
  <si>
    <t xml:space="preserve">9 op.x 14 días x 7,5hs./mes </t>
  </si>
  <si>
    <t>2 operarios ausentes injustificadamente</t>
  </si>
  <si>
    <t>Se cumplió la Relación Insumo-Producto</t>
  </si>
  <si>
    <t>Insumo</t>
  </si>
  <si>
    <t>Producto</t>
  </si>
  <si>
    <t>6.000 HH</t>
  </si>
  <si>
    <t>12.000 Un.</t>
  </si>
  <si>
    <t xml:space="preserve">Producción real: </t>
  </si>
  <si>
    <t>OF. A 3/1</t>
  </si>
  <si>
    <t>OF. B 10/1</t>
  </si>
  <si>
    <t>OF. C 16/1</t>
  </si>
  <si>
    <t>Incidencia de cargas sociales= [(1 + 0.04 + 0.05 + 0.01) x (1 + 0.0833) x (1 + 0.239) + (0.0135 + 0.01008)] - 1 x 100</t>
  </si>
  <si>
    <t xml:space="preserve">Incidencia de cargas sociales= </t>
  </si>
  <si>
    <t xml:space="preserve">Costo horario: </t>
  </si>
  <si>
    <t xml:space="preserve">Costo horario: Tarifa x (1 + Incidencia de Cargas Sociales)  </t>
  </si>
  <si>
    <t>Costo horario: $5/HH x (1+0,50)</t>
  </si>
  <si>
    <t>OF. A 3/1 - Se entrega al cliente</t>
  </si>
  <si>
    <t>6.000 HM</t>
  </si>
  <si>
    <t>Nivel real: 2.880 HM</t>
  </si>
  <si>
    <t>2,880 HM (1)</t>
  </si>
  <si>
    <t>TACF Fija: $1.680 / 6.000 HM</t>
  </si>
  <si>
    <t>TACF Fija: 0,28 $/HM.</t>
  </si>
  <si>
    <t>0,28 (2)</t>
  </si>
  <si>
    <t>1) Nivel real: 12.000 unidades x 0,24HM/unidad</t>
  </si>
  <si>
    <t xml:space="preserve">2) TACF Fija: Carga Fabril Fija Presupuestada / Nivel normal </t>
  </si>
  <si>
    <t>500 mts. x $0,25/mt. = $125.-</t>
  </si>
  <si>
    <t>250 mts. x $0,26/mt. = $65.-</t>
  </si>
  <si>
    <t>Costo total OF. A 3/1</t>
  </si>
  <si>
    <t>1.500 HH x $7,50/HH</t>
  </si>
  <si>
    <t>720 HM x $0,43/HM</t>
  </si>
  <si>
    <t>Precio de venta=</t>
  </si>
  <si>
    <t>Costo unitario x (1+0,50)</t>
  </si>
  <si>
    <t xml:space="preserve">3,5% s /ventas </t>
  </si>
  <si>
    <t>3.000 unidades x $5,87/unidad</t>
  </si>
  <si>
    <t>dato extraído del cuadro de análisis de variaciones de CF</t>
  </si>
  <si>
    <t>(imp. Informada + imp. oculta) x CH= 500HH x 7.50$/HH</t>
  </si>
  <si>
    <t xml:space="preserve">6) Comprobar el cálculo del consumo </t>
  </si>
  <si>
    <t xml:space="preserve">1) Para cantidades en la orden de compra de 300, 500, 600, 700 y 900, calcular los costos anuales de adquisición, de posesión  y su suma, exponiendo en un cuadro resumen sus resultados. </t>
  </si>
  <si>
    <t>Número de entregas por año =</t>
  </si>
  <si>
    <t>Producción en el mes =</t>
  </si>
  <si>
    <t>1) Cálculo de las horas productivas</t>
  </si>
  <si>
    <t>2) Cálculo de la Relación Insumo/Producto de la MOD</t>
  </si>
  <si>
    <t xml:space="preserve">3) Cálculo de la incidencia de las cargas sociales en el costo de la MOD </t>
  </si>
  <si>
    <t>4) Determinación del costo de la MOD</t>
  </si>
  <si>
    <t>5) Cálculo de la liquidación de los jornales</t>
  </si>
  <si>
    <t>1) Capacidad normal de planta</t>
  </si>
  <si>
    <t>2) Cálculo de la relación Insumo - Producto</t>
  </si>
  <si>
    <t>3) Cálculo de la incidencia de cargas sociales</t>
  </si>
  <si>
    <t>4) Producción real del período</t>
  </si>
  <si>
    <t>5) Determinación del costo de la MOD</t>
  </si>
  <si>
    <t>6) Cálculo de la liquidación de los jornales</t>
  </si>
  <si>
    <t xml:space="preserve">7) Analizar la posibilidad de que durante ese mes se hayan producido horas de improductividad oculta. </t>
  </si>
  <si>
    <t>8) Asiento contable correspondiente</t>
  </si>
  <si>
    <t>5) Cálculo del costo de la MOD</t>
  </si>
  <si>
    <t>1) Cálculo de las horas de improductividad informada</t>
  </si>
  <si>
    <t>2) Determinar las horas trabajadas en el mes</t>
  </si>
  <si>
    <t xml:space="preserve">3) Cálculo de la incidencia de cargas sociales </t>
  </si>
  <si>
    <t>4) Cálculo del costo de la mano de obra directa</t>
  </si>
  <si>
    <t>5) Determinación de las horas de improductividad oculta</t>
  </si>
  <si>
    <t>6) Saldos al 30/9 de las cuentas a) Jornales a pagar, y b) Aportes y Retenciones a Depositar</t>
  </si>
  <si>
    <t xml:space="preserve">1) Consumo de materia prima para el total de la producción (PEPS) </t>
  </si>
  <si>
    <t xml:space="preserve">2) Determinación de las horas productivas de MOD y Relación Insumo/Producto </t>
  </si>
  <si>
    <t xml:space="preserve">4) Cálculo del costo horario de MOD </t>
  </si>
  <si>
    <t xml:space="preserve">5) Cuadro de análisis de variaciones de Carga Fabril </t>
  </si>
  <si>
    <t>6) Estado de Costos y costo unitario de la Orden de Fabricación A 3/1</t>
  </si>
  <si>
    <t xml:space="preserve">7) Precio de venta unitario para la Orden de Fabricación A 3/1 </t>
  </si>
  <si>
    <t>8) Estado de Resultados</t>
  </si>
  <si>
    <t>1) Confeccionar el cuadro completo de la Producción Procesada Computable</t>
  </si>
  <si>
    <t>2) Costo de la PPC</t>
  </si>
  <si>
    <t>3) Costo de la PTyT (UEPS)</t>
  </si>
  <si>
    <t>4) Costo DEC</t>
  </si>
  <si>
    <t>1) Completar el cuadro de la PPC</t>
  </si>
  <si>
    <t>1) Completar el siguiente cuadro</t>
  </si>
  <si>
    <t>2) Calcular las horas productivas del mes</t>
  </si>
  <si>
    <t xml:space="preserve">3) Calcular la producción procesada (MOD) </t>
  </si>
  <si>
    <t xml:space="preserve">4) Determinar la tasa de desperdicio normal </t>
  </si>
  <si>
    <t>5) Determinar el desperdicio total del período</t>
  </si>
  <si>
    <t>6) Calcular la PPBE (MOD)</t>
  </si>
  <si>
    <t>7) Completar el siguiente cuadro</t>
  </si>
  <si>
    <t xml:space="preserve">8) Determinar el desperdicio extraordinario de MOD. </t>
  </si>
  <si>
    <t xml:space="preserve">9) Con los datos obtenidos hasta el punto anterior, completar el cuadro de determinación de la PPC. </t>
  </si>
  <si>
    <t>10) Determinar el costo unitario de la PPC (utilizar 4 decimales)</t>
  </si>
  <si>
    <t>11) Determinar la valuación del DEC (MOD)</t>
  </si>
  <si>
    <t>12) Determinar la valuación de la PT (MOD)</t>
  </si>
  <si>
    <t>13) Determinar la valuación del IFPP (MOD)</t>
  </si>
  <si>
    <t xml:space="preserve">14) Comprobación </t>
  </si>
  <si>
    <t>1) Relación Insumo-Producto del elemento Carga Fabril</t>
  </si>
  <si>
    <t>2) Unidades Físicas del Inventario Inicial de Productos en proceso</t>
  </si>
  <si>
    <t>3) Producción Procesada (CIF)</t>
  </si>
  <si>
    <t>4) Tasa de Desperdicio Normal</t>
  </si>
  <si>
    <t>5) Desperdicio Total del Periodo</t>
  </si>
  <si>
    <t>6) Producción Procesada en Buen Estado (PPBE)</t>
  </si>
  <si>
    <t>7) Composición de Inventario Final de Productos en proceso</t>
  </si>
  <si>
    <t>8) Desperdicio Extraordinario para CIF</t>
  </si>
  <si>
    <t>9) Variación Capacidad</t>
  </si>
  <si>
    <t>10) Valuación Desperdicio Extraordinario Computable (CIF)</t>
  </si>
  <si>
    <t>11) Valuación de la Producción Terminada y Transferida</t>
  </si>
  <si>
    <t>12) Valuación del IFPP (CIF)</t>
  </si>
  <si>
    <t>Pr.</t>
  </si>
  <si>
    <t>Ad.</t>
  </si>
  <si>
    <t>Co.</t>
  </si>
  <si>
    <t>F</t>
  </si>
  <si>
    <t>Fi.</t>
  </si>
  <si>
    <t>V</t>
  </si>
  <si>
    <t>I</t>
  </si>
  <si>
    <t>Sueldo  gerente de fabricación</t>
  </si>
  <si>
    <t>X</t>
  </si>
  <si>
    <t>Sueldos de empleados administrativos</t>
  </si>
  <si>
    <t>Impuesto Inmobiliario fábrica</t>
  </si>
  <si>
    <t>Cuota mensual programa de publicidad</t>
  </si>
  <si>
    <t>Jornales operarios máquinas</t>
  </si>
  <si>
    <t>Impuesto a los Ingresos Brutos</t>
  </si>
  <si>
    <t>Fletes de materias primas</t>
  </si>
  <si>
    <t>Cargas sociales operarios máquinas</t>
  </si>
  <si>
    <t>Comisiones a vendedores</t>
  </si>
  <si>
    <t>No corresponde</t>
  </si>
  <si>
    <t>Clasificación</t>
  </si>
  <si>
    <t>Costo primo</t>
  </si>
  <si>
    <t>Costo de conversión</t>
  </si>
  <si>
    <t xml:space="preserve">Costo de fabricación </t>
  </si>
  <si>
    <t>Otros Costos</t>
  </si>
  <si>
    <t>Materias primas</t>
  </si>
  <si>
    <t>Otros materiales</t>
  </si>
  <si>
    <t>Jornales operarios</t>
  </si>
  <si>
    <t>Sueldo supervisor de fábrica</t>
  </si>
  <si>
    <t>Cargas sociales operarios</t>
  </si>
  <si>
    <t>Cargas sociales supervisor</t>
  </si>
  <si>
    <t>Sueldo de empleados administrativos</t>
  </si>
  <si>
    <t>Cargas sociales empleados administrativos</t>
  </si>
  <si>
    <t>Alquiler de fábrica</t>
  </si>
  <si>
    <t>Energía eléctrica sector administración</t>
  </si>
  <si>
    <t>Depreciación de máquinas</t>
  </si>
  <si>
    <t>Depreciación de rodados para distribución a clientes</t>
  </si>
  <si>
    <t>Seguro máquinas</t>
  </si>
  <si>
    <t>Impuestos de fábrica</t>
  </si>
  <si>
    <t>MPD</t>
  </si>
  <si>
    <t>MPI - CF</t>
  </si>
  <si>
    <t>MOI-CF</t>
  </si>
  <si>
    <t>Otros</t>
  </si>
  <si>
    <t>Seguro rodados distribución</t>
  </si>
  <si>
    <t>Materia prima directa</t>
  </si>
  <si>
    <t>Mano de obra directa</t>
  </si>
  <si>
    <t>Carga fabril</t>
  </si>
  <si>
    <t>Totales</t>
  </si>
  <si>
    <r>
      <t>a)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 xml:space="preserve">costo indirecto respecto a C. </t>
    </r>
  </si>
  <si>
    <r>
      <t>b)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 xml:space="preserve">costo directo respecto a C. </t>
    </r>
  </si>
  <si>
    <r>
      <t>c)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>costo indirecto respecto a C.</t>
    </r>
  </si>
  <si>
    <r>
      <t>d)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 xml:space="preserve">Costo ajeno respecto a C. </t>
    </r>
  </si>
  <si>
    <r>
      <t>e)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>Costo directo respecto a C.</t>
    </r>
  </si>
  <si>
    <r>
      <t>f)</t>
    </r>
    <r>
      <rPr>
        <sz val="10"/>
        <color rgb="FF000000"/>
        <rFont val="Times New Roman"/>
        <family val="1"/>
      </rPr>
      <t xml:space="preserve">     </t>
    </r>
    <r>
      <rPr>
        <sz val="10"/>
        <color rgb="FF000000"/>
        <rFont val="Arial"/>
        <family val="2"/>
      </rPr>
      <t>Costo indirecto respecto a C.</t>
    </r>
  </si>
  <si>
    <r>
      <t>g)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>No es un costo de fabricación.</t>
    </r>
  </si>
  <si>
    <r>
      <t>h)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>Costo indirecto respecto a C.</t>
    </r>
  </si>
  <si>
    <r>
      <t>i)</t>
    </r>
    <r>
      <rPr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>Costo indirecto respecto a C.</t>
    </r>
  </si>
  <si>
    <r>
      <t>j)</t>
    </r>
    <r>
      <rPr>
        <sz val="10"/>
        <color rgb="FF000000"/>
        <rFont val="Times New Roman"/>
        <family val="1"/>
      </rPr>
      <t xml:space="preserve">      </t>
    </r>
    <r>
      <rPr>
        <sz val="10"/>
        <color rgb="FF000000"/>
        <rFont val="Arial"/>
        <family val="2"/>
      </rPr>
      <t xml:space="preserve">No es un costo de fabricación. </t>
    </r>
  </si>
  <si>
    <t>Existencias iniciales de materias primas</t>
  </si>
  <si>
    <t>+Compra de materias primas</t>
  </si>
  <si>
    <t>-Existencias finales de materias primas</t>
  </si>
  <si>
    <t xml:space="preserve">+Costo de Mano de obra directa </t>
  </si>
  <si>
    <t>+Costos indirectos de fabricación</t>
  </si>
  <si>
    <t>Total consumo de MP</t>
  </si>
  <si>
    <t>(+) EIPP</t>
  </si>
  <si>
    <t>(-) EFPP</t>
  </si>
  <si>
    <t>Costo PT</t>
  </si>
  <si>
    <t>CPTYV</t>
  </si>
  <si>
    <t>ESTADO DE COSTOS</t>
  </si>
  <si>
    <t>ESTADO DE RESULTADOS</t>
  </si>
  <si>
    <t>(-) Costo de las mercaderías vendidas</t>
  </si>
  <si>
    <t>(-) Gastos de administración</t>
  </si>
  <si>
    <t>(-) Gastos de comercialización</t>
  </si>
  <si>
    <t>(-) Gastos financieros</t>
  </si>
  <si>
    <t>UNIDADES TERMINADAS</t>
  </si>
  <si>
    <t>Por diferencia</t>
  </si>
  <si>
    <t>Costo de producción del período</t>
  </si>
  <si>
    <t>(+) EIPT</t>
  </si>
  <si>
    <t>(-) EFPT</t>
  </si>
  <si>
    <t>1) ESTADO DE COSTOS</t>
  </si>
  <si>
    <t>COSTO PRODUCCIÓN TERMINADA</t>
  </si>
  <si>
    <t>=</t>
  </si>
  <si>
    <t>Clasificación por función</t>
  </si>
  <si>
    <t xml:space="preserve">Producción </t>
  </si>
  <si>
    <t xml:space="preserve">Administración </t>
  </si>
  <si>
    <t>Comercialización</t>
  </si>
  <si>
    <t>Consumo de materia prima</t>
  </si>
  <si>
    <t xml:space="preserve">Jornales directos </t>
  </si>
  <si>
    <t>Cargas sociales sobre J.D.</t>
  </si>
  <si>
    <t>Depreciación de máquinarias</t>
  </si>
  <si>
    <t>Jornales indirectos</t>
  </si>
  <si>
    <t>Cargas sociales sobre J.I.</t>
  </si>
  <si>
    <t>Otros gastos de producción</t>
  </si>
  <si>
    <t>Otros gastos de comercialización</t>
  </si>
  <si>
    <t>Otros gastos de administración</t>
  </si>
  <si>
    <t>2) Determinar el costo primo total y unitario</t>
  </si>
  <si>
    <t>Existencia inicial - MP</t>
  </si>
  <si>
    <t>(+) Compras de MP</t>
  </si>
  <si>
    <t>(-) Existencia final de MP</t>
  </si>
  <si>
    <t>Total Costo de MP</t>
  </si>
  <si>
    <t>Cargas sociales sobre J.D</t>
  </si>
  <si>
    <t>Total Costo de MOD</t>
  </si>
  <si>
    <t>Costo primo total</t>
  </si>
  <si>
    <t>Costo primo unitario</t>
  </si>
  <si>
    <t>$1.060.000 / 40.000 unidades</t>
  </si>
  <si>
    <t>$/UNIDAD</t>
  </si>
  <si>
    <t>3) Determinar el costo de conversión total y unitario</t>
  </si>
  <si>
    <t>Total Costo de CF</t>
  </si>
  <si>
    <t>Costo de conversión total</t>
  </si>
  <si>
    <t>Costo de conversión unitario</t>
  </si>
  <si>
    <t>4) Determinar el costo de producción total y unitario</t>
  </si>
  <si>
    <t>Costo de MP</t>
  </si>
  <si>
    <t>Costo de CF</t>
  </si>
  <si>
    <t>Costo de producción total</t>
  </si>
  <si>
    <t>Costo de producción unitario</t>
  </si>
  <si>
    <t>$1.360.000 / 40.000 unidades</t>
  </si>
  <si>
    <t>5) Establecer el valor de la existencia final de productos terminados</t>
  </si>
  <si>
    <t xml:space="preserve">Unidades en existencia final </t>
  </si>
  <si>
    <t>Costo producción unitario</t>
  </si>
  <si>
    <t xml:space="preserve">Valor existencia final </t>
  </si>
  <si>
    <t>$860.000 / 40.000 unidades</t>
  </si>
  <si>
    <t xml:space="preserve">Erogaciones </t>
  </si>
  <si>
    <t>Activo</t>
  </si>
  <si>
    <t>Bs. Cambio</t>
  </si>
  <si>
    <t>Bs. Uso</t>
  </si>
  <si>
    <t>Material</t>
  </si>
  <si>
    <t>MOI</t>
  </si>
  <si>
    <t>Variable</t>
  </si>
  <si>
    <t>Fijo</t>
  </si>
  <si>
    <t>Otros gastos</t>
  </si>
  <si>
    <t>Costo directo de fabricación</t>
  </si>
  <si>
    <t>Costo indirecto de fabricación</t>
  </si>
  <si>
    <t>Costo total de fabricación</t>
  </si>
  <si>
    <t>1) Compra de aluminio</t>
  </si>
  <si>
    <t>2) Adquisición de máquina de corte de metal</t>
  </si>
  <si>
    <t>3) Sueldo de capataces</t>
  </si>
  <si>
    <t>4) Aceite lubricante utilizado para mantenimiento de maquinarias</t>
  </si>
  <si>
    <t>5) Jornales de los operarios afectados a la línea de producción</t>
  </si>
  <si>
    <t>6) Consumo de acero</t>
  </si>
  <si>
    <t>7) Publicidad y propaganda</t>
  </si>
  <si>
    <t>8) Imp. sobre el edificio que ocupa la fábrica</t>
  </si>
  <si>
    <t>9) Sueldos de ingenieros</t>
  </si>
  <si>
    <t>10) Dep. lineal de máq. utilizadas en "Soldadura"</t>
  </si>
  <si>
    <t>11) Alquiler de oficina de ventas</t>
  </si>
  <si>
    <t xml:space="preserve">12) Adquisición de camioneta para el transporte de las puertas. </t>
  </si>
  <si>
    <t>13) Depreciación de la camioneta utilizada en el reparto.</t>
  </si>
  <si>
    <t>14) Puertas entregadas al sector "Pintura"</t>
  </si>
  <si>
    <t xml:space="preserve">15) Contribuciones y cargas sociales sobre el ítem 5) </t>
  </si>
  <si>
    <t>16) Seguro contra incendio sobre maquinarias</t>
  </si>
  <si>
    <t>17) Sueldos del personal de contaduría</t>
  </si>
  <si>
    <t>18) Seguro contra incendio sobre prod. terminados</t>
  </si>
  <si>
    <t>19) Sueldos de vendedores</t>
  </si>
  <si>
    <t>20) Consumo de alambre tubular utilizado en "Soldadura".</t>
  </si>
  <si>
    <t>21) Campaña de publicidad institucional</t>
  </si>
  <si>
    <t>22) Costos de investigación y desarrollo de un nuevo sistema de soldadura.</t>
  </si>
  <si>
    <t>23) Depreciación por hora máquina del balancín utilizado en "Armado".</t>
  </si>
  <si>
    <t>24) Consumo de pintura para pintar puertas y portones</t>
  </si>
  <si>
    <t>25) Pérdida extraordinaria por robo de cerraduras</t>
  </si>
  <si>
    <t>Importe ($)</t>
  </si>
  <si>
    <t>Madera de pino</t>
  </si>
  <si>
    <t>Madera de algarrobo</t>
  </si>
  <si>
    <t>Cola vinílica</t>
  </si>
  <si>
    <t>Clavos</t>
  </si>
  <si>
    <t>Jornales cortadores de madera</t>
  </si>
  <si>
    <t>Jornales ensambladores de mesas</t>
  </si>
  <si>
    <t>Jornales lijadores</t>
  </si>
  <si>
    <t>Sueldo de supervisores de planta</t>
  </si>
  <si>
    <t>Sueldo del portero</t>
  </si>
  <si>
    <t>Depreciación de máquinas y equipos</t>
  </si>
  <si>
    <t>Alquiler de oficina</t>
  </si>
  <si>
    <t>Rep. máq. fábrica por terceros</t>
  </si>
  <si>
    <t>Materiales de empaque y embalaje</t>
  </si>
  <si>
    <t>Servicios generales de fábrica</t>
  </si>
  <si>
    <t>Metros</t>
  </si>
  <si>
    <t>C.U. ($)</t>
  </si>
  <si>
    <t>01/07/20X7</t>
  </si>
  <si>
    <t>Compras</t>
  </si>
  <si>
    <t>EF</t>
  </si>
  <si>
    <t>31/07/20X7</t>
  </si>
  <si>
    <t>Fija</t>
  </si>
  <si>
    <t>Amort. máq.</t>
  </si>
  <si>
    <t>Alquiler planta</t>
  </si>
  <si>
    <t xml:space="preserve">Suministros </t>
  </si>
  <si>
    <t>Seguro incendio</t>
  </si>
  <si>
    <t>Sueldo capataz</t>
  </si>
  <si>
    <t>Total CF Real</t>
  </si>
  <si>
    <t>Determinación de las variaciones de Materia Prima</t>
  </si>
  <si>
    <t>Variación neta</t>
  </si>
  <si>
    <t xml:space="preserve">Justificación: </t>
  </si>
  <si>
    <t>Var. Cantidad =</t>
  </si>
  <si>
    <t>(Q std - Q real) x P std.</t>
  </si>
  <si>
    <t>(6000 mts. - 6000 mts.) x $15/mts.</t>
  </si>
  <si>
    <t>Var. precio =</t>
  </si>
  <si>
    <t>(P std - P real) x Q real</t>
  </si>
  <si>
    <t xml:space="preserve">($15/mts. - $14/metro) x 6000 mts. </t>
  </si>
  <si>
    <t>Determinación de las variaciones de Mano de Obra</t>
  </si>
  <si>
    <t>Justificación</t>
  </si>
  <si>
    <t>Var. eficiencia</t>
  </si>
  <si>
    <t>Var. eficiencia =</t>
  </si>
  <si>
    <t>(Hs std - Hs reales) x T std.</t>
  </si>
  <si>
    <t>(3.000 HH - 3.300 HH) x $10/mts.</t>
  </si>
  <si>
    <t>Var. tarifa =</t>
  </si>
  <si>
    <t>(T std - T real) x Hs reales</t>
  </si>
  <si>
    <t xml:space="preserve">($10 - $11) x 3.300 HH </t>
  </si>
  <si>
    <t>Determinación de las variaciones de Carga Fabril</t>
  </si>
  <si>
    <t>PANS</t>
  </si>
  <si>
    <t>Productos terminados</t>
  </si>
  <si>
    <t>Prod. Term.</t>
  </si>
  <si>
    <t>-EF</t>
  </si>
  <si>
    <t>Costo de ventas</t>
  </si>
  <si>
    <t>(a)</t>
  </si>
  <si>
    <t>COSTO DE VENTAS</t>
  </si>
  <si>
    <t>UNIDADES VENDIDAS</t>
  </si>
  <si>
    <t>3) COSTO UNITARIO DE VENTAS</t>
  </si>
  <si>
    <t>4) ESTADO DE RESULTADOS</t>
  </si>
  <si>
    <t>(-) Gastos de ventas</t>
  </si>
  <si>
    <t>Mano de obra</t>
  </si>
  <si>
    <t>(Qstd x Pstd) - (Qr x Pr)</t>
  </si>
  <si>
    <t xml:space="preserve"> [(16.000 u. x 1kg./u) x 4$/kg.] - [16.800kg x ($68.880/16.800kg.)]</t>
  </si>
  <si>
    <t>(16.000kg. x 4$/kg.) - (16.800kg. x 4,10$/kg.)</t>
  </si>
  <si>
    <t>$64.000 - $68.880</t>
  </si>
  <si>
    <t xml:space="preserve"> Var. neta = </t>
  </si>
  <si>
    <t xml:space="preserve">Var. Cantidad = </t>
  </si>
  <si>
    <t>(Qstd - Qr) x Pstd</t>
  </si>
  <si>
    <t xml:space="preserve">(16.000 kg. - 16.800kg.) x 4$/kg. </t>
  </si>
  <si>
    <t>(Pstd - Pr) x Qr</t>
  </si>
  <si>
    <t xml:space="preserve">(4$/kg. - 4,10$/kg.) x 16.800kg. </t>
  </si>
  <si>
    <t>1)</t>
  </si>
  <si>
    <t>2)</t>
  </si>
  <si>
    <t>3)</t>
  </si>
  <si>
    <t>Var. neta =</t>
  </si>
  <si>
    <t>(Hs. std x Tstd) - (Hs. r x Tr)</t>
  </si>
  <si>
    <t>[(16.000 u x 1/4HH/u.) x 8$/HH] - [4.240HH x ($34.132 / 4.240 HH)]</t>
  </si>
  <si>
    <t>(4.000 HH x 8$/HH) - (4.240 HH x 8,05$/HH)</t>
  </si>
  <si>
    <t>$32.000 - $34.132</t>
  </si>
  <si>
    <t xml:space="preserve">4) </t>
  </si>
  <si>
    <t>(Hs. std - Hs. r) x Tstd</t>
  </si>
  <si>
    <t>(4.000 HH - 4.240 HH) x 8$/HH</t>
  </si>
  <si>
    <t>(Tstd. - Tr) x Hs. r</t>
  </si>
  <si>
    <t>Var. tarifa=</t>
  </si>
  <si>
    <t>(8 $/HH - 8,05$/HH) x 4.240HH</t>
  </si>
  <si>
    <t>PRESUPUESTO</t>
  </si>
  <si>
    <t>APL. A STD</t>
  </si>
  <si>
    <t>APL. A REAL</t>
  </si>
  <si>
    <t>(1) 10.000 HM</t>
  </si>
  <si>
    <t>(3) 8.000 HM</t>
  </si>
  <si>
    <t>9.500 HM</t>
  </si>
  <si>
    <t>(2) 9.500 HM</t>
  </si>
  <si>
    <t xml:space="preserve">Variable </t>
  </si>
  <si>
    <t>Nivel</t>
  </si>
  <si>
    <t xml:space="preserve">Referencias: </t>
  </si>
  <si>
    <t>(7) 2,5</t>
  </si>
  <si>
    <t>(4) 3</t>
  </si>
  <si>
    <t xml:space="preserve">(2) 100.000 u x 0,10 HH/u = 10.000 HH </t>
  </si>
  <si>
    <t xml:space="preserve">(3) 27.600 + 3.000 = 30.600$ </t>
  </si>
  <si>
    <t xml:space="preserve">(4) 30.600 / 10.200 = 3 $/HH </t>
  </si>
  <si>
    <t xml:space="preserve">(5) 10.000HH x 3$/HH = 30.000 $ </t>
  </si>
  <si>
    <t xml:space="preserve">(6) 27.600 / 3 = 9.200 HH </t>
  </si>
  <si>
    <t xml:space="preserve">(7) 23.000 / 9.200 = 2,5 $/HH </t>
  </si>
  <si>
    <t>Backer III</t>
  </si>
  <si>
    <t>Horngreen III</t>
  </si>
  <si>
    <t>Eficiencia</t>
  </si>
  <si>
    <t>Capac.=</t>
  </si>
  <si>
    <t>Efic.=</t>
  </si>
  <si>
    <t>Pres.</t>
  </si>
  <si>
    <t>Horngreen IV</t>
  </si>
  <si>
    <t>Eficacia=</t>
  </si>
  <si>
    <t>Shillinglaw</t>
  </si>
  <si>
    <t>Horas Hombre</t>
  </si>
  <si>
    <t>Var. Neta =</t>
  </si>
  <si>
    <t>Horas máquinas</t>
  </si>
  <si>
    <t>4. Ejercicios resueltos de CARGA FABRIL (CF)</t>
  </si>
  <si>
    <t>(6) 9.200 HH</t>
  </si>
  <si>
    <t>10.200 HH</t>
  </si>
  <si>
    <t>(1) 27.600</t>
  </si>
  <si>
    <t>(5) 30.000</t>
  </si>
  <si>
    <t>Kg.</t>
  </si>
  <si>
    <t>MP "A"</t>
  </si>
  <si>
    <t>MP "B"</t>
  </si>
  <si>
    <t>Seguro maquinarias</t>
  </si>
  <si>
    <t>Amort. maquinarias</t>
  </si>
  <si>
    <t>Suministros planta</t>
  </si>
  <si>
    <t>Total CF real</t>
  </si>
  <si>
    <t>[(9.000 u. x 3 kg.) x 5$/kg.] - [25.000 kg. x 4,86$/kg.]</t>
  </si>
  <si>
    <t>$135.000 - $121.500</t>
  </si>
  <si>
    <t>(27.000 kg. - 25.000 kg) x 5$/kg.</t>
  </si>
  <si>
    <t xml:space="preserve">(5$/kg. - 4,86$/kg.) x 25.000 kg. </t>
  </si>
  <si>
    <t>[(9.000 u. x 2kg./u.) x 8$/kg.] - [23.000 kg. x 6,77$/kg.]</t>
  </si>
  <si>
    <t>$144.000 - $155.710</t>
  </si>
  <si>
    <t>Variación cantidad</t>
  </si>
  <si>
    <t>Variación precio</t>
  </si>
  <si>
    <t xml:space="preserve">(8$/kg. - 6,77$/kg.) x 23.000 kg. </t>
  </si>
  <si>
    <t>(18.000 kg. - 23.000 kg) x 8$/kg.</t>
  </si>
  <si>
    <t>[(9.000 u. x 0,3HH) x 10$/HH] - [2.510 HH x 11$/HH]</t>
  </si>
  <si>
    <t>$27.000 - $27.610</t>
  </si>
  <si>
    <t xml:space="preserve">Justificación </t>
  </si>
  <si>
    <t>(2.700 HH - 2.510 HH) x 10$/HH</t>
  </si>
  <si>
    <t>(10$/HH - 11$/HH) x 2.510HH</t>
  </si>
  <si>
    <t>Referencias</t>
  </si>
  <si>
    <t xml:space="preserve">(1) 32040 – 4440 = 27.600$ </t>
  </si>
  <si>
    <t>2.760 (1)</t>
  </si>
  <si>
    <t>2.510 (2)</t>
  </si>
  <si>
    <t>2.700 (3)</t>
  </si>
  <si>
    <t>Backer II</t>
  </si>
  <si>
    <t xml:space="preserve">Pres. </t>
  </si>
  <si>
    <t>Capac.</t>
  </si>
  <si>
    <t>Eficiencia =</t>
  </si>
  <si>
    <t xml:space="preserve">Eficiencia = </t>
  </si>
  <si>
    <t>C.U ($)</t>
  </si>
  <si>
    <t>Consumo:</t>
  </si>
  <si>
    <t>2.000 un. x 0,55mts./un. = 1.100 mts.</t>
  </si>
  <si>
    <t>(por diferencia)</t>
  </si>
  <si>
    <t>Materia prima "Tela de fieltro"</t>
  </si>
  <si>
    <t>600</t>
  </si>
  <si>
    <t>Alquiler de planta</t>
  </si>
  <si>
    <t>Sueldos y CC.SS. Capataz</t>
  </si>
  <si>
    <t>[(2.000 u. x 0,45mts./0,90) x45$/mts.] - [1.100mts. x 48,75$/mts.]</t>
  </si>
  <si>
    <t>$45.000 - $53.625</t>
  </si>
  <si>
    <t>(1.000 mts. - 1.100 mts.) x 45$/mt.</t>
  </si>
  <si>
    <t xml:space="preserve">(45$/mt. - 48,75$/mt.) x 1.100 mts. </t>
  </si>
  <si>
    <t>[(2.000 x 0,25HH/u.) x 8$/HH] - [600HH x 8,10$/HH]</t>
  </si>
  <si>
    <t>$4.000 - $4.860</t>
  </si>
  <si>
    <t>(500 HH - 600HH) x 8$/HH</t>
  </si>
  <si>
    <t>(8$/HH - 8,10$/HH) x 600HH</t>
  </si>
  <si>
    <t>480 (1)</t>
  </si>
  <si>
    <t>Horas Máq.</t>
  </si>
  <si>
    <t>440 (2)</t>
  </si>
  <si>
    <t>400 (3)</t>
  </si>
  <si>
    <t>06/07/20X7</t>
  </si>
  <si>
    <t>18/07/20X7</t>
  </si>
  <si>
    <t>Amort. planta</t>
  </si>
  <si>
    <t>[(6.000 un. x 1mt./u.) x 15$/mt.] - [6.000 mts. x 14$/mt.]</t>
  </si>
  <si>
    <t>$90.000 - $84.000</t>
  </si>
  <si>
    <t>[(6.000 u. x 0,5HH/un.) x 10$/HH] - [3.300 HH x 11$/HH]</t>
  </si>
  <si>
    <t>$30.000 - $36.300</t>
  </si>
  <si>
    <t>13.000 (1)</t>
  </si>
  <si>
    <t>11.700 (2)</t>
  </si>
  <si>
    <t>12.000 (3)</t>
  </si>
  <si>
    <t>Ficha de inventario permanente</t>
  </si>
  <si>
    <t>Fecha</t>
  </si>
  <si>
    <t>Unidades</t>
  </si>
  <si>
    <t>Pr. unit.</t>
  </si>
  <si>
    <t>Movimientos (entradas/salidas)</t>
  </si>
  <si>
    <t>Saldo</t>
  </si>
  <si>
    <t>Exist. Inicial</t>
  </si>
  <si>
    <t>Compra</t>
  </si>
  <si>
    <t>PPP</t>
  </si>
  <si>
    <t>Método PEPS</t>
  </si>
  <si>
    <t>Existencias a últimas compras</t>
  </si>
  <si>
    <t>Consumo de MP subvaluado</t>
  </si>
  <si>
    <t>Costo de producción menor</t>
  </si>
  <si>
    <t>Resultados mayores</t>
  </si>
  <si>
    <t>Método UEPS</t>
  </si>
  <si>
    <t>Existencias a primeras compras</t>
  </si>
  <si>
    <t>Consumo sobrevaluado</t>
  </si>
  <si>
    <t>Costo de producción mayor</t>
  </si>
  <si>
    <t>Resultados menores</t>
  </si>
  <si>
    <r>
      <t>1)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>Identifico del Total de los Gastos Presupuestados Cuáles son y Cuáles no son Carga Fabril.</t>
    </r>
  </si>
  <si>
    <t>Gastos Presupuestados del Mes:</t>
  </si>
  <si>
    <t>Alquiler de Oficinas de Administración</t>
  </si>
  <si>
    <t>No es CF</t>
  </si>
  <si>
    <t>Adhesivos utilizados ($ por kilogramo)</t>
  </si>
  <si>
    <t>Asesoramiento Contable</t>
  </si>
  <si>
    <t>Alquiler de Planta</t>
  </si>
  <si>
    <t>Comisión de Vendedores</t>
  </si>
  <si>
    <t>Barniz utilizado($ por Kilogramo)</t>
  </si>
  <si>
    <t>Manipuleo de Materias Primas</t>
  </si>
  <si>
    <t>Sueldo del Supervisor</t>
  </si>
  <si>
    <t>Inspección de Materias Primas</t>
  </si>
  <si>
    <t>Control de Calidad</t>
  </si>
  <si>
    <t>Sueldo del Capataz</t>
  </si>
  <si>
    <t xml:space="preserve">TOTAL </t>
  </si>
  <si>
    <r>
      <t>1)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 xml:space="preserve">Sumo los conceptos que efectivamente componen la Carga Fabril: </t>
    </r>
    <r>
      <rPr>
        <b/>
        <sz val="10"/>
        <color rgb="FF000000"/>
        <rFont val="Arial"/>
        <family val="2"/>
      </rPr>
      <t>$ 6.035</t>
    </r>
  </si>
  <si>
    <r>
      <t>2)</t>
    </r>
    <r>
      <rPr>
        <sz val="10"/>
        <color rgb="FF000000"/>
        <rFont val="Times New Roman"/>
        <family val="1"/>
      </rPr>
      <t xml:space="preserve">    </t>
    </r>
    <r>
      <rPr>
        <sz val="10"/>
        <color rgb="FF000000"/>
        <rFont val="Arial"/>
        <family val="2"/>
      </rPr>
      <t>Agrupo los gastos en diferentes actividades, utilizando inductores comunes a cada actividad:</t>
    </r>
  </si>
  <si>
    <t>Utilización de Materiales Indirectos</t>
  </si>
  <si>
    <t>INDUCTOR</t>
  </si>
  <si>
    <t>Adhesivos utilizados ($ por Kilogramo)</t>
  </si>
  <si>
    <t>Materiales Indirectos</t>
  </si>
  <si>
    <t>Superficie Ocupada</t>
  </si>
  <si>
    <t>Manipuleo e Inspección de Materias Primas</t>
  </si>
  <si>
    <t>Supervisión de Mano de Obra</t>
  </si>
  <si>
    <t>Inspecciones de Calidad</t>
  </si>
  <si>
    <t xml:space="preserve"> TOTAL DE COSTOS DE TODAS LAS ACTIVIDADES: </t>
  </si>
  <si>
    <t>Movimientos de Materias primas</t>
  </si>
  <si>
    <t>4) Calculo la Tasa de Aplicación en relación con el Inductor identificado con cada actividad:</t>
  </si>
  <si>
    <t>Tasa de Aplicación</t>
  </si>
  <si>
    <t>por Kg.</t>
  </si>
  <si>
    <t>0,5kg x 300 un. + 0,8kg x 600 un.</t>
  </si>
  <si>
    <t>por movimiento de materia prima</t>
  </si>
  <si>
    <t>2 Mov. x 300 un. + 4 Mov. x 600 un.</t>
  </si>
  <si>
    <t>por Hora Hombre.</t>
  </si>
  <si>
    <t>0,11 hs h' x 300 un.+ 0,18 hs h' x 600 un.</t>
  </si>
  <si>
    <t>Alquiler de Planta (único por Lote)</t>
  </si>
  <si>
    <t>No es necesario realizar el cálculo dado que el enunciado suministra el dato en pesos del Costo Unitario de Carga Fabril de cada producto correspondiente a esta actividad.</t>
  </si>
  <si>
    <t>5) Busco el Costo Unitario de Carga Fabril de Cada Producto</t>
  </si>
  <si>
    <t>B)</t>
  </si>
  <si>
    <t>TOTAL DE CARGA FABRIL =</t>
  </si>
  <si>
    <t>Sillas</t>
  </si>
  <si>
    <t>300 un. X 0,11hs h'. X $5</t>
  </si>
  <si>
    <t>($de Jornal Directo).</t>
  </si>
  <si>
    <t>Modulares</t>
  </si>
  <si>
    <t>600 un. X 0,18 hs h'. X $5</t>
  </si>
  <si>
    <t>TACF =</t>
  </si>
  <si>
    <t>/ $ de Jornal Directo.</t>
  </si>
  <si>
    <t>($de Jornal Directo)</t>
  </si>
  <si>
    <t xml:space="preserve">300 un. X 0,55 Jornal Directo (JD)        </t>
  </si>
  <si>
    <t xml:space="preserve">600 un. X 0,9 Jornal Directo (JD)          </t>
  </si>
  <si>
    <r>
      <rPr>
        <u/>
        <sz val="10"/>
        <color theme="1"/>
        <rFont val="Arial"/>
        <family val="2"/>
      </rPr>
      <t>Volumen de producción reexpresado en Jornales Directos</t>
    </r>
    <r>
      <rPr>
        <sz val="10"/>
        <color theme="1"/>
        <rFont val="Arial"/>
        <family val="2"/>
      </rPr>
      <t>:</t>
    </r>
  </si>
  <si>
    <t xml:space="preserve">Cálculo: 31.827HH x 4$/HH x 1,65= </t>
  </si>
  <si>
    <t xml:space="preserve">Cálculo: costo incurrido / costo unitario= $210.058,20/10,197$/u </t>
  </si>
  <si>
    <t xml:space="preserve">21.218u </t>
  </si>
  <si>
    <t xml:space="preserve">Cálculo: PP = Horas productivas / R I/P= 31.827HH/1,5HH/U </t>
  </si>
  <si>
    <t xml:space="preserve">618u </t>
  </si>
  <si>
    <t>Cálculo: t= (PP/PPC) -1</t>
  </si>
  <si>
    <t>Cálculo: (21.218/20.600) -1</t>
  </si>
  <si>
    <t xml:space="preserve">206u </t>
  </si>
  <si>
    <t>Cálculo: 0.01 x PPC</t>
  </si>
  <si>
    <t xml:space="preserve">200u </t>
  </si>
  <si>
    <t xml:space="preserve">Cálculo: DE/(1+t) </t>
  </si>
  <si>
    <t>Cálculo: 206/(1+0,03)</t>
  </si>
  <si>
    <t xml:space="preserve">20.400u </t>
  </si>
  <si>
    <t xml:space="preserve">Cálculo: PPC-DEC= 20.600-200 </t>
  </si>
  <si>
    <t xml:space="preserve">612u </t>
  </si>
  <si>
    <t xml:space="preserve">Cálculo: t x PPBE = 0,03 x 20.400u </t>
  </si>
  <si>
    <t xml:space="preserve">818u </t>
  </si>
  <si>
    <t xml:space="preserve">20.600 u </t>
  </si>
  <si>
    <t>PP-PPC= 21218-20600</t>
  </si>
  <si>
    <t xml:space="preserve">10.609 u </t>
  </si>
  <si>
    <t xml:space="preserve">Cálculo: PP= CONSUMO MP /  I/P = 21.218kg/2kg/u </t>
  </si>
  <si>
    <t xml:space="preserve">Cálculo: 21.218kgx5$/kg= </t>
  </si>
  <si>
    <t xml:space="preserve">10.300u </t>
  </si>
  <si>
    <t xml:space="preserve">Cálculo: PPC= COSTO INCURRIDO/COSTO UNTARIO PPC </t>
  </si>
  <si>
    <t>$106.090/10,30$/u</t>
  </si>
  <si>
    <t xml:space="preserve">103 u </t>
  </si>
  <si>
    <t xml:space="preserve">Cálculo: DE= PPC x 0,01 (DATO)= 10.300u x 0,01 </t>
  </si>
  <si>
    <t>Cálculo: t = (PP/PPC) -1 = (10.609/10.300)-1</t>
  </si>
  <si>
    <t xml:space="preserve">100u </t>
  </si>
  <si>
    <t xml:space="preserve">Cálculo: DEC= DE / (1+t) = 103/1,03= </t>
  </si>
  <si>
    <t xml:space="preserve">10.200u </t>
  </si>
  <si>
    <t xml:space="preserve">Cálculo: PPBE= PPC-DEC = 10.300u-100u= </t>
  </si>
  <si>
    <t xml:space="preserve">306u </t>
  </si>
  <si>
    <t xml:space="preserve">Cálculo: PPBE x t= DN 10.200Ux0,03= </t>
  </si>
  <si>
    <t xml:space="preserve">409u </t>
  </si>
  <si>
    <t xml:space="preserve">Cálculo: DT= DN+DE= 306+103= </t>
  </si>
  <si>
    <t xml:space="preserve">309u </t>
  </si>
  <si>
    <t xml:space="preserve">Cálculo: DNT= DT-DEC= PP-PPC=t x PPC </t>
  </si>
  <si>
    <t xml:space="preserve">1) Costo incurrido: </t>
  </si>
  <si>
    <t xml:space="preserve">2) Producción Procesada Computable = </t>
  </si>
  <si>
    <t xml:space="preserve">3) Producción Procesada= </t>
  </si>
  <si>
    <t xml:space="preserve">4) Desperdicio Normal Total=  </t>
  </si>
  <si>
    <t xml:space="preserve">5) Tasa del Desperdicio Normal= </t>
  </si>
  <si>
    <t xml:space="preserve">6) Desperdicio Extraordinario= </t>
  </si>
  <si>
    <t xml:space="preserve">7) Desperdicio Extraordinario Computable= </t>
  </si>
  <si>
    <t xml:space="preserve">8) Producción Procesada en Buen Estado= </t>
  </si>
  <si>
    <t xml:space="preserve">9) Desperdicio Normal= </t>
  </si>
  <si>
    <t xml:space="preserve">10) Desperdicio Total= DT=DN+DE // PP-PPBE // DNT+DEC </t>
  </si>
  <si>
    <t xml:space="preserve">1) Producción Procesada= </t>
  </si>
  <si>
    <t xml:space="preserve">2) Costo incurrido= </t>
  </si>
  <si>
    <t xml:space="preserve">3) Producción Procesada Computable = </t>
  </si>
  <si>
    <t xml:space="preserve">4) Desperdicio Extraordinario= </t>
  </si>
  <si>
    <t xml:space="preserve">6) Desperdicio Extraordinario Computable= </t>
  </si>
  <si>
    <t xml:space="preserve">7) Producción Procesada en Buen Estado= </t>
  </si>
  <si>
    <t xml:space="preserve">8) Desperdicio Normal= </t>
  </si>
  <si>
    <t xml:space="preserve">9) Desperdicio Total= </t>
  </si>
  <si>
    <t xml:space="preserve">10) Desperdicio Normal Total= </t>
  </si>
  <si>
    <t>Depreciación lineal máquinas y equipo</t>
  </si>
  <si>
    <t>Depreciación de Muebles y útiles (Administración)</t>
  </si>
  <si>
    <t>Depreciación de rodados (Comercialización)</t>
  </si>
  <si>
    <t>Sueldos y cargas sociales emp. adm.</t>
  </si>
  <si>
    <t>$/un. [no hay existencia inicial de PT]</t>
  </si>
  <si>
    <t xml:space="preserve">3) Graficar los costos de posesión y adquisición y el costo total mínimo. </t>
  </si>
  <si>
    <t>Cantidad de obreros x día de jornada x horas de jornada</t>
  </si>
  <si>
    <t>3) Cálculo de la incidencia de cargas sociales en el costo de la MOD</t>
  </si>
  <si>
    <r>
      <t>95m</t>
    </r>
    <r>
      <rPr>
        <vertAlign val="superscript"/>
        <sz val="10"/>
        <color theme="1"/>
        <rFont val="Arial"/>
        <family val="2"/>
      </rPr>
      <t>2</t>
    </r>
  </si>
  <si>
    <r>
      <t>por 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.</t>
    </r>
  </si>
  <si>
    <t>HM (1)</t>
  </si>
  <si>
    <t>130.150 (d)</t>
  </si>
  <si>
    <t>80.000 (2)</t>
  </si>
  <si>
    <t>8,00 (3)</t>
  </si>
  <si>
    <t>49.100 (6)</t>
  </si>
  <si>
    <t>48.500 (7)</t>
  </si>
  <si>
    <t>5,00 (8)</t>
  </si>
  <si>
    <t>(9) Subaplicación de CF =</t>
  </si>
  <si>
    <t>81.050 (4)(5)</t>
  </si>
  <si>
    <t>4,10 (3)</t>
  </si>
  <si>
    <t>6,70 (2)</t>
  </si>
  <si>
    <t>9.348 (5)</t>
  </si>
  <si>
    <t>HM (4) (6)</t>
  </si>
  <si>
    <t>15.000 (7)</t>
  </si>
  <si>
    <t>(8) Subaplicación de CF=</t>
  </si>
  <si>
    <t>HM (2)</t>
  </si>
  <si>
    <t>3.300 (d)</t>
  </si>
  <si>
    <t>3.000 (3)</t>
  </si>
  <si>
    <t>3) CIF FIJO PRES.= -$450/-0,15= $3.000</t>
  </si>
  <si>
    <t>0,75 (4)</t>
  </si>
  <si>
    <t>0,25 (d)</t>
  </si>
  <si>
    <t>5) CIF VAR. REAL= CIF VAR. PANR - V. PRESUPUESTO= $850 - ($180)= $1.030</t>
  </si>
  <si>
    <t>1.030 (5)</t>
  </si>
  <si>
    <t>6) VARIACIÓN NETA= -$450 + -$480 = -$930 (Subaplicación de CF)</t>
  </si>
  <si>
    <t>(6) Subaplicación de CF=</t>
  </si>
  <si>
    <t xml:space="preserve">(1) Producción normal x I/P Std. = 20.000 u x 0,5 HM/u = 10.000 HM </t>
  </si>
  <si>
    <t xml:space="preserve">(2) Producción normal x % de actividad = 10.000 HM x 0,95 = 9.500 HM </t>
  </si>
  <si>
    <t xml:space="preserve">(3) Producción real x I/P Std. = 16.000 u x 0,5 HM/u = 8.000 HM </t>
  </si>
  <si>
    <t>10.000 HM (2)</t>
  </si>
  <si>
    <t>10.000 HH (2)</t>
  </si>
  <si>
    <t>(3) 30.600</t>
  </si>
  <si>
    <t>(1) Producción normal x I/P Std.= 9.200 u. x 0,3HH/u. = 2.760HH</t>
  </si>
  <si>
    <t>(2) Hs. productivas de MOD = 2.510 HH</t>
  </si>
  <si>
    <t>(3) Producción real x I/P Std. = 9.000 u. x 0,3HH/u. = 2.700 HH</t>
  </si>
  <si>
    <t>(1) Producción normal x I/P Std.= 2.400 u. x 0,2HM/u. = 480HM</t>
  </si>
  <si>
    <t>(2) Producción real x I/P = 2.000 u. x 0,22HM/u. = 440HM</t>
  </si>
  <si>
    <t>(3) Producción real x I/P Std. = 2.000 u. x 0,2HM/u. = 400 HH</t>
  </si>
  <si>
    <t>(1): Producción normal x I/P Std = 6.500 u. x 2HM/un. = 13.000HM</t>
  </si>
  <si>
    <t>(2): Producción normal x % de actividad = 13.000 HM x 0,90 = 11.700 HM</t>
  </si>
  <si>
    <t>(3): Producción real x I/P Std= 6.000 un. x 2HM/un. = 12.000 HM</t>
  </si>
  <si>
    <t xml:space="preserve">Es válido sólo por tratarse de una empresa MONOPRODUCTORA. </t>
  </si>
  <si>
    <t>Of B/09 2.850u (por diferencia entre  5.250 y 2.400 unidades de la OF A/09)</t>
  </si>
  <si>
    <t>[(imp. informada + imp. oculta) x CH]= 190HH x 4,56$/hh</t>
  </si>
  <si>
    <t>I/P x costo unitario del consumo</t>
  </si>
  <si>
    <t>4)  Var. Presupuesto = CIF PANR - CIF REALES</t>
  </si>
  <si>
    <t xml:space="preserve">I/P x costo unitario del consumo </t>
  </si>
  <si>
    <t>5. Ejercicios resueltos de COSTEO POR ÓRDENES</t>
  </si>
  <si>
    <t>6. Ejercicios resueltos de COSTEO POR PROCESOS</t>
  </si>
  <si>
    <t>7. Ejercicios resueltos de COSTO STÁNDARD</t>
  </si>
  <si>
    <t xml:space="preserve">1 tira/8 tiras = 12.5%  </t>
  </si>
  <si>
    <t>Madera de Álamo:</t>
  </si>
  <si>
    <t>8 tiras</t>
  </si>
  <si>
    <t>1 tablon que cuesta 5$</t>
  </si>
  <si>
    <t>3.5 tiras</t>
  </si>
  <si>
    <t>x = 2.1875 $/u / (1-merma)= 2.1875/(1-0,125)= $ 2.50 por unidad</t>
  </si>
  <si>
    <t>Madera Terciada:</t>
  </si>
  <si>
    <t>Pegamento:</t>
  </si>
  <si>
    <t>1000 gramos</t>
  </si>
  <si>
    <t>0.55 $</t>
  </si>
  <si>
    <t xml:space="preserve">200 gramos    </t>
  </si>
  <si>
    <t>x = $ 0.11 por unidad</t>
  </si>
  <si>
    <t>Nido de Abeja:</t>
  </si>
  <si>
    <t>$ 2 por hoja</t>
  </si>
  <si>
    <t xml:space="preserve">Costo total unitario = $ 17.11 </t>
  </si>
  <si>
    <t>hojas</t>
  </si>
  <si>
    <t>NIVEL (HH)</t>
  </si>
  <si>
    <t xml:space="preserve">HH </t>
  </si>
  <si>
    <t>HH (1)</t>
  </si>
  <si>
    <t xml:space="preserve">1) NIVEL REAL = 6.000 HM/8.000 un. = 0,75 HM/un. x 7.600 un. = 5.700 HM. </t>
  </si>
  <si>
    <t>2,50 (2)</t>
  </si>
  <si>
    <t>1,50  (3)</t>
  </si>
  <si>
    <t>2) TACF FIJA = $15.000/6.000HM = 2,5$/HM.</t>
  </si>
  <si>
    <t xml:space="preserve">3) TACF VARIABLE = $9.000/6.000 HM= 1,5$/HM. </t>
  </si>
  <si>
    <t>Var. capacidad (4)</t>
  </si>
  <si>
    <t>4) Variación capacidad = APLICADO - PANR = $22.800 - $23.550 = -$750.</t>
  </si>
  <si>
    <t>5) Variación presupuesto = PANR - REAL = $23.550 - $25.650 = -$2.100</t>
  </si>
  <si>
    <t>6) Variación neta = -$750 + -$2.100 = -$2.850.</t>
  </si>
  <si>
    <t xml:space="preserve">1) NIVEL REAL = 12.000 un. x 0,4HM/un. = 4.800 HM </t>
  </si>
  <si>
    <t>2) TACF FIJA = $1.680 / 6.000 HM = 0,28 $/HM.</t>
  </si>
  <si>
    <t xml:space="preserve">3) CFV PRES. = 0,15 HM/un. x 6.000 HM= $900. </t>
  </si>
  <si>
    <t>Var. presup. (5)</t>
  </si>
  <si>
    <t>4) VAR. CAP.= APLICADO - PANR = 2.064 - 2.400 = -$336.-</t>
  </si>
  <si>
    <t>5) VAR. PRES.= PANR - REAL = 2.400 - 2.064 = $336.</t>
  </si>
  <si>
    <t xml:space="preserve">6) VAR. NETA = -$336 + $336 = 0 </t>
  </si>
  <si>
    <t>Amortización maquinarias</t>
  </si>
  <si>
    <t>Energía</t>
  </si>
  <si>
    <t xml:space="preserve">HS. MÁQ. </t>
  </si>
  <si>
    <t>/ HM</t>
  </si>
  <si>
    <t>Mto. de maquinarias</t>
  </si>
  <si>
    <t>MANIPULEO Y MONTAJE DE LOTES</t>
  </si>
  <si>
    <t>LOTES</t>
  </si>
  <si>
    <t>/ LOTE</t>
  </si>
  <si>
    <t>CONTROL DE CALIDAD</t>
  </si>
  <si>
    <t>INSPECCIONES</t>
  </si>
  <si>
    <t>/ INSPECC.</t>
  </si>
  <si>
    <t>INSP.</t>
  </si>
  <si>
    <t>COSTO UNITARIO SISTEMA ABC</t>
  </si>
  <si>
    <t xml:space="preserve">Agrupar actividades y calcular costos del inductor </t>
  </si>
  <si>
    <t>COSTO PRIMO</t>
  </si>
  <si>
    <t>UNID.</t>
  </si>
  <si>
    <t>HELADERA s/ FREEZER</t>
  </si>
  <si>
    <t>HELADERA c/ FREEZER</t>
  </si>
  <si>
    <t>$/ INSP.</t>
  </si>
  <si>
    <t>$/HM</t>
  </si>
  <si>
    <t>$/LOTE</t>
  </si>
  <si>
    <t xml:space="preserve">UNID. </t>
  </si>
  <si>
    <t>COSTO UNITARIO SISTEMA TRADICIONAL</t>
  </si>
  <si>
    <t xml:space="preserve">Control de calidad </t>
  </si>
  <si>
    <t>Mantenimiento maquinarias</t>
  </si>
  <si>
    <t xml:space="preserve">Manipuleo de lotes </t>
  </si>
  <si>
    <t xml:space="preserve">Amortización maquinarias </t>
  </si>
  <si>
    <t xml:space="preserve">Energía </t>
  </si>
  <si>
    <t xml:space="preserve">Montaje de lotes </t>
  </si>
  <si>
    <t>CARGA FABRIL PRESUPUESTADA</t>
  </si>
  <si>
    <t>VNP (HM)</t>
  </si>
  <si>
    <t xml:space="preserve">HEL.SIN FREEZER </t>
  </si>
  <si>
    <t xml:space="preserve">HEL.CON FREEZER </t>
  </si>
  <si>
    <t>CUOTA DE APLICACIÓN</t>
  </si>
  <si>
    <t xml:space="preserve">Carga fabril </t>
  </si>
  <si>
    <t>HM/UN.</t>
  </si>
  <si>
    <t xml:space="preserve">COMPROBACIÓN </t>
  </si>
  <si>
    <t>HEL. SIN FREEZER</t>
  </si>
  <si>
    <t>HEL. CON FREEZER</t>
  </si>
  <si>
    <t>NIVEL (HM)</t>
  </si>
  <si>
    <t>CMV</t>
  </si>
  <si>
    <t>Gastos de comercialización</t>
  </si>
  <si>
    <t>Gastos de administración</t>
  </si>
  <si>
    <t>Improductividad MOD</t>
  </si>
  <si>
    <t>(2) 3,50</t>
  </si>
  <si>
    <t>$ 30.000,00 (3)</t>
  </si>
  <si>
    <t>2) TACF Variable = $13125 / 3750HM = $3,50/HM.</t>
  </si>
  <si>
    <t>3) CFF = $8/HM x 3.750HM = $30.000</t>
  </si>
  <si>
    <t>$ 28.000,00 (4)</t>
  </si>
  <si>
    <t xml:space="preserve">4) CFF PANR + Variación Capacidad = CFF APLICADA </t>
  </si>
  <si>
    <t xml:space="preserve">    $30.000 - $2.000 = $28.000</t>
  </si>
  <si>
    <t>1) $13.125 - $377 = $12.748</t>
  </si>
  <si>
    <t>(1) $12.748,00</t>
  </si>
  <si>
    <t>HM (5)</t>
  </si>
  <si>
    <t>5) CFF Aplicada / TACFF = $28.000 / 8$/HM = 3.500 HM</t>
  </si>
  <si>
    <t>$12.250,00 (6)</t>
  </si>
  <si>
    <t>6) CFV Aplicada = TACFV x NR = 3,50$/HM x 3.500HM = $12.250</t>
  </si>
  <si>
    <t>(7) $30.772,00</t>
  </si>
  <si>
    <t>7) CFF Real = PANR + Variación presupuesto fija = $30.000 + $772 = $30.772</t>
  </si>
  <si>
    <t xml:space="preserve">Ventas OF: A 01/10 de   </t>
  </si>
  <si>
    <t>1500 unidades</t>
  </si>
  <si>
    <t>500 unidades</t>
  </si>
  <si>
    <t>Producción OF: A 01/10 del periodo</t>
  </si>
  <si>
    <t>1000 unidades</t>
  </si>
  <si>
    <t>Por Rel I/P: 1000 unid x 2 HM=</t>
  </si>
  <si>
    <t>2000HM utilizadas para OF A 01/10</t>
  </si>
  <si>
    <t>Total de Capacidad Real</t>
  </si>
  <si>
    <t>1500 HM se utilizaron para OF B 02/20</t>
  </si>
  <si>
    <t>Por Rel I/P: OF B 02/20</t>
  </si>
  <si>
    <t>2.5 HM/u</t>
  </si>
  <si>
    <t>3500 HM</t>
  </si>
  <si>
    <t>600 unid se fabricaron de la OF B 02/20</t>
  </si>
  <si>
    <t>1) Análisis de variaciones de CIF</t>
  </si>
  <si>
    <t>2) Determinación de la producción del período</t>
  </si>
  <si>
    <t>OF A 01/10</t>
  </si>
  <si>
    <t>Costo de producción</t>
  </si>
  <si>
    <t>MP      1000 un. X 2 ump/up x 7$/ump</t>
  </si>
  <si>
    <t>MOD    1000 un. X 2 HH/up x 5$/HH x 1,65</t>
  </si>
  <si>
    <t>CF       1000 un. X 2HM/up x 11,50$/HM</t>
  </si>
  <si>
    <t>+ IIPP</t>
  </si>
  <si>
    <t xml:space="preserve">+ IIPP  500 un. x 53,50$/un. </t>
  </si>
  <si>
    <t>-IFPP</t>
  </si>
  <si>
    <t>Costo de los productos terminados</t>
  </si>
  <si>
    <t>+ IIPT</t>
  </si>
  <si>
    <t>- IFPT</t>
  </si>
  <si>
    <t>Costo de las mercaderías vendidas</t>
  </si>
  <si>
    <t>OF B 02/20</t>
  </si>
  <si>
    <t>MOD    600 un. x 2 HH/up x 5$/HH x 1,65</t>
  </si>
  <si>
    <t>MP      600 un. x 2,5 ump/up x 7$/ump</t>
  </si>
  <si>
    <t>CF       600 un. x 2,5 HM/up x 11,50$/HM</t>
  </si>
  <si>
    <t xml:space="preserve">4) Costo unitario de producción OF A 01/10 = $80.250 / $1.500 = 53,50$/un. </t>
  </si>
  <si>
    <t>3) Estado de Costos para cada orden de fabricación</t>
  </si>
  <si>
    <t xml:space="preserve">5) Estado de resultados del período </t>
  </si>
  <si>
    <t>Hs. normales</t>
  </si>
  <si>
    <t>Hs. presenciales</t>
  </si>
  <si>
    <t>Hs. trabaj.</t>
  </si>
  <si>
    <t>Imp. Informada</t>
  </si>
  <si>
    <t>Hs. presencial</t>
  </si>
  <si>
    <t>Imp. Oculta</t>
  </si>
  <si>
    <t>1) Relación Insumo-Producto de MOD</t>
  </si>
  <si>
    <t>Cap. Normal</t>
  </si>
  <si>
    <t xml:space="preserve">Producción normal </t>
  </si>
  <si>
    <t>Relación I/P</t>
  </si>
  <si>
    <t>2) Cuadro de determinación de las horas productivas del mes</t>
  </si>
  <si>
    <t>Ausencias</t>
  </si>
  <si>
    <t xml:space="preserve">Improductividad </t>
  </si>
  <si>
    <t>3) Cantidad de unidades producidas en el mes</t>
  </si>
  <si>
    <t xml:space="preserve">Producción real = Hs. productivas / Rel. I/P = 2100HH / 0,4HH/up = 5.250 un. </t>
  </si>
  <si>
    <t>OF 1A = 1.000u. (terminadas y vendidas)</t>
  </si>
  <si>
    <t xml:space="preserve">OF 2B = 2.000u. (terminadas y vendidas) </t>
  </si>
  <si>
    <r>
      <t xml:space="preserve">OF 3C = 5.250u. - 1.000u. - 2.000un. = </t>
    </r>
    <r>
      <rPr>
        <b/>
        <sz val="10"/>
        <color theme="1"/>
        <rFont val="Arial"/>
        <family val="2"/>
      </rPr>
      <t>2.250 unidades</t>
    </r>
    <r>
      <rPr>
        <sz val="10"/>
        <color theme="1"/>
        <rFont val="Arial"/>
        <family val="2"/>
      </rPr>
      <t xml:space="preserve"> (por diferencia, en proceso al final del mes de septiembre). </t>
    </r>
  </si>
  <si>
    <t>4) Cálculo de la incidencia de cargas sociales</t>
  </si>
  <si>
    <r>
      <t xml:space="preserve">ICS= [(1+0,12 + 0,04 + 0,04) x (1,0833) x (1,239) + 0,02 + 0,01935] -1 = </t>
    </r>
    <r>
      <rPr>
        <b/>
        <sz val="10"/>
        <color theme="1"/>
        <rFont val="Arial"/>
        <family val="2"/>
      </rPr>
      <t>0,65</t>
    </r>
  </si>
  <si>
    <t>5) Jornal horario bruto y costo horario de la mano de obra directa</t>
  </si>
  <si>
    <t>Jornales netos de MOD = 83% del jornal bruto = $5.179,20</t>
  </si>
  <si>
    <t>Jornales brutos = $5.179,20/0,83 = $6.240</t>
  </si>
  <si>
    <r>
      <t xml:space="preserve">Jornal horario bruto = Jornales burtos / Capacidad normal = $6.240 / 2.400HH = </t>
    </r>
    <r>
      <rPr>
        <b/>
        <sz val="10"/>
        <color theme="1"/>
        <rFont val="Arial"/>
        <family val="2"/>
      </rPr>
      <t>2,60$/HH.</t>
    </r>
  </si>
  <si>
    <r>
      <t xml:space="preserve">Costo horario = Jornal horario bruto x (1 + Inc. Cs. Sociales) = 2,60$/HH x 1,65 = </t>
    </r>
    <r>
      <rPr>
        <b/>
        <sz val="10"/>
        <color theme="1"/>
        <rFont val="Arial"/>
        <family val="2"/>
      </rPr>
      <t xml:space="preserve">4,29 $/HH. </t>
    </r>
  </si>
  <si>
    <t xml:space="preserve">6) Costo de mano de obra directa para el período y para cada orden de fabricación </t>
  </si>
  <si>
    <t>Costo MOD = Horas productivas x Costo horario = 2.100HH x 4,29$/HH = $9.009</t>
  </si>
  <si>
    <t>OF 1A</t>
  </si>
  <si>
    <t>OF 3C</t>
  </si>
  <si>
    <t>OF 1A = 1000 u. x 0,40HH/un. x 4,29$/HH =</t>
  </si>
  <si>
    <t>OF 2A = 2000 u. x 0,40HH/un. x 4,29$/HH =</t>
  </si>
  <si>
    <t xml:space="preserve">OF 3C = 2.250 u. x 0,40HH/un. x 4,29$/HH = </t>
  </si>
  <si>
    <t>7) Consumo de materias primas del mes</t>
  </si>
  <si>
    <t>IIMP</t>
  </si>
  <si>
    <t>COMPRAS</t>
  </si>
  <si>
    <t>IFMP (x diferencia)</t>
  </si>
  <si>
    <t>UMP</t>
  </si>
  <si>
    <t>UMP (5.250 un. x 2UMP/un.)</t>
  </si>
  <si>
    <t>8) Costo de la materia prima  consumida en el mes y asignación a cada orden</t>
  </si>
  <si>
    <t>3200 UMP</t>
  </si>
  <si>
    <t>0,80 $/UMP</t>
  </si>
  <si>
    <t>9600 UMP</t>
  </si>
  <si>
    <t>2300 UMP</t>
  </si>
  <si>
    <t>10500 UMP</t>
  </si>
  <si>
    <t>0,9 $/UMP</t>
  </si>
  <si>
    <t>PPP =</t>
  </si>
  <si>
    <t>Compras + IIMP</t>
  </si>
  <si>
    <t>Costo compras + costo IIMP =</t>
  </si>
  <si>
    <t>0,875 $/UMP</t>
  </si>
  <si>
    <t>OF 2B</t>
  </si>
  <si>
    <t>9) Cuadro completo de análisis de variaciones de carga fabril</t>
  </si>
  <si>
    <t>OF 1A = 1000 u. x 2UMP/u. = 2000UMP x 0,875$/UMP =</t>
  </si>
  <si>
    <t xml:space="preserve">OF 2B = 2000 u. x 2UMP/u. = 4000 UMP x 0,875$/UMP = </t>
  </si>
  <si>
    <t xml:space="preserve">OF 3C = 2250 u. x 2UMP/u. = 4500 UMP x 0,875$/UMP =  </t>
  </si>
  <si>
    <t>1) Nivel real = Prod. Real x Rel. I/P = 5250 un. x (3000 HM / 6000 un.) = 5250 x 1/2 HM/un. = 2625 HM</t>
  </si>
  <si>
    <t>o Nivel normal x (1 - %inactividad) = 3000 HM x (1-0,125) = 2625 HM</t>
  </si>
  <si>
    <t>(2) 0,96</t>
  </si>
  <si>
    <t>(2) 2,20</t>
  </si>
  <si>
    <t>2) Tasa de aplicación fija = CIF F Presupuestado/NN = $6600/3000HM = 2,20$/HM</t>
  </si>
  <si>
    <t>Tasa de aplicación variable = CIF V Presupuestada/NN = $2880/3000 HM = 0,96 $/HM</t>
  </si>
  <si>
    <t>REAL (3)</t>
  </si>
  <si>
    <t>Compra de suministros</t>
  </si>
  <si>
    <t>Compra de materiales indirectos</t>
  </si>
  <si>
    <t>Fuerza motriz consumida</t>
  </si>
  <si>
    <t>CIF Fijos Reales</t>
  </si>
  <si>
    <r>
      <t xml:space="preserve">3) </t>
    </r>
    <r>
      <rPr>
        <u/>
        <sz val="10"/>
        <color theme="1"/>
        <rFont val="Arial"/>
        <family val="2"/>
      </rPr>
      <t>CIF Variables reales</t>
    </r>
  </si>
  <si>
    <t>Sueldos y cargas sociales de MOI</t>
  </si>
  <si>
    <t>Alquileres de planta</t>
  </si>
  <si>
    <t>Seguro contra incendio de planta</t>
  </si>
  <si>
    <t>Calefacción y luz</t>
  </si>
  <si>
    <t>Amortización lineal de maquinarias (fabril)</t>
  </si>
  <si>
    <t xml:space="preserve">Amortización lineal de edificios (fabril) </t>
  </si>
  <si>
    <t>Limpieza de planta (empresa contratada)</t>
  </si>
  <si>
    <t>10) Asignación de costo de carga fabril para cada orden de fabricación</t>
  </si>
  <si>
    <t>Justificación de variación capacidad: 12,5% de inactividad x CIF F Presupuestados = 0,125 x $6.600 = $825 Desfavorable</t>
  </si>
  <si>
    <t>OF 3C = 2250 un. x 1/2HM/un. = 1125 HMx 3,16$/HM =</t>
  </si>
  <si>
    <t xml:space="preserve">OF 1A = 1000un. x 1/2 HM/un. = 500 HM x 3,16$/HM = </t>
  </si>
  <si>
    <t xml:space="preserve">OF 2B = 2000un. x 1/2HM/un. = 1000 HM x 3,16$/HM = </t>
  </si>
  <si>
    <t xml:space="preserve">11) Estado de costos para el mes y para cada orden de fabricación </t>
  </si>
  <si>
    <t>Consumo de MP</t>
  </si>
  <si>
    <t>CIF Aplicado</t>
  </si>
  <si>
    <t>OF 0Z</t>
  </si>
  <si>
    <t>(+) IIPP</t>
  </si>
  <si>
    <t>(-) IFPP</t>
  </si>
  <si>
    <t>Costo productos terminados</t>
  </si>
  <si>
    <t>(+) IIPT</t>
  </si>
  <si>
    <t>(-) IFPT</t>
  </si>
  <si>
    <t>Costo PTyV</t>
  </si>
  <si>
    <t xml:space="preserve">OF 1A = $5046/1000 un. = $5,046/un. </t>
  </si>
  <si>
    <t>OF 2B= $10092/2000 un.= $5,046/un.</t>
  </si>
  <si>
    <t>OF 3C = $11353,50/2250 un.= $5,046/un.</t>
  </si>
  <si>
    <t>Composición:</t>
  </si>
  <si>
    <t>Cantidad (Q)</t>
  </si>
  <si>
    <t>Costo unit.</t>
  </si>
  <si>
    <t>(+) PRODUCCIÓN</t>
  </si>
  <si>
    <t>(-) EF</t>
  </si>
  <si>
    <t>VENTA</t>
  </si>
  <si>
    <t>OF. Casamiento</t>
  </si>
  <si>
    <t>tarjetas</t>
  </si>
  <si>
    <t>OF. Comunión</t>
  </si>
  <si>
    <t>(+) COMPRAS</t>
  </si>
  <si>
    <t>U.E.P.S</t>
  </si>
  <si>
    <t>Lote óptimo de compra</t>
  </si>
  <si>
    <t>Demanda anual =</t>
  </si>
  <si>
    <t>kilogramos</t>
  </si>
  <si>
    <t>Cantidad neta</t>
  </si>
  <si>
    <t>Rendimiento</t>
  </si>
  <si>
    <t>1 - Desperdicio</t>
  </si>
  <si>
    <t>1 - 0,25</t>
  </si>
  <si>
    <t>Rel. I/P Com. =</t>
  </si>
  <si>
    <t>1,5 hojas</t>
  </si>
  <si>
    <r>
      <t xml:space="preserve">Q </t>
    </r>
    <r>
      <rPr>
        <vertAlign val="subscript"/>
        <sz val="11"/>
        <color theme="1"/>
        <rFont val="Arial"/>
        <family val="2"/>
      </rPr>
      <t>op.</t>
    </r>
    <r>
      <rPr>
        <sz val="11"/>
        <color theme="1"/>
        <rFont val="Arial"/>
        <family val="2"/>
      </rPr>
      <t xml:space="preserve">   =</t>
    </r>
  </si>
  <si>
    <t>HOJAS</t>
  </si>
  <si>
    <t>HOJAS/UN.</t>
  </si>
  <si>
    <t>veces/mes</t>
  </si>
  <si>
    <t xml:space="preserve">Existencia final </t>
  </si>
  <si>
    <t xml:space="preserve">Ssp = </t>
  </si>
  <si>
    <t>Consumo normal x Demora normal</t>
  </si>
  <si>
    <t>Consumo normal =</t>
  </si>
  <si>
    <r>
      <t>240 Tcas.</t>
    </r>
    <r>
      <rPr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x 1 Hoja/T.cas. x 12 meses)+(150 Tcom. x 2 Hojas/T. com. x 12 meses)</t>
    </r>
  </si>
  <si>
    <t>(240 Tcas./30) x 1 Hoja/Tcas. + (150 Tcom./30) x 2 Hojas/T. com.</t>
  </si>
  <si>
    <t>HOJAS/DÍA</t>
  </si>
  <si>
    <t>18 Hojas/día x 5 días</t>
  </si>
  <si>
    <t>Tarjetas Casamiento x R I/P Cas.+ Tarjetas Comunión x R I/P = Consumo MP</t>
  </si>
  <si>
    <t>Tarjetas Casamiento x 1 H/UN. + 140 Tarjetas Comunión x 2 H/UN. = 500 Hojas</t>
  </si>
  <si>
    <t>Tarjetas Casamiento =</t>
  </si>
  <si>
    <t>50 x 6</t>
  </si>
  <si>
    <t>40 x 8</t>
  </si>
  <si>
    <t>PRODUCCIÓN REAL OF. CASAMIENTO</t>
  </si>
  <si>
    <t>Horas hombre normales</t>
  </si>
  <si>
    <t>(ausencias justificadas)</t>
  </si>
  <si>
    <t>Dato del ejercicio</t>
  </si>
  <si>
    <t>(ausencias injustificadas)</t>
  </si>
  <si>
    <t>Horas hombre presenciales</t>
  </si>
  <si>
    <t>(improductividad informada)</t>
  </si>
  <si>
    <t>De acuerdo al informe de tiempos perdidos</t>
  </si>
  <si>
    <t>Horas hombre trabajadas</t>
  </si>
  <si>
    <t>(improductividad oculta)</t>
  </si>
  <si>
    <t>Se determina por diferencia</t>
  </si>
  <si>
    <t>Horas hombre productivas</t>
  </si>
  <si>
    <t xml:space="preserve">Incidencia de cargas sociales </t>
  </si>
  <si>
    <t>Costo horario =</t>
  </si>
  <si>
    <t>Taraifa o jornal x (1+Incidencia de Cargas Sociales)</t>
  </si>
  <si>
    <t>Costo total MOD=</t>
  </si>
  <si>
    <t>Costo horario x Horas productivas</t>
  </si>
  <si>
    <t xml:space="preserve">220 T. Cas. x 1,5HH/un. + 140 T. Com. x 1,5HH/un. </t>
  </si>
  <si>
    <t xml:space="preserve">240 T. Cas. x 1,5HH/un. + 150 T. Com. x 1,5HH/un. </t>
  </si>
  <si>
    <t>[(1 + 0,05 + 0,04) x (1 + 0,0833) x (1 + 0,239) + (0,02 + 0,017)]-1</t>
  </si>
  <si>
    <t>$6/HH x (1+0,50)</t>
  </si>
  <si>
    <t xml:space="preserve">Costo unitario </t>
  </si>
  <si>
    <t>Costo unitario "A"</t>
  </si>
  <si>
    <t>Costo unitario "B"</t>
  </si>
  <si>
    <t>I/P x Costo unitario del consumo</t>
  </si>
  <si>
    <t>I/P x Costo horario</t>
  </si>
  <si>
    <t xml:space="preserve">I/P x T.A.C.F </t>
  </si>
  <si>
    <t>Estado de Resultados</t>
  </si>
  <si>
    <t>Costo de las mdias. vendidas</t>
  </si>
  <si>
    <t>Subaplicación de Carga Fabril</t>
  </si>
  <si>
    <t>Improductividades MOD</t>
  </si>
  <si>
    <t xml:space="preserve">2) Nivel real= 220 T. Cas. x 0,5HM/un. + 140 T. Com. x 0,2 HM/un. </t>
  </si>
  <si>
    <t>1) Nivel normal = 240 T. Cas. x 0,5HM/un.+ 150 T. Com. x 0,2 HM/un.</t>
  </si>
  <si>
    <t>3) TACF Fija = -$120/(138HM - 150 HM) = $-120/-12HM = $10/HM.</t>
  </si>
  <si>
    <t>(3) 10,00</t>
  </si>
  <si>
    <t>(4) 550</t>
  </si>
  <si>
    <t>4) CFV Real = PANR - Variación Pres. = $690 - $140 = $550</t>
  </si>
  <si>
    <t>Costo unitario Tarjeta Comunión</t>
  </si>
  <si>
    <t>Costo unitario Tarjeta Casamiento</t>
  </si>
  <si>
    <t>Costo unitario "Tarjeta Casamiento"</t>
  </si>
  <si>
    <t>Costo unitario "Tarjeta Comunión"</t>
  </si>
  <si>
    <t xml:space="preserve">1 H/UN. x 8 $/H. </t>
  </si>
  <si>
    <t>2 H/UN. x 8 $/H</t>
  </si>
  <si>
    <t>1,5 HH/UN. x  9 $/HH</t>
  </si>
  <si>
    <t>0,5HM/UN x 15 $/HM</t>
  </si>
  <si>
    <t>0,2HM/UN. x 15 $/HM</t>
  </si>
  <si>
    <t>40 u. x $28,00</t>
  </si>
  <si>
    <t>220 u. x $29,00</t>
  </si>
  <si>
    <t>Dato extraído del estado de costos</t>
  </si>
  <si>
    <t>1,5% sobre ventas</t>
  </si>
  <si>
    <t>Extraído del cuadro de análisis de variaciones de CF</t>
  </si>
  <si>
    <t>(15 HH + 10 HH) x 9 $/HH</t>
  </si>
  <si>
    <t>inventarios</t>
  </si>
  <si>
    <t>grumo</t>
  </si>
  <si>
    <t>varillas pvc</t>
  </si>
  <si>
    <t>puertas</t>
  </si>
  <si>
    <t>II</t>
  </si>
  <si>
    <t>produccion</t>
  </si>
  <si>
    <t>enviado al</t>
  </si>
  <si>
    <t>ventas</t>
  </si>
  <si>
    <t>dpto termina</t>
  </si>
  <si>
    <t>dpto inyeccion costo</t>
  </si>
  <si>
    <t>mp</t>
  </si>
  <si>
    <t>150000 kg grumo</t>
  </si>
  <si>
    <t>mod</t>
  </si>
  <si>
    <t>15000u x 1hh x</t>
  </si>
  <si>
    <t>cif v</t>
  </si>
  <si>
    <t>15000u x1hh x</t>
  </si>
  <si>
    <t>cif f</t>
  </si>
  <si>
    <t>15000u x1  hh x</t>
  </si>
  <si>
    <t>15000 U</t>
  </si>
  <si>
    <t>cuadro ppc dto terminado</t>
  </si>
  <si>
    <t>EF p en p</t>
  </si>
  <si>
    <t>PT</t>
  </si>
  <si>
    <t>EI p en p</t>
  </si>
  <si>
    <t>MERMAS</t>
  </si>
  <si>
    <t>uf</t>
  </si>
  <si>
    <t>% avance</t>
  </si>
  <si>
    <t>u.e.</t>
  </si>
  <si>
    <t>MT</t>
  </si>
  <si>
    <t>MN</t>
  </si>
  <si>
    <t>ME</t>
  </si>
  <si>
    <t>varillas</t>
  </si>
  <si>
    <t>manija</t>
  </si>
  <si>
    <t>marco</t>
  </si>
  <si>
    <t>MO</t>
  </si>
  <si>
    <t>valuacion de la ppc</t>
  </si>
  <si>
    <t>valuacion de la PBE</t>
  </si>
  <si>
    <t>costo unit ppc</t>
  </si>
  <si>
    <t>9800unid</t>
  </si>
  <si>
    <t>PRODUCCION TERMINADA</t>
  </si>
  <si>
    <t>INV FINAL DE P en P</t>
  </si>
  <si>
    <t>U F</t>
  </si>
  <si>
    <t>PARTIDA</t>
  </si>
  <si>
    <t>VALOR</t>
  </si>
  <si>
    <t>UE</t>
  </si>
  <si>
    <t>ue</t>
  </si>
  <si>
    <t>manijas</t>
  </si>
  <si>
    <t>mo</t>
  </si>
  <si>
    <t>cif</t>
  </si>
  <si>
    <t>COMPROBACION</t>
  </si>
  <si>
    <t>II P en P</t>
  </si>
  <si>
    <t>COSTOS DEL PERIOD</t>
  </si>
  <si>
    <t>IF Pen P</t>
  </si>
  <si>
    <t>VALUACION BIENES DE CAMBIO</t>
  </si>
  <si>
    <t>MP GRUMO</t>
  </si>
  <si>
    <t>1000K</t>
  </si>
  <si>
    <t>VARILLAS</t>
  </si>
  <si>
    <t>unid</t>
  </si>
  <si>
    <t>IF P en P</t>
  </si>
  <si>
    <t>IF PT</t>
  </si>
  <si>
    <t>PUERTAS</t>
  </si>
  <si>
    <t>Orden que se vende</t>
  </si>
  <si>
    <t>Orden que NO se vende</t>
  </si>
  <si>
    <t>Composición de orden:</t>
  </si>
  <si>
    <t>OF. N° 2001</t>
  </si>
  <si>
    <t>Cantidad</t>
  </si>
  <si>
    <t>Costo un.</t>
  </si>
  <si>
    <t>OF. N° 2002</t>
  </si>
  <si>
    <t>1000 x $120</t>
  </si>
  <si>
    <t>500 x $150,50</t>
  </si>
  <si>
    <t>PRODUCCIÓN NORMAL MENSUAL:</t>
  </si>
  <si>
    <t>UNIDADES</t>
  </si>
  <si>
    <t xml:space="preserve">PRODUCCIÓN NORMAL MENSUAL: </t>
  </si>
  <si>
    <t>MATERIA PRIMA</t>
  </si>
  <si>
    <t>Costo un. ($)</t>
  </si>
  <si>
    <t>665 x $37</t>
  </si>
  <si>
    <t>1.100 x $40</t>
  </si>
  <si>
    <t>Lote óptimo</t>
  </si>
  <si>
    <t xml:space="preserve">Gestión de Stocks </t>
  </si>
  <si>
    <t xml:space="preserve">Stock mín. primario: </t>
  </si>
  <si>
    <t>Consumo normal x demora normal</t>
  </si>
  <si>
    <t>r=</t>
  </si>
  <si>
    <t>kgs./día</t>
  </si>
  <si>
    <t>u=</t>
  </si>
  <si>
    <t xml:space="preserve">Consumo máximo: </t>
  </si>
  <si>
    <t xml:space="preserve">kgs./día </t>
  </si>
  <si>
    <t>D=</t>
  </si>
  <si>
    <t xml:space="preserve">Demora máxima: </t>
  </si>
  <si>
    <t>Relación I/P "A"</t>
  </si>
  <si>
    <t>kgs./unidad</t>
  </si>
  <si>
    <t>Relación I/P "B"</t>
  </si>
  <si>
    <t xml:space="preserve">Q lote óptimo: </t>
  </si>
  <si>
    <t xml:space="preserve">Kgs. </t>
  </si>
  <si>
    <t xml:space="preserve">Frecuencia mensual: </t>
  </si>
  <si>
    <t>MANO DE OBRA DIRECTA (MOD)</t>
  </si>
  <si>
    <t>I/P A</t>
  </si>
  <si>
    <t>I/P B</t>
  </si>
  <si>
    <t>(-) ausencias justificadas</t>
  </si>
  <si>
    <t>(-) ausencias injustificadas</t>
  </si>
  <si>
    <t>Horas de presencia</t>
  </si>
  <si>
    <t>(-) improductividad informada</t>
  </si>
  <si>
    <t>Horas realmente trabajadas</t>
  </si>
  <si>
    <t>(-) improductividad oculta</t>
  </si>
  <si>
    <t>Horas productivas o eficientes</t>
  </si>
  <si>
    <t>Q producción real "A" x I/P A + Q producción real "B" x I/P B = HORAS PRODUCTIVAS</t>
  </si>
  <si>
    <t>2.000 unidades A x 1HH/UN. + Q B x 1,5HH/UN. = 2.750 HH</t>
  </si>
  <si>
    <t>Q B =</t>
  </si>
  <si>
    <t xml:space="preserve">Tarifa o jornal: </t>
  </si>
  <si>
    <t>tarifa x (1 + ICS)</t>
  </si>
  <si>
    <t>Adicional por título</t>
  </si>
  <si>
    <t>Vacaciones</t>
  </si>
  <si>
    <t>Licencias por enfermedad</t>
  </si>
  <si>
    <t>Indemnización por despido</t>
  </si>
  <si>
    <t>Incidencia de Cs. Sociales=</t>
  </si>
  <si>
    <t xml:space="preserve">[(1+0,08+0,04+0,02)x(1+0,0833)x(1,239)+(0,02)]-1 </t>
  </si>
  <si>
    <t>2750 HH x $10,00/HH</t>
  </si>
  <si>
    <t>CARGA FABRIL</t>
  </si>
  <si>
    <t xml:space="preserve">Variación capacidad: </t>
  </si>
  <si>
    <t>(NR - NN) x TACFF</t>
  </si>
  <si>
    <t>TACFF=</t>
  </si>
  <si>
    <t>Variación presupuesto=</t>
  </si>
  <si>
    <t>MANO DE OBRA</t>
  </si>
  <si>
    <t xml:space="preserve">COSTO UNITARIO </t>
  </si>
  <si>
    <t>COSTO UNITARIO</t>
  </si>
  <si>
    <t>Sobreaplicación de CF</t>
  </si>
  <si>
    <t>PBE</t>
  </si>
  <si>
    <t>Consumo de gas (fuerza motriz fábrica)</t>
  </si>
  <si>
    <t>Energía eléctrica (iluminación fábrica)</t>
  </si>
  <si>
    <t>Seguros por incendio sobre productos terminados</t>
  </si>
  <si>
    <r>
      <t xml:space="preserve">1. </t>
    </r>
    <r>
      <rPr>
        <b/>
        <u/>
        <sz val="14"/>
        <color theme="1"/>
        <rFont val="Arial"/>
        <family val="2"/>
      </rPr>
      <t>Resolución EJERCICIOS INTRODUCTORIOS</t>
    </r>
  </si>
  <si>
    <t>2) COSTO UNITARIO DE PRODUCCIÓN TERMINADA</t>
  </si>
  <si>
    <t>Porque valua a UEPS</t>
  </si>
  <si>
    <t>COSTOS PRESUPUESTADOS</t>
  </si>
  <si>
    <t>Amortización edificio planta</t>
  </si>
  <si>
    <t>Luz y fuerza motriz</t>
  </si>
  <si>
    <t>Amortización Maquinarias</t>
  </si>
  <si>
    <t xml:space="preserve">Sueldo Gerente de planta y C.Soc. </t>
  </si>
  <si>
    <t>Sueldo Gerente de ventas y Cs. Soc.</t>
  </si>
  <si>
    <t>Mezclado</t>
  </si>
  <si>
    <t>Compra de 1 tonelada de harina de arvejas</t>
  </si>
  <si>
    <t xml:space="preserve">Jornales operarios y Cs. Soc. </t>
  </si>
  <si>
    <t>CENTRO</t>
  </si>
  <si>
    <t>Consumo de Energía Eléctrica (KW/H)</t>
  </si>
  <si>
    <t>Requisiciones de MP (Vales)</t>
  </si>
  <si>
    <t>Valor maquinarias</t>
  </si>
  <si>
    <t>Superficie ocupada m2</t>
  </si>
  <si>
    <t>MEZCLADO</t>
  </si>
  <si>
    <t>DESHIDRATADO</t>
  </si>
  <si>
    <t>ALMACÉN MP</t>
  </si>
  <si>
    <t>COMEDOR</t>
  </si>
  <si>
    <t xml:space="preserve">Base </t>
  </si>
  <si>
    <t>ALMACEN MP</t>
  </si>
  <si>
    <t>Amortización planta</t>
  </si>
  <si>
    <t>Superf. Ocupada</t>
  </si>
  <si>
    <t>14.500/2.900</t>
  </si>
  <si>
    <t>Consumo energía</t>
  </si>
  <si>
    <t>3.375/2.250</t>
  </si>
  <si>
    <t>Amortización máq.</t>
  </si>
  <si>
    <t>Valor maquin.</t>
  </si>
  <si>
    <t>70.000/700.000</t>
  </si>
  <si>
    <t>Sueldo Gerente Planta</t>
  </si>
  <si>
    <t>15.000/25</t>
  </si>
  <si>
    <t>AD</t>
  </si>
  <si>
    <t>Cierre Comedor</t>
  </si>
  <si>
    <t>4930/(25-5)</t>
  </si>
  <si>
    <t>Cierra Almacén MP</t>
  </si>
  <si>
    <t>Vales MP</t>
  </si>
  <si>
    <t>5186/(42-2)</t>
  </si>
  <si>
    <t>x 3 kg/u.</t>
  </si>
  <si>
    <t>840 u.</t>
  </si>
  <si>
    <t>30 días</t>
  </si>
  <si>
    <t>1.250kg.  x 2</t>
  </si>
  <si>
    <r>
      <t>(4 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x 3$/m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 / (1-MERMA)=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(4 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 x 3$/m</t>
    </r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) / 0.96 = $ 12.50 por unidad</t>
    </r>
  </si>
  <si>
    <t>Desperdicio Material Madera de Álamo para bastidor:</t>
  </si>
  <si>
    <t>1) Determinar el desperdicio para el material "Madera de álamo para bastidor"</t>
  </si>
  <si>
    <t>2) Determinar el costo unitario</t>
  </si>
  <si>
    <t>3) Determinar la cantidad óptima que minimiza los costos</t>
  </si>
  <si>
    <r>
      <rPr>
        <b/>
        <sz val="14"/>
        <color theme="1"/>
        <rFont val="Arial"/>
        <family val="2"/>
      </rPr>
      <t xml:space="preserve">2. </t>
    </r>
    <r>
      <rPr>
        <b/>
        <u/>
        <sz val="14"/>
        <color theme="1"/>
        <rFont val="Arial"/>
        <family val="2"/>
      </rPr>
      <t xml:space="preserve">Ejercicios resueltos de MATERIA PRIMA </t>
    </r>
  </si>
  <si>
    <r>
      <t xml:space="preserve">3. </t>
    </r>
    <r>
      <rPr>
        <b/>
        <u/>
        <sz val="14"/>
        <color theme="1"/>
        <rFont val="Arial"/>
        <family val="2"/>
      </rPr>
      <t xml:space="preserve">Ejercicios resueltos de MANO DE OBRA DIRECTA (MOD) </t>
    </r>
  </si>
  <si>
    <t xml:space="preserve">12 operarios x 26 días x 8 horas/jornada </t>
  </si>
  <si>
    <t>ALTERNATIVA DE RESOLUCION 2 - tasa de aplicación en funcion de las HH de MOD</t>
  </si>
  <si>
    <t>NIVEL DE ACTIVIDAD REAL DE CIF</t>
  </si>
  <si>
    <t xml:space="preserve">300SILLAS X 0,11HH/SILLA= </t>
  </si>
  <si>
    <t>33HH</t>
  </si>
  <si>
    <t xml:space="preserve">600MODULARES X 0,18HH/MODULAR= </t>
  </si>
  <si>
    <t>108HH</t>
  </si>
  <si>
    <t>NIVEL REAL=</t>
  </si>
  <si>
    <t>141HH</t>
  </si>
  <si>
    <t>tasa de aplicación total CIF=</t>
  </si>
  <si>
    <t>$6035 / 141HH</t>
  </si>
  <si>
    <t>42,8$/HH</t>
  </si>
  <si>
    <t>COSTO UNITARIO:</t>
  </si>
  <si>
    <t>SILLAS</t>
  </si>
  <si>
    <t>MODULARES</t>
  </si>
  <si>
    <t>ASIGNACION DEL COSTO PRIMO</t>
  </si>
  <si>
    <t>7$</t>
  </si>
  <si>
    <t>30$</t>
  </si>
  <si>
    <t>ASIGNACIO CIF COSTEO TRADICIONAL</t>
  </si>
  <si>
    <t>42,8$/hh*0,11hh/u=</t>
  </si>
  <si>
    <t>4,71$</t>
  </si>
  <si>
    <t>42,8$/hh*0,18hh/u=</t>
  </si>
  <si>
    <t>7,70$</t>
  </si>
  <si>
    <t>costo unitario de produccion tradicional</t>
  </si>
  <si>
    <t>11,71/u</t>
  </si>
  <si>
    <t>37,70$/u</t>
  </si>
  <si>
    <t>a) Costos directo respecto a la camisa de seda</t>
  </si>
  <si>
    <t>b) Costo indirecto respecto a la camisa de seda</t>
  </si>
  <si>
    <t>c) Costo indirecto respecto a la camisa de seda</t>
  </si>
  <si>
    <t>d) Costo ajeno a la camisa de seda</t>
  </si>
  <si>
    <t>e) Costo indirecto respecto a la camisa de seda</t>
  </si>
  <si>
    <t>f) Costo indirecto respecto a la camisa de seda</t>
  </si>
  <si>
    <t>g) Costo directo respecto a la camisa de seda</t>
  </si>
  <si>
    <t>h) Costo indirecto respecto a la camisa de seda</t>
  </si>
  <si>
    <t>i) No es un costo de producción</t>
  </si>
  <si>
    <t>k) Costo indirecto respecto a la camisa de seda</t>
  </si>
  <si>
    <t>l) Costo indirecto respecto a la camisa de seda</t>
  </si>
  <si>
    <t>j) Costo indirecto respecto a la camisa de seda (es un material indirecto)</t>
  </si>
  <si>
    <t>EJERCICIO N° 1.1: Clasificación de Costos</t>
  </si>
  <si>
    <t>EJERCICIO N° 1.2: Clasificación de Costos</t>
  </si>
  <si>
    <t>EJERCICIO N° 1.4: Costo primo y costo de conversión</t>
  </si>
  <si>
    <t>EJERCICIO N° 1.7: Estado de Costos</t>
  </si>
  <si>
    <t>EJERCICIO N° 1.8: Estado de Resultados</t>
  </si>
  <si>
    <t>Costo de producción: MP + MOD + CF</t>
  </si>
  <si>
    <t>MP consumida: EI + COMPRAS - EF</t>
  </si>
  <si>
    <t>MP consumida: 30.000 + 80.000 - 10.000= 100.000</t>
  </si>
  <si>
    <t>Costo de producción : 100.000 + 30.000 + 40.000= 170.000</t>
  </si>
  <si>
    <t>Costo de producción terminada: EIPP + C. Producción - EFPP</t>
  </si>
  <si>
    <t>Costo de producción terminada: 10.000 + 170.000 - 30.000= 150.000</t>
  </si>
  <si>
    <t>Costo de mercadería vendida: EIPT + Producción terminada - EFPT</t>
  </si>
  <si>
    <t>Costo de mercadería vendida: 5.000 + 150.000 - 15.000= 140.000</t>
  </si>
  <si>
    <t>V – C = RB</t>
  </si>
  <si>
    <t>Gastos de Administración</t>
  </si>
  <si>
    <t>Gastos de Comercialización</t>
  </si>
  <si>
    <t>Gastos de Financiación</t>
  </si>
  <si>
    <t>Resultado Neto</t>
  </si>
  <si>
    <t>Resultado Bruto</t>
  </si>
  <si>
    <t>V – 140.000 = 0,3V</t>
  </si>
  <si>
    <t>V – 0,3V = 140.000</t>
  </si>
  <si>
    <t>0,7 V = 140.000</t>
  </si>
  <si>
    <t>V = 140.000 / 0,7</t>
  </si>
  <si>
    <t>V = 200.000</t>
  </si>
  <si>
    <t>EJERCICIO N° 1.9: Estado de Costos</t>
  </si>
  <si>
    <t>EJERCICIO N° 1.10: Costo primo y costo de conversión - Caso "ABY"</t>
  </si>
  <si>
    <t>EJERCICIO N° 1.11: Costo de las alternativas</t>
  </si>
  <si>
    <t>Costo Hundido</t>
  </si>
  <si>
    <t>Costo Diferencial</t>
  </si>
  <si>
    <t>Alquiler</t>
  </si>
  <si>
    <t>Inversión</t>
  </si>
  <si>
    <t>Amortización</t>
  </si>
  <si>
    <t>Nafta</t>
  </si>
  <si>
    <t>Neumáticos</t>
  </si>
  <si>
    <t>Mantenimiento</t>
  </si>
  <si>
    <t>Patente</t>
  </si>
  <si>
    <t>Seguro</t>
  </si>
  <si>
    <t>Garage</t>
  </si>
  <si>
    <t>Costo Incremental</t>
  </si>
  <si>
    <t>EJERCICIO N° 1.6: Costo directos, indirectos y ajenos. Caso: Aramis S.R.L</t>
  </si>
  <si>
    <t>EJERCICIO N° 1.5: Costos directos, indirectos y ajenos. Caso: Enecé S.A.</t>
  </si>
  <si>
    <t>EJERICICO N° 1.3: Costo primo y costo de conversión. Caso: A la moda S.A.</t>
  </si>
  <si>
    <t>EJERCICIO N° 2.1.: Valuación de existencias</t>
  </si>
  <si>
    <t>EJERCICIO N° 2.2.: Lote óptimo</t>
  </si>
  <si>
    <t>EJERCICIO N° 2.3.: Lote óptimo</t>
  </si>
  <si>
    <t>EJERCICIO N° 2.4.: Lote óptimo y gestión de stocks</t>
  </si>
  <si>
    <t>EJERCICIO N° 2.5.: Lote óptimo y gestión de stocks</t>
  </si>
  <si>
    <t>EJERCICIO N° 2.6.: Rendimiento de materia prima</t>
  </si>
  <si>
    <t>EJERCICIO N° 4.1.: Distribución primaria y secundaria</t>
  </si>
  <si>
    <t>EJERCICIO N° 4.2.: Distribución primariay secundaria</t>
  </si>
  <si>
    <t>EJERCICIO N° 4.3.: Distribución primaria, secundaria y terciaria</t>
  </si>
  <si>
    <t>EJERCICIO N° 4.4.: Distribución primaria, secundaria y terciaria</t>
  </si>
  <si>
    <t>EJERCICIO N° 4.5.: Análisis de variaciones de Carga Fabril</t>
  </si>
  <si>
    <t xml:space="preserve">EJERCICIO N° 4.6.: Análisis de variaciones de Carga Fabril </t>
  </si>
  <si>
    <t xml:space="preserve">EJERCICIO N° 4.7.: Análisis de variaciones de Carga Fabril </t>
  </si>
  <si>
    <t>EJERCICIO N° 4.8.: Análisis de variaciones de Carga Fabril</t>
  </si>
  <si>
    <t>EJERCICIO N° 4.9.: Análisis de variaciones de Carga Fabril</t>
  </si>
  <si>
    <t>EJERCICIO N° 4.10.: Distribución de Costos ABC</t>
  </si>
  <si>
    <t xml:space="preserve">EJERCICIO N° 4.11.: Distribución de Costos ABC. </t>
  </si>
  <si>
    <t xml:space="preserve">EJERCICIO N° 5.1.: Costos por órdenes </t>
  </si>
  <si>
    <t>EJERCICIO N° 5.2.: Costos por órdenes</t>
  </si>
  <si>
    <t>6.000 a $4 2.000 a $3</t>
  </si>
  <si>
    <t>7) CIF variable real = CIF variable PANR - Variación pres. variable desf. = $21.600 + $1.600 = $23.200</t>
  </si>
  <si>
    <t>8) CIF fijo real= CIF fijos PANR - Variación pres. fija fav. = $40.500 - $4.600 = $35.900</t>
  </si>
  <si>
    <t xml:space="preserve">1) Armar el cuadro completo de análisis de variaciones de carga fabril, indicando si se produjo una subaplicación o sobreaplicación de CF. </t>
  </si>
  <si>
    <t>2.550 HM</t>
  </si>
  <si>
    <t>1) NR= (-$3.600/12$/HM) + 2.550HM</t>
  </si>
  <si>
    <t>NR= 2.250 HM</t>
  </si>
  <si>
    <t>2.250 HM (1)</t>
  </si>
  <si>
    <t>27.000 (2)</t>
  </si>
  <si>
    <t>20.250 (3)</t>
  </si>
  <si>
    <t>2) CIF fijos aplicados= 12$/HM x 2.250HM = $27.000</t>
  </si>
  <si>
    <t>3) CIF variables aplicados= 9$/HM x 2.250HM= $20.250</t>
  </si>
  <si>
    <t>2.250 (1)</t>
  </si>
  <si>
    <t xml:space="preserve">2) Determinar la producción del período identificándola por cada orden de fabricación. </t>
  </si>
  <si>
    <t>60 minutos --------- 1 hora</t>
  </si>
  <si>
    <t>Producción del período=</t>
  </si>
  <si>
    <t xml:space="preserve"> 2.250HM/0,15HM/u. </t>
  </si>
  <si>
    <t xml:space="preserve">Producción del período= </t>
  </si>
  <si>
    <t>15.000 unidades</t>
  </si>
  <si>
    <t xml:space="preserve">3) Calcular el costo de materias primas y la valuación del inventario final. </t>
  </si>
  <si>
    <t>0,25 UPT ----------- 1 UMP</t>
  </si>
  <si>
    <t>1 UPT --------------- x= 4 UMP</t>
  </si>
  <si>
    <t>Consumo= 15.000 u. x 4 UMP/u.</t>
  </si>
  <si>
    <t>Consumo = 60.000 UMP</t>
  </si>
  <si>
    <t>5.000 a $4</t>
  </si>
  <si>
    <t>2.500 a $3</t>
  </si>
  <si>
    <t>4) Determinar el costo total de MOD</t>
  </si>
  <si>
    <t>17 op. X 25 días/mes x 8hs./día</t>
  </si>
  <si>
    <t>(-) Ausencias justificadas</t>
  </si>
  <si>
    <t>(-) Ausencias injustificadas</t>
  </si>
  <si>
    <t>(-) Imp. Informada</t>
  </si>
  <si>
    <t>(-) Imp. Oculta</t>
  </si>
  <si>
    <t>5 UPT --------------- 1 HH</t>
  </si>
  <si>
    <t>1 UPT --------------- 0,2 HH</t>
  </si>
  <si>
    <t>15.000 u. x 0,2HH/u.</t>
  </si>
  <si>
    <t>Por diferencia entre las horas trabajadas y las productivas</t>
  </si>
  <si>
    <t>Costo horario = tarifa x (1+ICS)</t>
  </si>
  <si>
    <t>ICS= [(1+0,05) x (1,0833) x (1,239) + (0,0407)]-1</t>
  </si>
  <si>
    <t>ICS= 0,45 (45%)</t>
  </si>
  <si>
    <t>Costo total MOD =</t>
  </si>
  <si>
    <t>Horas productivas x CH</t>
  </si>
  <si>
    <t>Costo horario= 10$/HH x (1+0,45)</t>
  </si>
  <si>
    <t>Costo horario = $14,5/HH</t>
  </si>
  <si>
    <t>3.000 HH x 14,5$/HH</t>
  </si>
  <si>
    <t>5) Calcular el costo unitario de producción del período</t>
  </si>
  <si>
    <t>CONSUMO DE MP</t>
  </si>
  <si>
    <t>COSTO DE MOD</t>
  </si>
  <si>
    <t>CARGA FABRIL APLICADA</t>
  </si>
  <si>
    <t>Costo unitario =</t>
  </si>
  <si>
    <t xml:space="preserve">$330.750 / 15.000 un. </t>
  </si>
  <si>
    <t>Asignación a cada orden de fabricación</t>
  </si>
  <si>
    <t>OF. N° 00241</t>
  </si>
  <si>
    <t xml:space="preserve">La OF. fue concluida al final del mes. </t>
  </si>
  <si>
    <t>OF. N° 00242</t>
  </si>
  <si>
    <t>Producción del período</t>
  </si>
  <si>
    <t xml:space="preserve">Por diferencia entre la producción real del </t>
  </si>
  <si>
    <t xml:space="preserve"> 9 minutos ----------- x= 0,15 Horas</t>
  </si>
  <si>
    <t>Otra forma de resolución</t>
  </si>
  <si>
    <t>4 UMP/u. x $4/UMP = 16 $/unidad</t>
  </si>
  <si>
    <t>0,2 HH/u. x $14,5/HH = $2,90/unidad</t>
  </si>
  <si>
    <t>0,15HM/u. x $21/HM= $3,15/unidad</t>
  </si>
  <si>
    <t>$22,05/unidad</t>
  </si>
  <si>
    <t>Costo un. CF =</t>
  </si>
  <si>
    <t>Costo un. MOD =</t>
  </si>
  <si>
    <t>Costo un. MP =</t>
  </si>
  <si>
    <t>Subaplicación de Carga Fabril = $3.850 (al EERR)</t>
  </si>
  <si>
    <t>EJERCICIO N° 5.3.:  Costos por órdenes</t>
  </si>
  <si>
    <t>EJERCICIO 5.4.: Costos por órdenes</t>
  </si>
  <si>
    <t>EJERCICIO N° 5.5.: Costos por órdenes</t>
  </si>
  <si>
    <t>Costo unitario de cada orden de fabricación</t>
  </si>
  <si>
    <t>Ejercicio N° 5.6: Costos por órdenes</t>
  </si>
  <si>
    <t>Ejercicio N° 5.7.: Costo por órdenes</t>
  </si>
  <si>
    <t>EJERCICIO N° 5.8: Costos por órdenes</t>
  </si>
  <si>
    <t>EJERCICIO N° 5.9.: Costos por órdenes</t>
  </si>
  <si>
    <t>EJERCICIO N° 5.10.: Costos por órdenes</t>
  </si>
  <si>
    <t>EJERCICIO N° 6.1.: Sistema de Costos por procesos</t>
  </si>
  <si>
    <t>EJERCICIO N° 6.2.: Sistema de Costos por procesos</t>
  </si>
  <si>
    <t xml:space="preserve">1) Confeccionar el cuadro completo de la PPC. </t>
  </si>
  <si>
    <t>1) PPBE= PP - DT= 15000-600= 14400u.</t>
  </si>
  <si>
    <t>14.400 (1)</t>
  </si>
  <si>
    <t xml:space="preserve">2) IFPP= IIPP + PPBE - PTyT= 5.000+14.400-10.000= 9.400ueq. </t>
  </si>
  <si>
    <t>9.400 (2)</t>
  </si>
  <si>
    <t xml:space="preserve">3) IFPP= 9.400ueq./0,50= 18.800 uf. </t>
  </si>
  <si>
    <t>18.800 (3)</t>
  </si>
  <si>
    <t>4) DN= t x PPBE= 0,02 x 14.400= 288u.</t>
  </si>
  <si>
    <t>288 (4)</t>
  </si>
  <si>
    <t>5) DE= DT - DN= 600-288= 312u.</t>
  </si>
  <si>
    <t>312 (5)</t>
  </si>
  <si>
    <t xml:space="preserve">6) DEC= DE/(1+t)= 305,88= 306u. </t>
  </si>
  <si>
    <t>306 (6)</t>
  </si>
  <si>
    <t xml:space="preserve">7) PPC= PPBE + DEC= 14.400+306= 14.706u. </t>
  </si>
  <si>
    <t>14.706 (7)</t>
  </si>
  <si>
    <t xml:space="preserve">8) PPBE= PTyT+IFPP-IIPP= 10.000+ 9.400- 4.000= 15.400u. </t>
  </si>
  <si>
    <t>15.400 (8)</t>
  </si>
  <si>
    <t>9) DN= t x PPBE= 0,02 x 15.400= 308u.</t>
  </si>
  <si>
    <t>308 (9)</t>
  </si>
  <si>
    <t>10) DE= DT - DN= 600 - 308= 292u.</t>
  </si>
  <si>
    <t>292 (10)</t>
  </si>
  <si>
    <t>11) DEC= DE/(1+t)= 286 u.</t>
  </si>
  <si>
    <t>286 (11)</t>
  </si>
  <si>
    <t xml:space="preserve">12) PPC= PPBE + DEC= 15.400+286= 15.686u. </t>
  </si>
  <si>
    <t>15.686 (12)</t>
  </si>
  <si>
    <t xml:space="preserve">13) PP= PPBE + DT= 15.400+600= 16.000u. </t>
  </si>
  <si>
    <t>16.000 (13)</t>
  </si>
  <si>
    <t xml:space="preserve">14) PPBE= PTyT + IFPP - IIPP= 10.000+9.400-2.000= 17.400u.  </t>
  </si>
  <si>
    <t>17.400 (14)</t>
  </si>
  <si>
    <t xml:space="preserve">15) DN= t x PPBE= 0,02 x 17.400= 348u. </t>
  </si>
  <si>
    <t>348 (15)</t>
  </si>
  <si>
    <t xml:space="preserve">16) DE= DT - DN = 600 - 348= 252u. </t>
  </si>
  <si>
    <t>252 (16)</t>
  </si>
  <si>
    <t>17) DEC= DE/(1+t)= 247u.</t>
  </si>
  <si>
    <t>247 (17)</t>
  </si>
  <si>
    <t xml:space="preserve">18) PPC= PPBE + DEC= 17.400+247= 17.647u. </t>
  </si>
  <si>
    <t>17.647 (18)</t>
  </si>
  <si>
    <t xml:space="preserve">19) PP= PPBE + DT= 17.400+600= 18.000u. </t>
  </si>
  <si>
    <t>18.000 (19)</t>
  </si>
  <si>
    <t>2) Costo unitario de la PPC</t>
  </si>
  <si>
    <t>$/UEQ.</t>
  </si>
  <si>
    <t>3) Valuación del DEC</t>
  </si>
  <si>
    <t>COSTO UNITARIO de la PPC</t>
  </si>
  <si>
    <t>COSTO DEL DEC</t>
  </si>
  <si>
    <t>EJERCICIO N° 6.3.: Sistema de costos por procesos</t>
  </si>
  <si>
    <t>EJERCICIO N° 6.4.: Sistema de costos por procesos</t>
  </si>
  <si>
    <t>EJERCICIO N° 6.5.: Sistema de costos por procesos</t>
  </si>
  <si>
    <t>1) Cálculo del consumo de materias primas en Kg. y en $</t>
  </si>
  <si>
    <t xml:space="preserve">Las compras se determinan por diferencia: Consumo+IFMP-IIMP= 55.299kg. </t>
  </si>
  <si>
    <t xml:space="preserve">Surge de aplicar el 25% al consumo del mes de Junio de 60.000kg. </t>
  </si>
  <si>
    <t xml:space="preserve">El consumo del mes es dato del enunciado. </t>
  </si>
  <si>
    <t>13.433 a $2,5</t>
  </si>
  <si>
    <t>40.299 a $2,7</t>
  </si>
  <si>
    <t xml:space="preserve">El IIMP (IF del mes de abril) surge de multiplicar el consumo del mes de Mayo de 53.732 kg. por el 25%. </t>
  </si>
  <si>
    <t xml:space="preserve">2) Determinación de la producción procesada durante mayo. </t>
  </si>
  <si>
    <t>PP= Consumo de MP/ R I/P</t>
  </si>
  <si>
    <t>PP= 53.732kg./2kg./unidad</t>
  </si>
  <si>
    <t xml:space="preserve">PP= 26.866 unidades. </t>
  </si>
  <si>
    <t xml:space="preserve">3) Cuadro completo de determinación de la PPC para este elemento en estudio. </t>
  </si>
  <si>
    <t xml:space="preserve">1) PPBE= PTyT + IFPP - IIPP= 22.000+8.000-6.000= 24.000u. </t>
  </si>
  <si>
    <t>24.000 (1)</t>
  </si>
  <si>
    <t xml:space="preserve">2) DT= PP - PPBE= 26.866-24.000= 2.866u. </t>
  </si>
  <si>
    <t>2.866 (2)</t>
  </si>
  <si>
    <t xml:space="preserve">3) DN= t x PPBE= 0,01x24.000= 240u. </t>
  </si>
  <si>
    <t>240 (3)</t>
  </si>
  <si>
    <t xml:space="preserve">4) DE= DT - DN= 2866 - 240= 2.626u. </t>
  </si>
  <si>
    <t>2.626 (4)</t>
  </si>
  <si>
    <t xml:space="preserve">5) DEC= DE/(1+t)= 2626/(1,01)= 2.600u. </t>
  </si>
  <si>
    <t>2.600 (5)</t>
  </si>
  <si>
    <t xml:space="preserve">6) PPC= PPBE+DEC= 24000+2600= 26600u. </t>
  </si>
  <si>
    <t>26.600 (6)</t>
  </si>
  <si>
    <t>4) Costo unitario de producción</t>
  </si>
  <si>
    <t xml:space="preserve">Costo unitario PPC= $142.389,80/26.600u.= $5,353/u. </t>
  </si>
  <si>
    <t>Costo unitario PPC= Consumo de MP (en $)/PPC (unidades)</t>
  </si>
  <si>
    <t>5) Valuación del DEC en el elemento MP</t>
  </si>
  <si>
    <t>DEC (unid.)</t>
  </si>
  <si>
    <t>6) Valuación de producto terminado y transferido en el elemento MP.</t>
  </si>
  <si>
    <t>(promedio)</t>
  </si>
  <si>
    <t>7) Valuación del inventario final de productos en proceso en el elemento MP</t>
  </si>
  <si>
    <t>EJERCICIO N° 6.6.: Sistema de Costos por procesos</t>
  </si>
  <si>
    <t>EJERCICIO N° 6.7.: Sistema de Costos por procesos</t>
  </si>
  <si>
    <t>EJERCICIO N° 6.9.: Sistema de Costos por procesos</t>
  </si>
  <si>
    <t>EJERCICIO N° 6.8.: Sistema de Costos por procesos</t>
  </si>
  <si>
    <t>EJERCICIO N° 6.10.: Sistema de costeo por órdenes y procesos (HÍBRIDO)</t>
  </si>
  <si>
    <t>EJERCICIO N° 7.1.: Costo standard</t>
  </si>
  <si>
    <t>EJERCICIO N° 7.2.: Costo standard</t>
  </si>
  <si>
    <t>5)</t>
  </si>
  <si>
    <t xml:space="preserve">6) </t>
  </si>
  <si>
    <t>EJERCICIO N° 7.3.: Costo standard</t>
  </si>
  <si>
    <t>EJERCICIO N° 7.4.: Costo standard</t>
  </si>
  <si>
    <t>EJERCICIO N° 7.5.: Costo standard</t>
  </si>
  <si>
    <t>1) Variaciones estándar de MP</t>
  </si>
  <si>
    <t>Almacén de MP (P.P.P)</t>
  </si>
  <si>
    <t>Cantidad (kg)</t>
  </si>
  <si>
    <t>$u</t>
  </si>
  <si>
    <t>$T</t>
  </si>
  <si>
    <t>$5/kg.</t>
  </si>
  <si>
    <t>+ Compras</t>
  </si>
  <si>
    <t>$7/kg.</t>
  </si>
  <si>
    <t xml:space="preserve">- EF </t>
  </si>
  <si>
    <t>$6,75/kg</t>
  </si>
  <si>
    <t>$6,75/kg.</t>
  </si>
  <si>
    <t xml:space="preserve">Consumo: 12.000 un. x 3,10kg./u = 37.200 kg. </t>
  </si>
  <si>
    <t xml:space="preserve">Existencia final: EI+COMPRAS-CONSUMO = 5.000+35.000-37.200 = 2.800Kg. </t>
  </si>
  <si>
    <t xml:space="preserve">Costo unitario del consumo y la EF= (245.000+25.000)/(35.000+5.000)= 270.000/40.000= $6,75/kg. </t>
  </si>
  <si>
    <t xml:space="preserve">Variación neta = (Qstd x Pstd) – (Qreal x Preal) </t>
  </si>
  <si>
    <t>Variación neta = [(12.000 u. x 3kg./u) x $7/kg.] – [37.200 kg. x $6,75/kg.]</t>
  </si>
  <si>
    <t>Variación neta = $252.000 - $251.100</t>
  </si>
  <si>
    <t>Variación neta = $900 F</t>
  </si>
  <si>
    <t>Variación cantidad = (Qstd – Qreal) x Pstd</t>
  </si>
  <si>
    <t>Variación cantidad = (36.000kg. – 37.200kg.) x $7/kg.</t>
  </si>
  <si>
    <t>Variación cantidad = -$8400 D</t>
  </si>
  <si>
    <t>Variación precio = (Pstd – Preal) x Qreal</t>
  </si>
  <si>
    <t xml:space="preserve">Variación precio = ($7/kg. - $6,75/kg) x 37.200 kg. </t>
  </si>
  <si>
    <t>Variación precio = $9.300 F</t>
  </si>
  <si>
    <t xml:space="preserve">Variación estándar de MOD </t>
  </si>
  <si>
    <t>Costo horario = $9/HH x (1+0,75)</t>
  </si>
  <si>
    <t>Costo horario = $15,75/HH</t>
  </si>
  <si>
    <t>Costo total MOD = Hs. productivas x Costo horario = 9.000HH x $15,75/HH = $141.750.-</t>
  </si>
  <si>
    <t>Variación neta = (Hs. std x Tstd)- (Hs. reales x Treal)</t>
  </si>
  <si>
    <t>Variación neta = [(12.000 u. x 0,7HH/u) x $15/HH] – [9.000HH x $15,75/HH]</t>
  </si>
  <si>
    <t>Variación neta = $126.000 - $141.750</t>
  </si>
  <si>
    <t>Variación neta = -$15.750 D</t>
  </si>
  <si>
    <t>Variación eficiencia = (Hs.s td – Hs. reales) x Tstd</t>
  </si>
  <si>
    <t>Variación eficiencia = (8.400HH – 9.000HH) x $15/HH</t>
  </si>
  <si>
    <t>Variación eficiencia = -$9.000 D</t>
  </si>
  <si>
    <t xml:space="preserve">Variación tarifa = (Tstd – Treal) x Hs. reales </t>
  </si>
  <si>
    <t>Variación tarifa = ($15/HH - $15,75/HH) x 9.000hh</t>
  </si>
  <si>
    <t xml:space="preserve">Variación tarifa = -$6.750 D </t>
  </si>
  <si>
    <t xml:space="preserve">2) Variaciones estándar de Carga Fabril </t>
  </si>
  <si>
    <t xml:space="preserve">Nivel </t>
  </si>
  <si>
    <t>7.500 HM (1)</t>
  </si>
  <si>
    <t>6.000 HM (2)</t>
  </si>
  <si>
    <t>6.600 HM (3)</t>
  </si>
  <si>
    <t xml:space="preserve">1. Nivel normal = 15.000 u. x 0,5HM/u = 7.500 HM </t>
  </si>
  <si>
    <t>2. Nivel estándar = 12.000 u. x 0,5 HM/u = 6.000 HM</t>
  </si>
  <si>
    <t>3. Nivel real = 7.500 HM x 88% = 6.600 HM (Rel. I/P= 6.600HM/12.000u. = 0,55HM/u.)</t>
  </si>
  <si>
    <t>APLIC. A STD</t>
  </si>
  <si>
    <t>EJERCICIO N° 7.7.: Costo standard</t>
  </si>
  <si>
    <t>EJERCICIO N° 7.6.: Costo standard</t>
  </si>
  <si>
    <t>NIVEL</t>
  </si>
  <si>
    <t>24000 HM</t>
  </si>
  <si>
    <t>18000 HM</t>
  </si>
  <si>
    <t>19200 HM</t>
  </si>
  <si>
    <t xml:space="preserve">Confeccionar el cuadro CIF de determinación de la triple variación de Backer. </t>
  </si>
  <si>
    <t>APLICADO A STD.</t>
  </si>
  <si>
    <r>
      <t>1-</t>
    </r>
    <r>
      <rPr>
        <sz val="7"/>
        <color theme="1"/>
        <rFont val="Arial"/>
        <family val="2"/>
      </rPr>
      <t xml:space="preserve">    </t>
    </r>
    <r>
      <rPr>
        <sz val="10"/>
        <color theme="1"/>
        <rFont val="Arial"/>
        <family val="2"/>
      </rPr>
      <t>Nivel normal = 8000 u. x 3HM/u. = 24000HM</t>
    </r>
  </si>
  <si>
    <r>
      <t>2-</t>
    </r>
    <r>
      <rPr>
        <sz val="7"/>
        <color theme="1"/>
        <rFont val="Arial"/>
        <family val="2"/>
      </rPr>
      <t xml:space="preserve">    </t>
    </r>
    <r>
      <rPr>
        <sz val="10"/>
        <color theme="1"/>
        <rFont val="Arial"/>
        <family val="2"/>
      </rPr>
      <t>Nivel standard = 6000 u. x 3HM/u.= 18000 HM</t>
    </r>
  </si>
  <si>
    <r>
      <t>3-</t>
    </r>
    <r>
      <rPr>
        <sz val="7"/>
        <color theme="1"/>
        <rFont val="Arial"/>
        <family val="2"/>
      </rPr>
      <t xml:space="preserve">    </t>
    </r>
    <r>
      <rPr>
        <sz val="10"/>
        <color theme="1"/>
        <rFont val="Arial"/>
        <family val="2"/>
      </rPr>
      <t>Nivel real = 24000 HM x 0,80 = 19200 HM</t>
    </r>
  </si>
</sst>
</file>

<file path=xl/styles.xml><?xml version="1.0" encoding="utf-8"?>
<styleSheet xmlns="http://schemas.openxmlformats.org/spreadsheetml/2006/main">
  <numFmts count="26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2" formatCode="_ &quot;$&quot;\ * #,##0_ ;_ &quot;$&quot;\ * \-#,##0_ ;_ &quot;$&quot;\ * &quot;-&quot;_ ;_ @_ "/>
    <numFmt numFmtId="41" formatCode="_ * #,##0_ ;_ * \-#,##0_ ;_ * &quot;-&quot;_ ;_ @_ "/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0.000"/>
    <numFmt numFmtId="165" formatCode="_ &quot;$&quot;\ * #,##0_ ;_ &quot;$&quot;\ * \-#,##0_ ;_ &quot;$&quot;\ * &quot;-&quot;??_ ;_ @_ "/>
    <numFmt numFmtId="166" formatCode="#,##0.000"/>
    <numFmt numFmtId="167" formatCode="0.00000"/>
    <numFmt numFmtId="168" formatCode="0.0000"/>
    <numFmt numFmtId="169" formatCode="#,##0.0000"/>
    <numFmt numFmtId="170" formatCode="_ * #,##0.00_ ;_ * \-#,##0.00_ ;_ * &quot;-&quot;_ ;_ @_ "/>
    <numFmt numFmtId="171" formatCode="_ &quot;$&quot;\ * #,##0.000_ ;_ &quot;$&quot;\ * \-#,##0.000_ ;_ &quot;$&quot;\ * &quot;-&quot;??_ ;_ @_ "/>
    <numFmt numFmtId="172" formatCode="_ &quot;$&quot;\ * #,##0.0000_ ;_ &quot;$&quot;\ * \-#,##0.0000_ ;_ &quot;$&quot;\ * &quot;-&quot;??_ ;_ @_ "/>
    <numFmt numFmtId="173" formatCode="#,##0.0"/>
    <numFmt numFmtId="174" formatCode="&quot;$&quot;\ #,##0.0000;[Red]&quot;$&quot;\ \-#,##0.0000"/>
    <numFmt numFmtId="175" formatCode="dd/mm"/>
    <numFmt numFmtId="176" formatCode="#,##0_ ;\-#,##0\ "/>
    <numFmt numFmtId="177" formatCode="#,##0.00_ ;\-#,##0.00\ "/>
    <numFmt numFmtId="178" formatCode="0.0"/>
    <numFmt numFmtId="179" formatCode="0.000000000"/>
    <numFmt numFmtId="180" formatCode="_-&quot;$&quot;\ * #,##0_-;\-&quot;$&quot;\ * #,##0_-;_-&quot;$&quot;\ * &quot;-&quot;??_-;_-@_-"/>
    <numFmt numFmtId="181" formatCode="&quot;$&quot;\ #,##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vertAlign val="subscript"/>
      <sz val="11"/>
      <color theme="1"/>
      <name val="Arial"/>
      <family val="2"/>
    </font>
    <font>
      <vertAlign val="subscript"/>
      <sz val="10"/>
      <color theme="1"/>
      <name val="Arial"/>
      <family val="2"/>
    </font>
    <font>
      <b/>
      <i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4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b/>
      <vertAlign val="superscript"/>
      <sz val="10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u/>
      <sz val="10"/>
      <color theme="1"/>
      <name val="Arial"/>
      <family val="2"/>
    </font>
    <font>
      <vertAlign val="subscript"/>
      <sz val="11"/>
      <color theme="1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9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0"/>
      <color rgb="FF000000"/>
      <name val="Arial"/>
      <family val="2"/>
    </font>
    <font>
      <sz val="10"/>
      <name val="Arial"/>
      <family val="2"/>
    </font>
    <font>
      <b/>
      <sz val="10"/>
      <color theme="1"/>
      <name val="Verdana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/>
    <xf numFmtId="0" fontId="5" fillId="0" borderId="0" xfId="0" applyFont="1"/>
    <xf numFmtId="0" fontId="5" fillId="0" borderId="0" xfId="0" applyNumberFormat="1" applyFont="1"/>
    <xf numFmtId="0" fontId="2" fillId="0" borderId="1" xfId="0" applyFont="1" applyBorder="1" applyAlignment="1">
      <alignment horizontal="right"/>
    </xf>
    <xf numFmtId="1" fontId="3" fillId="0" borderId="2" xfId="0" applyNumberFormat="1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1" fontId="4" fillId="0" borderId="4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7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3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right"/>
    </xf>
    <xf numFmtId="3" fontId="4" fillId="0" borderId="4" xfId="0" applyNumberFormat="1" applyFont="1" applyBorder="1"/>
    <xf numFmtId="49" fontId="4" fillId="0" borderId="4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3" fontId="4" fillId="0" borderId="2" xfId="0" applyNumberFormat="1" applyFont="1" applyBorder="1"/>
    <xf numFmtId="3" fontId="4" fillId="0" borderId="0" xfId="0" applyNumberFormat="1" applyFont="1" applyAlignment="1"/>
    <xf numFmtId="3" fontId="5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0" fontId="8" fillId="0" borderId="0" xfId="0" applyFont="1"/>
    <xf numFmtId="3" fontId="4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4" fontId="5" fillId="0" borderId="0" xfId="0" applyNumberFormat="1" applyFont="1"/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left"/>
    </xf>
    <xf numFmtId="4" fontId="4" fillId="0" borderId="11" xfId="0" applyNumberFormat="1" applyFont="1" applyBorder="1"/>
    <xf numFmtId="4" fontId="4" fillId="0" borderId="9" xfId="0" applyNumberFormat="1" applyFont="1" applyBorder="1"/>
    <xf numFmtId="4" fontId="4" fillId="0" borderId="10" xfId="0" applyNumberFormat="1" applyFont="1" applyBorder="1"/>
    <xf numFmtId="2" fontId="3" fillId="0" borderId="2" xfId="0" applyNumberFormat="1" applyFont="1" applyBorder="1"/>
    <xf numFmtId="9" fontId="4" fillId="0" borderId="0" xfId="2" applyFont="1"/>
    <xf numFmtId="165" fontId="4" fillId="0" borderId="0" xfId="1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4" xfId="0" applyFont="1" applyBorder="1"/>
    <xf numFmtId="2" fontId="4" fillId="0" borderId="0" xfId="0" applyNumberFormat="1" applyFont="1" applyAlignment="1">
      <alignment horizontal="center"/>
    </xf>
    <xf numFmtId="49" fontId="4" fillId="0" borderId="0" xfId="0" applyNumberFormat="1" applyFont="1"/>
    <xf numFmtId="44" fontId="4" fillId="0" borderId="0" xfId="1" applyFont="1"/>
    <xf numFmtId="165" fontId="4" fillId="0" borderId="0" xfId="1" applyNumberFormat="1" applyFont="1" applyAlignment="1">
      <alignment horizontal="center"/>
    </xf>
    <xf numFmtId="0" fontId="4" fillId="0" borderId="6" xfId="0" applyFont="1" applyBorder="1"/>
    <xf numFmtId="3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44" fontId="4" fillId="0" borderId="0" xfId="0" applyNumberFormat="1" applyFont="1"/>
    <xf numFmtId="0" fontId="4" fillId="0" borderId="12" xfId="0" applyFont="1" applyBorder="1"/>
    <xf numFmtId="44" fontId="4" fillId="0" borderId="12" xfId="0" applyNumberFormat="1" applyFont="1" applyBorder="1"/>
    <xf numFmtId="0" fontId="4" fillId="0" borderId="13" xfId="0" applyFont="1" applyBorder="1"/>
    <xf numFmtId="44" fontId="4" fillId="0" borderId="13" xfId="0" applyNumberFormat="1" applyFont="1" applyBorder="1"/>
    <xf numFmtId="49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1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3" fontId="4" fillId="0" borderId="13" xfId="0" applyNumberFormat="1" applyFont="1" applyBorder="1"/>
    <xf numFmtId="3" fontId="4" fillId="0" borderId="12" xfId="0" applyNumberFormat="1" applyFont="1" applyBorder="1"/>
    <xf numFmtId="165" fontId="4" fillId="0" borderId="0" xfId="0" applyNumberFormat="1" applyFont="1"/>
    <xf numFmtId="168" fontId="4" fillId="0" borderId="0" xfId="0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44" fontId="4" fillId="0" borderId="7" xfId="1" applyNumberFormat="1" applyFont="1" applyBorder="1" applyAlignment="1">
      <alignment horizontal="center"/>
    </xf>
    <xf numFmtId="3" fontId="4" fillId="0" borderId="0" xfId="0" applyNumberFormat="1" applyFont="1" applyBorder="1"/>
    <xf numFmtId="0" fontId="10" fillId="0" borderId="0" xfId="0" applyFont="1" applyBorder="1" applyAlignment="1">
      <alignment horizontal="center" wrapText="1"/>
    </xf>
    <xf numFmtId="0" fontId="10" fillId="0" borderId="0" xfId="0" applyFont="1" applyBorder="1" applyAlignme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4" fillId="0" borderId="15" xfId="0" applyFont="1" applyBorder="1"/>
    <xf numFmtId="0" fontId="4" fillId="0" borderId="16" xfId="0" applyFont="1" applyBorder="1"/>
    <xf numFmtId="0" fontId="4" fillId="0" borderId="17" xfId="0" applyFont="1" applyBorder="1"/>
    <xf numFmtId="165" fontId="4" fillId="0" borderId="4" xfId="1" applyNumberFormat="1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41" fontId="4" fillId="0" borderId="19" xfId="0" applyNumberFormat="1" applyFont="1" applyBorder="1"/>
    <xf numFmtId="41" fontId="4" fillId="0" borderId="0" xfId="0" applyNumberFormat="1" applyFont="1" applyBorder="1"/>
    <xf numFmtId="41" fontId="4" fillId="0" borderId="21" xfId="0" applyNumberFormat="1" applyFont="1" applyBorder="1"/>
    <xf numFmtId="170" fontId="4" fillId="0" borderId="19" xfId="0" applyNumberFormat="1" applyFont="1" applyBorder="1"/>
    <xf numFmtId="170" fontId="4" fillId="0" borderId="21" xfId="0" applyNumberFormat="1" applyFont="1" applyBorder="1"/>
    <xf numFmtId="170" fontId="4" fillId="0" borderId="19" xfId="0" applyNumberFormat="1" applyFont="1" applyBorder="1" applyAlignment="1">
      <alignment horizontal="right" vertical="center"/>
    </xf>
    <xf numFmtId="170" fontId="4" fillId="0" borderId="19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3" fontId="4" fillId="0" borderId="0" xfId="0" applyNumberFormat="1" applyFont="1" applyAlignment="1">
      <alignment horizontal="right"/>
    </xf>
    <xf numFmtId="0" fontId="4" fillId="0" borderId="3" xfId="0" applyFont="1" applyBorder="1"/>
    <xf numFmtId="0" fontId="4" fillId="0" borderId="1" xfId="0" applyFont="1" applyBorder="1" applyAlignment="1"/>
    <xf numFmtId="0" fontId="4" fillId="0" borderId="2" xfId="0" applyFont="1" applyBorder="1" applyAlignment="1"/>
    <xf numFmtId="167" fontId="4" fillId="0" borderId="3" xfId="0" applyNumberFormat="1" applyFont="1" applyBorder="1"/>
    <xf numFmtId="165" fontId="4" fillId="0" borderId="3" xfId="1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2" fontId="4" fillId="0" borderId="2" xfId="0" applyNumberFormat="1" applyFont="1" applyBorder="1" applyAlignment="1">
      <alignment horizontal="center"/>
    </xf>
    <xf numFmtId="44" fontId="4" fillId="0" borderId="18" xfId="0" applyNumberFormat="1" applyFont="1" applyBorder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49" fontId="4" fillId="0" borderId="0" xfId="0" applyNumberFormat="1" applyFont="1" applyAlignment="1">
      <alignment horizontal="right"/>
    </xf>
    <xf numFmtId="168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49" fontId="4" fillId="0" borderId="3" xfId="0" applyNumberFormat="1" applyFont="1" applyBorder="1"/>
    <xf numFmtId="3" fontId="4" fillId="0" borderId="2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44" fontId="4" fillId="0" borderId="3" xfId="0" applyNumberFormat="1" applyFont="1" applyBorder="1"/>
    <xf numFmtId="0" fontId="4" fillId="0" borderId="22" xfId="0" applyFont="1" applyBorder="1"/>
    <xf numFmtId="4" fontId="4" fillId="0" borderId="20" xfId="0" applyNumberFormat="1" applyFont="1" applyBorder="1"/>
    <xf numFmtId="49" fontId="4" fillId="0" borderId="22" xfId="0" applyNumberFormat="1" applyFont="1" applyBorder="1"/>
    <xf numFmtId="0" fontId="3" fillId="0" borderId="1" xfId="0" applyFont="1" applyBorder="1"/>
    <xf numFmtId="0" fontId="3" fillId="0" borderId="2" xfId="0" applyFont="1" applyBorder="1"/>
    <xf numFmtId="4" fontId="3" fillId="0" borderId="3" xfId="0" applyNumberFormat="1" applyFont="1" applyBorder="1"/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8" fontId="14" fillId="0" borderId="0" xfId="0" applyNumberFormat="1" applyFont="1" applyFill="1" applyBorder="1" applyAlignment="1">
      <alignment horizontal="left" vertical="center"/>
    </xf>
    <xf numFmtId="8" fontId="14" fillId="0" borderId="0" xfId="0" applyNumberFormat="1" applyFont="1" applyFill="1" applyBorder="1" applyAlignment="1">
      <alignment vertical="center"/>
    </xf>
    <xf numFmtId="7" fontId="14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9" fontId="14" fillId="0" borderId="0" xfId="0" applyNumberFormat="1" applyFont="1" applyFill="1" applyBorder="1" applyAlignment="1">
      <alignment horizontal="left" vertical="center"/>
    </xf>
    <xf numFmtId="8" fontId="14" fillId="0" borderId="3" xfId="0" applyNumberFormat="1" applyFont="1" applyFill="1" applyBorder="1" applyAlignment="1">
      <alignment horizontal="left" vertical="center"/>
    </xf>
    <xf numFmtId="0" fontId="14" fillId="0" borderId="2" xfId="0" applyFont="1" applyFill="1" applyBorder="1" applyAlignment="1">
      <alignment vertical="center"/>
    </xf>
    <xf numFmtId="8" fontId="14" fillId="0" borderId="3" xfId="0" applyNumberFormat="1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9" fontId="14" fillId="0" borderId="2" xfId="0" applyNumberFormat="1" applyFont="1" applyFill="1" applyBorder="1" applyAlignment="1">
      <alignment horizontal="left" vertical="center"/>
    </xf>
    <xf numFmtId="8" fontId="4" fillId="0" borderId="19" xfId="0" applyNumberFormat="1" applyFont="1" applyBorder="1"/>
    <xf numFmtId="4" fontId="4" fillId="0" borderId="19" xfId="0" applyNumberFormat="1" applyFont="1" applyBorder="1"/>
    <xf numFmtId="7" fontId="4" fillId="0" borderId="19" xfId="0" applyNumberFormat="1" applyFont="1" applyBorder="1"/>
    <xf numFmtId="8" fontId="4" fillId="0" borderId="21" xfId="0" applyNumberFormat="1" applyFont="1" applyBorder="1"/>
    <xf numFmtId="170" fontId="4" fillId="0" borderId="0" xfId="0" applyNumberFormat="1" applyFont="1" applyBorder="1"/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44" fontId="4" fillId="0" borderId="3" xfId="1" applyNumberFormat="1" applyFont="1" applyBorder="1"/>
    <xf numFmtId="0" fontId="14" fillId="0" borderId="0" xfId="0" applyFont="1" applyFill="1" applyBorder="1" applyAlignment="1">
      <alignment horizontal="left" vertical="center"/>
    </xf>
    <xf numFmtId="0" fontId="18" fillId="0" borderId="0" xfId="0" applyFont="1"/>
    <xf numFmtId="0" fontId="4" fillId="0" borderId="1" xfId="0" applyFont="1" applyBorder="1" applyAlignment="1">
      <alignment horizontal="center"/>
    </xf>
    <xf numFmtId="44" fontId="4" fillId="0" borderId="13" xfId="1" applyFont="1" applyBorder="1"/>
    <xf numFmtId="44" fontId="4" fillId="0" borderId="0" xfId="1" applyFont="1" applyBorder="1"/>
    <xf numFmtId="169" fontId="4" fillId="0" borderId="20" xfId="0" applyNumberFormat="1" applyFont="1" applyBorder="1"/>
    <xf numFmtId="169" fontId="3" fillId="0" borderId="3" xfId="0" applyNumberFormat="1" applyFont="1" applyBorder="1"/>
    <xf numFmtId="44" fontId="4" fillId="0" borderId="3" xfId="1" applyFont="1" applyBorder="1"/>
    <xf numFmtId="0" fontId="3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justify" vertical="center" wrapText="1"/>
    </xf>
    <xf numFmtId="0" fontId="3" fillId="0" borderId="14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left" vertical="center" wrapText="1"/>
    </xf>
    <xf numFmtId="4" fontId="4" fillId="0" borderId="14" xfId="0" applyNumberFormat="1" applyFont="1" applyFill="1" applyBorder="1" applyAlignment="1">
      <alignment horizontal="right" vertical="center" wrapText="1"/>
    </xf>
    <xf numFmtId="4" fontId="3" fillId="0" borderId="14" xfId="0" applyNumberFormat="1" applyFont="1" applyFill="1" applyBorder="1" applyAlignment="1">
      <alignment horizontal="right" vertical="center" wrapText="1"/>
    </xf>
    <xf numFmtId="10" fontId="4" fillId="0" borderId="14" xfId="2" applyNumberFormat="1" applyFont="1" applyBorder="1"/>
    <xf numFmtId="165" fontId="4" fillId="0" borderId="14" xfId="1" applyNumberFormat="1" applyFont="1" applyBorder="1" applyAlignment="1">
      <alignment horizontal="center"/>
    </xf>
    <xf numFmtId="165" fontId="4" fillId="0" borderId="14" xfId="1" applyNumberFormat="1" applyFont="1" applyBorder="1"/>
    <xf numFmtId="165" fontId="4" fillId="0" borderId="14" xfId="0" applyNumberFormat="1" applyFont="1" applyBorder="1"/>
    <xf numFmtId="164" fontId="4" fillId="0" borderId="1" xfId="0" applyNumberFormat="1" applyFont="1" applyBorder="1" applyAlignment="1">
      <alignment horizontal="center"/>
    </xf>
    <xf numFmtId="166" fontId="4" fillId="0" borderId="1" xfId="0" applyNumberFormat="1" applyFont="1" applyBorder="1"/>
    <xf numFmtId="1" fontId="4" fillId="0" borderId="1" xfId="0" applyNumberFormat="1" applyFont="1" applyBorder="1"/>
    <xf numFmtId="3" fontId="4" fillId="0" borderId="2" xfId="0" applyNumberFormat="1" applyFont="1" applyBorder="1" applyAlignment="1">
      <alignment horizontal="right"/>
    </xf>
    <xf numFmtId="3" fontId="4" fillId="0" borderId="3" xfId="0" applyNumberFormat="1" applyFont="1" applyBorder="1" applyAlignment="1"/>
    <xf numFmtId="4" fontId="4" fillId="0" borderId="1" xfId="0" applyNumberFormat="1" applyFont="1" applyBorder="1"/>
    <xf numFmtId="171" fontId="4" fillId="0" borderId="14" xfId="1" applyNumberFormat="1" applyFont="1" applyBorder="1" applyAlignment="1">
      <alignment horizontal="center"/>
    </xf>
    <xf numFmtId="171" fontId="4" fillId="0" borderId="14" xfId="1" applyNumberFormat="1" applyFont="1" applyBorder="1"/>
    <xf numFmtId="44" fontId="4" fillId="0" borderId="14" xfId="0" applyNumberFormat="1" applyFont="1" applyBorder="1"/>
    <xf numFmtId="4" fontId="4" fillId="0" borderId="0" xfId="0" applyNumberFormat="1" applyFont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4" fillId="0" borderId="26" xfId="0" applyFont="1" applyBorder="1"/>
    <xf numFmtId="41" fontId="4" fillId="0" borderId="14" xfId="0" applyNumberFormat="1" applyFont="1" applyBorder="1"/>
    <xf numFmtId="41" fontId="4" fillId="0" borderId="27" xfId="0" applyNumberFormat="1" applyFont="1" applyBorder="1"/>
    <xf numFmtId="41" fontId="4" fillId="0" borderId="14" xfId="0" applyNumberFormat="1" applyFont="1" applyBorder="1" applyAlignment="1"/>
    <xf numFmtId="0" fontId="3" fillId="0" borderId="28" xfId="0" applyFont="1" applyBorder="1"/>
    <xf numFmtId="41" fontId="3" fillId="0" borderId="29" xfId="0" applyNumberFormat="1" applyFont="1" applyBorder="1"/>
    <xf numFmtId="41" fontId="3" fillId="0" borderId="30" xfId="0" applyNumberFormat="1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/>
    <xf numFmtId="0" fontId="4" fillId="0" borderId="19" xfId="0" applyFont="1" applyBorder="1" applyAlignment="1">
      <alignment horizontal="center"/>
    </xf>
    <xf numFmtId="41" fontId="4" fillId="0" borderId="19" xfId="0" applyNumberFormat="1" applyFont="1" applyBorder="1" applyAlignment="1">
      <alignment horizontal="center"/>
    </xf>
    <xf numFmtId="41" fontId="4" fillId="0" borderId="32" xfId="0" applyNumberFormat="1" applyFont="1" applyBorder="1"/>
    <xf numFmtId="41" fontId="4" fillId="0" borderId="33" xfId="0" applyNumberFormat="1" applyFont="1" applyBorder="1"/>
    <xf numFmtId="41" fontId="3" fillId="0" borderId="32" xfId="0" applyNumberFormat="1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41" fontId="3" fillId="0" borderId="33" xfId="0" applyNumberFormat="1" applyFont="1" applyBorder="1"/>
    <xf numFmtId="2" fontId="4" fillId="0" borderId="19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/>
    <xf numFmtId="170" fontId="4" fillId="0" borderId="0" xfId="0" applyNumberFormat="1" applyFont="1"/>
    <xf numFmtId="43" fontId="4" fillId="0" borderId="0" xfId="0" applyNumberFormat="1" applyFont="1"/>
    <xf numFmtId="0" fontId="3" fillId="0" borderId="0" xfId="0" applyFont="1" applyFill="1" applyBorder="1" applyAlignment="1">
      <alignment horizontal="justify" vertical="center" wrapText="1"/>
    </xf>
    <xf numFmtId="4" fontId="3" fillId="0" borderId="0" xfId="0" applyNumberFormat="1" applyFont="1" applyFill="1" applyBorder="1" applyAlignment="1">
      <alignment horizontal="right" vertical="center" wrapText="1"/>
    </xf>
    <xf numFmtId="3" fontId="14" fillId="0" borderId="0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 applyBorder="1"/>
    <xf numFmtId="0" fontId="17" fillId="0" borderId="0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6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165" fontId="4" fillId="0" borderId="27" xfId="1" applyNumberFormat="1" applyFont="1" applyFill="1" applyBorder="1" applyAlignment="1">
      <alignment horizontal="right" vertical="center"/>
    </xf>
    <xf numFmtId="0" fontId="14" fillId="0" borderId="26" xfId="0" applyFont="1" applyFill="1" applyBorder="1" applyAlignment="1">
      <alignment horizontal="left" vertical="center" wrapText="1"/>
    </xf>
    <xf numFmtId="3" fontId="14" fillId="0" borderId="1" xfId="0" applyNumberFormat="1" applyFont="1" applyFill="1" applyBorder="1" applyAlignment="1">
      <alignment horizontal="right" vertical="center" wrapText="1"/>
    </xf>
    <xf numFmtId="0" fontId="14" fillId="0" borderId="40" xfId="0" applyFont="1" applyFill="1" applyBorder="1" applyAlignment="1">
      <alignment horizontal="left" vertical="center" wrapText="1"/>
    </xf>
    <xf numFmtId="3" fontId="14" fillId="0" borderId="0" xfId="0" applyNumberFormat="1" applyFont="1" applyFill="1" applyBorder="1" applyAlignment="1">
      <alignment horizontal="right" vertical="center" wrapText="1"/>
    </xf>
    <xf numFmtId="0" fontId="14" fillId="0" borderId="28" xfId="0" applyFont="1" applyFill="1" applyBorder="1" applyAlignment="1">
      <alignment horizontal="left" vertical="center" wrapText="1"/>
    </xf>
    <xf numFmtId="3" fontId="14" fillId="0" borderId="34" xfId="0" applyNumberFormat="1" applyFont="1" applyFill="1" applyBorder="1" applyAlignment="1">
      <alignment horizontal="right" vertical="center" wrapText="1"/>
    </xf>
    <xf numFmtId="0" fontId="14" fillId="0" borderId="35" xfId="0" applyFont="1" applyFill="1" applyBorder="1" applyAlignment="1">
      <alignment horizontal="left" vertical="center" wrapText="1"/>
    </xf>
    <xf numFmtId="0" fontId="14" fillId="0" borderId="0" xfId="0" applyFont="1" applyAlignment="1">
      <alignment horizontal="right" vertical="center" wrapText="1"/>
    </xf>
    <xf numFmtId="0" fontId="4" fillId="0" borderId="38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8" xfId="0" applyFont="1" applyFill="1" applyBorder="1" applyAlignment="1">
      <alignment vertical="center"/>
    </xf>
    <xf numFmtId="0" fontId="4" fillId="0" borderId="34" xfId="0" applyFont="1" applyFill="1" applyBorder="1" applyAlignment="1">
      <alignment vertical="center"/>
    </xf>
    <xf numFmtId="0" fontId="4" fillId="0" borderId="39" xfId="0" applyFont="1" applyFill="1" applyBorder="1" applyAlignment="1">
      <alignment vertical="center"/>
    </xf>
    <xf numFmtId="165" fontId="4" fillId="0" borderId="30" xfId="1" applyNumberFormat="1" applyFont="1" applyFill="1" applyBorder="1" applyAlignment="1">
      <alignment horizontal="right" vertical="center"/>
    </xf>
    <xf numFmtId="0" fontId="12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wrapText="1"/>
    </xf>
    <xf numFmtId="6" fontId="14" fillId="0" borderId="14" xfId="0" applyNumberFormat="1" applyFont="1" applyFill="1" applyBorder="1" applyAlignment="1">
      <alignment vertical="center"/>
    </xf>
    <xf numFmtId="3" fontId="14" fillId="0" borderId="1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right"/>
    </xf>
    <xf numFmtId="0" fontId="3" fillId="0" borderId="22" xfId="0" applyFont="1" applyBorder="1" applyAlignment="1">
      <alignment horizontal="right"/>
    </xf>
    <xf numFmtId="0" fontId="3" fillId="0" borderId="22" xfId="0" applyFont="1" applyBorder="1"/>
    <xf numFmtId="0" fontId="3" fillId="0" borderId="17" xfId="0" applyFont="1" applyBorder="1" applyAlignment="1">
      <alignment horizontal="right"/>
    </xf>
    <xf numFmtId="0" fontId="4" fillId="0" borderId="21" xfId="0" applyFont="1" applyBorder="1"/>
    <xf numFmtId="0" fontId="4" fillId="0" borderId="21" xfId="0" applyFont="1" applyBorder="1" applyAlignment="1">
      <alignment horizontal="center"/>
    </xf>
    <xf numFmtId="41" fontId="3" fillId="0" borderId="14" xfId="0" applyNumberFormat="1" applyFont="1" applyBorder="1"/>
    <xf numFmtId="0" fontId="17" fillId="0" borderId="24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6" fontId="14" fillId="0" borderId="29" xfId="0" applyNumberFormat="1" applyFont="1" applyFill="1" applyBorder="1" applyAlignment="1">
      <alignment vertical="center"/>
    </xf>
    <xf numFmtId="0" fontId="4" fillId="0" borderId="33" xfId="0" applyFont="1" applyBorder="1" applyAlignment="1">
      <alignment horizontal="center" vertical="center" wrapText="1"/>
    </xf>
    <xf numFmtId="41" fontId="3" fillId="0" borderId="19" xfId="0" applyNumberFormat="1" applyFont="1" applyBorder="1"/>
    <xf numFmtId="0" fontId="3" fillId="0" borderId="33" xfId="0" applyFont="1" applyBorder="1" applyAlignment="1">
      <alignment horizontal="center" vertical="center" wrapText="1"/>
    </xf>
    <xf numFmtId="3" fontId="14" fillId="0" borderId="14" xfId="0" applyNumberFormat="1" applyFont="1" applyFill="1" applyBorder="1" applyAlignment="1">
      <alignment vertical="center"/>
    </xf>
    <xf numFmtId="3" fontId="14" fillId="0" borderId="14" xfId="0" applyNumberFormat="1" applyFont="1" applyFill="1" applyBorder="1" applyAlignment="1">
      <alignment horizontal="right" vertical="center"/>
    </xf>
    <xf numFmtId="3" fontId="14" fillId="0" borderId="27" xfId="0" applyNumberFormat="1" applyFont="1" applyFill="1" applyBorder="1" applyAlignment="1">
      <alignment vertical="center"/>
    </xf>
    <xf numFmtId="3" fontId="14" fillId="0" borderId="29" xfId="0" applyNumberFormat="1" applyFont="1" applyFill="1" applyBorder="1" applyAlignment="1">
      <alignment vertical="center"/>
    </xf>
    <xf numFmtId="3" fontId="14" fillId="0" borderId="29" xfId="0" applyNumberFormat="1" applyFont="1" applyFill="1" applyBorder="1" applyAlignment="1">
      <alignment horizontal="right" vertical="center"/>
    </xf>
    <xf numFmtId="3" fontId="14" fillId="0" borderId="30" xfId="0" applyNumberFormat="1" applyFont="1" applyFill="1" applyBorder="1" applyAlignment="1">
      <alignment vertical="center"/>
    </xf>
    <xf numFmtId="165" fontId="4" fillId="0" borderId="33" xfId="0" applyNumberFormat="1" applyFont="1" applyBorder="1" applyAlignment="1">
      <alignment horizontal="center" vertical="center" wrapText="1"/>
    </xf>
    <xf numFmtId="3" fontId="4" fillId="0" borderId="19" xfId="0" applyNumberFormat="1" applyFont="1" applyBorder="1" applyAlignment="1">
      <alignment horizontal="center"/>
    </xf>
    <xf numFmtId="9" fontId="4" fillId="0" borderId="19" xfId="2" applyFont="1" applyBorder="1" applyAlignment="1">
      <alignment horizontal="center"/>
    </xf>
    <xf numFmtId="3" fontId="4" fillId="0" borderId="19" xfId="0" applyNumberFormat="1" applyFont="1" applyBorder="1"/>
    <xf numFmtId="9" fontId="4" fillId="0" borderId="19" xfId="2" applyFont="1" applyBorder="1" applyAlignment="1">
      <alignment horizontal="right"/>
    </xf>
    <xf numFmtId="41" fontId="4" fillId="0" borderId="14" xfId="0" applyNumberFormat="1" applyFont="1" applyBorder="1" applyAlignment="1">
      <alignment horizontal="center"/>
    </xf>
    <xf numFmtId="6" fontId="4" fillId="0" borderId="19" xfId="0" applyNumberFormat="1" applyFont="1" applyBorder="1" applyAlignment="1">
      <alignment horizontal="center"/>
    </xf>
    <xf numFmtId="6" fontId="4" fillId="0" borderId="19" xfId="0" applyNumberFormat="1" applyFont="1" applyBorder="1"/>
    <xf numFmtId="165" fontId="4" fillId="0" borderId="19" xfId="1" applyNumberFormat="1" applyFont="1" applyBorder="1"/>
    <xf numFmtId="6" fontId="4" fillId="0" borderId="19" xfId="0" applyNumberFormat="1" applyFont="1" applyBorder="1" applyAlignment="1">
      <alignment horizontal="right"/>
    </xf>
    <xf numFmtId="9" fontId="4" fillId="0" borderId="19" xfId="2" applyFont="1" applyBorder="1"/>
    <xf numFmtId="9" fontId="4" fillId="0" borderId="22" xfId="2" applyFont="1" applyBorder="1"/>
    <xf numFmtId="0" fontId="4" fillId="0" borderId="33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right"/>
    </xf>
    <xf numFmtId="165" fontId="4" fillId="0" borderId="19" xfId="0" applyNumberFormat="1" applyFont="1" applyBorder="1"/>
    <xf numFmtId="44" fontId="4" fillId="0" borderId="19" xfId="1" applyFon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3" fontId="4" fillId="0" borderId="14" xfId="0" applyNumberFormat="1" applyFont="1" applyBorder="1" applyAlignment="1">
      <alignment horizontal="center"/>
    </xf>
    <xf numFmtId="3" fontId="4" fillId="0" borderId="19" xfId="0" applyNumberFormat="1" applyFont="1" applyBorder="1" applyAlignment="1">
      <alignment horizontal="right"/>
    </xf>
    <xf numFmtId="165" fontId="4" fillId="0" borderId="14" xfId="1" applyNumberFormat="1" applyFont="1" applyBorder="1" applyAlignment="1">
      <alignment horizontal="right"/>
    </xf>
    <xf numFmtId="0" fontId="4" fillId="0" borderId="33" xfId="0" applyFont="1" applyBorder="1"/>
    <xf numFmtId="165" fontId="4" fillId="0" borderId="33" xfId="0" applyNumberFormat="1" applyFont="1" applyBorder="1"/>
    <xf numFmtId="0" fontId="3" fillId="0" borderId="14" xfId="0" applyFont="1" applyBorder="1"/>
    <xf numFmtId="165" fontId="3" fillId="0" borderId="14" xfId="0" applyNumberFormat="1" applyFont="1" applyBorder="1"/>
    <xf numFmtId="0" fontId="0" fillId="0" borderId="0" xfId="0" applyAlignment="1"/>
    <xf numFmtId="0" fontId="14" fillId="0" borderId="0" xfId="0" applyFont="1" applyBorder="1" applyAlignment="1">
      <alignment vertical="center"/>
    </xf>
    <xf numFmtId="0" fontId="14" fillId="0" borderId="0" xfId="0" applyFont="1"/>
    <xf numFmtId="44" fontId="3" fillId="0" borderId="14" xfId="0" applyNumberFormat="1" applyFont="1" applyBorder="1"/>
    <xf numFmtId="3" fontId="4" fillId="0" borderId="33" xfId="0" applyNumberFormat="1" applyFont="1" applyBorder="1"/>
    <xf numFmtId="44" fontId="4" fillId="0" borderId="33" xfId="0" applyNumberFormat="1" applyFont="1" applyBorder="1"/>
    <xf numFmtId="44" fontId="4" fillId="0" borderId="19" xfId="0" applyNumberFormat="1" applyFont="1" applyBorder="1"/>
    <xf numFmtId="44" fontId="4" fillId="0" borderId="22" xfId="0" applyNumberFormat="1" applyFont="1" applyBorder="1"/>
    <xf numFmtId="3" fontId="4" fillId="0" borderId="21" xfId="0" applyNumberFormat="1" applyFont="1" applyBorder="1"/>
    <xf numFmtId="0" fontId="3" fillId="0" borderId="41" xfId="0" applyFont="1" applyBorder="1"/>
    <xf numFmtId="0" fontId="3" fillId="0" borderId="12" xfId="0" applyFont="1" applyBorder="1"/>
    <xf numFmtId="0" fontId="3" fillId="0" borderId="32" xfId="0" applyFont="1" applyBorder="1"/>
    <xf numFmtId="172" fontId="3" fillId="0" borderId="32" xfId="0" applyNumberFormat="1" applyFont="1" applyBorder="1"/>
    <xf numFmtId="4" fontId="4" fillId="0" borderId="14" xfId="0" applyNumberFormat="1" applyFont="1" applyBorder="1" applyAlignment="1">
      <alignment horizontal="center"/>
    </xf>
    <xf numFmtId="3" fontId="4" fillId="0" borderId="1" xfId="0" applyNumberFormat="1" applyFont="1" applyBorder="1" applyAlignment="1"/>
    <xf numFmtId="3" fontId="4" fillId="0" borderId="3" xfId="0" applyNumberFormat="1" applyFont="1" applyBorder="1"/>
    <xf numFmtId="165" fontId="4" fillId="0" borderId="3" xfId="1" applyNumberFormat="1" applyFont="1" applyBorder="1"/>
    <xf numFmtId="165" fontId="4" fillId="0" borderId="2" xfId="0" applyNumberFormat="1" applyFont="1" applyBorder="1"/>
    <xf numFmtId="165" fontId="4" fillId="0" borderId="3" xfId="1" applyNumberFormat="1" applyFont="1" applyBorder="1" applyAlignment="1">
      <alignment horizontal="right"/>
    </xf>
    <xf numFmtId="165" fontId="4" fillId="0" borderId="2" xfId="1" applyNumberFormat="1" applyFont="1" applyBorder="1"/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applyFont="1" applyBorder="1" applyAlignment="1">
      <alignment vertical="center"/>
    </xf>
    <xf numFmtId="3" fontId="4" fillId="0" borderId="14" xfId="0" applyNumberFormat="1" applyFont="1" applyBorder="1" applyAlignment="1">
      <alignment horizontal="center" vertical="center"/>
    </xf>
    <xf numFmtId="49" fontId="4" fillId="0" borderId="14" xfId="0" applyNumberFormat="1" applyFont="1" applyBorder="1" applyAlignment="1">
      <alignment vertical="center"/>
    </xf>
    <xf numFmtId="3" fontId="4" fillId="0" borderId="14" xfId="0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vertical="center"/>
    </xf>
    <xf numFmtId="3" fontId="4" fillId="0" borderId="32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 applyAlignment="1">
      <alignment horizontal="center"/>
    </xf>
    <xf numFmtId="165" fontId="3" fillId="0" borderId="3" xfId="1" applyNumberFormat="1" applyFont="1" applyBorder="1"/>
    <xf numFmtId="165" fontId="3" fillId="0" borderId="3" xfId="1" applyNumberFormat="1" applyFont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6" fontId="4" fillId="0" borderId="3" xfId="0" applyNumberFormat="1" applyFont="1" applyBorder="1"/>
    <xf numFmtId="4" fontId="4" fillId="0" borderId="14" xfId="0" applyNumberFormat="1" applyFont="1" applyBorder="1" applyAlignment="1">
      <alignment horizontal="center" vertical="center"/>
    </xf>
    <xf numFmtId="4" fontId="4" fillId="0" borderId="32" xfId="0" applyNumberFormat="1" applyFont="1" applyBorder="1" applyAlignment="1">
      <alignment horizontal="center" vertical="center"/>
    </xf>
    <xf numFmtId="0" fontId="4" fillId="0" borderId="18" xfId="0" applyFont="1" applyBorder="1"/>
    <xf numFmtId="16" fontId="4" fillId="0" borderId="14" xfId="0" applyNumberFormat="1" applyFont="1" applyBorder="1" applyAlignment="1">
      <alignment horizontal="center"/>
    </xf>
    <xf numFmtId="43" fontId="4" fillId="0" borderId="19" xfId="0" applyNumberFormat="1" applyFont="1" applyBorder="1" applyAlignment="1">
      <alignment horizontal="right"/>
    </xf>
    <xf numFmtId="43" fontId="4" fillId="0" borderId="33" xfId="0" applyNumberFormat="1" applyFont="1" applyBorder="1"/>
    <xf numFmtId="43" fontId="4" fillId="0" borderId="19" xfId="0" applyNumberFormat="1" applyFont="1" applyBorder="1"/>
    <xf numFmtId="0" fontId="4" fillId="0" borderId="19" xfId="0" applyFont="1" applyBorder="1" applyAlignment="1">
      <alignment horizontal="left" indent="1"/>
    </xf>
    <xf numFmtId="0" fontId="4" fillId="0" borderId="19" xfId="0" applyFont="1" applyBorder="1" applyAlignment="1">
      <alignment horizontal="left"/>
    </xf>
    <xf numFmtId="43" fontId="3" fillId="0" borderId="19" xfId="0" applyNumberFormat="1" applyFont="1" applyBorder="1" applyAlignment="1">
      <alignment horizontal="right"/>
    </xf>
    <xf numFmtId="43" fontId="3" fillId="0" borderId="19" xfId="0" applyNumberFormat="1" applyFont="1" applyBorder="1"/>
    <xf numFmtId="49" fontId="4" fillId="0" borderId="19" xfId="0" applyNumberFormat="1" applyFont="1" applyBorder="1"/>
    <xf numFmtId="43" fontId="3" fillId="0" borderId="14" xfId="0" applyNumberFormat="1" applyFont="1" applyBorder="1" applyAlignment="1">
      <alignment horizontal="right"/>
    </xf>
    <xf numFmtId="43" fontId="3" fillId="0" borderId="14" xfId="0" applyNumberFormat="1" applyFont="1" applyBorder="1"/>
    <xf numFmtId="6" fontId="4" fillId="0" borderId="0" xfId="0" applyNumberFormat="1" applyFont="1"/>
    <xf numFmtId="44" fontId="4" fillId="0" borderId="4" xfId="0" applyNumberFormat="1" applyFont="1" applyBorder="1"/>
    <xf numFmtId="3" fontId="4" fillId="0" borderId="3" xfId="1" applyNumberFormat="1" applyFont="1" applyBorder="1" applyAlignment="1">
      <alignment horizontal="center"/>
    </xf>
    <xf numFmtId="44" fontId="3" fillId="0" borderId="0" xfId="0" applyNumberFormat="1" applyFont="1"/>
    <xf numFmtId="44" fontId="3" fillId="0" borderId="12" xfId="0" applyNumberFormat="1" applyFont="1" applyBorder="1"/>
    <xf numFmtId="0" fontId="4" fillId="0" borderId="0" xfId="0" applyFont="1" applyBorder="1" applyAlignment="1">
      <alignment horizontal="center"/>
    </xf>
    <xf numFmtId="0" fontId="0" fillId="0" borderId="0" xfId="0"/>
    <xf numFmtId="3" fontId="4" fillId="0" borderId="14" xfId="0" applyNumberFormat="1" applyFont="1" applyBorder="1"/>
    <xf numFmtId="44" fontId="4" fillId="0" borderId="14" xfId="1" applyFont="1" applyBorder="1"/>
    <xf numFmtId="44" fontId="3" fillId="0" borderId="0" xfId="1" applyFont="1"/>
    <xf numFmtId="49" fontId="4" fillId="0" borderId="14" xfId="0" applyNumberFormat="1" applyFont="1" applyBorder="1"/>
    <xf numFmtId="0" fontId="3" fillId="0" borderId="13" xfId="0" applyFont="1" applyBorder="1"/>
    <xf numFmtId="44" fontId="3" fillId="0" borderId="13" xfId="1" applyFont="1" applyBorder="1"/>
    <xf numFmtId="165" fontId="4" fillId="0" borderId="4" xfId="0" applyNumberFormat="1" applyFont="1" applyBorder="1"/>
    <xf numFmtId="173" fontId="4" fillId="0" borderId="14" xfId="0" applyNumberFormat="1" applyFont="1" applyBorder="1" applyAlignment="1">
      <alignment horizontal="center"/>
    </xf>
    <xf numFmtId="169" fontId="4" fillId="0" borderId="0" xfId="0" applyNumberFormat="1" applyFont="1"/>
    <xf numFmtId="4" fontId="4" fillId="0" borderId="3" xfId="0" applyNumberFormat="1" applyFont="1" applyBorder="1"/>
    <xf numFmtId="0" fontId="12" fillId="0" borderId="0" xfId="0" applyFont="1"/>
    <xf numFmtId="0" fontId="14" fillId="0" borderId="0" xfId="0" applyFont="1" applyFill="1" applyBorder="1" applyAlignment="1">
      <alignment vertical="center"/>
    </xf>
    <xf numFmtId="0" fontId="4" fillId="0" borderId="14" xfId="0" applyFont="1" applyBorder="1" applyAlignment="1">
      <alignment horizontal="center"/>
    </xf>
    <xf numFmtId="4" fontId="4" fillId="0" borderId="0" xfId="0" applyNumberFormat="1" applyFont="1"/>
    <xf numFmtId="44" fontId="4" fillId="0" borderId="14" xfId="1" applyNumberFormat="1" applyFont="1" applyBorder="1"/>
    <xf numFmtId="2" fontId="4" fillId="0" borderId="0" xfId="0" applyNumberFormat="1" applyFont="1"/>
    <xf numFmtId="3" fontId="4" fillId="0" borderId="0" xfId="1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Fill="1" applyBorder="1" applyAlignment="1">
      <alignment vertical="center"/>
    </xf>
    <xf numFmtId="0" fontId="4" fillId="0" borderId="17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20" fillId="0" borderId="0" xfId="0" applyFont="1"/>
    <xf numFmtId="0" fontId="20" fillId="0" borderId="3" xfId="0" applyFont="1" applyBorder="1"/>
    <xf numFmtId="0" fontId="3" fillId="0" borderId="0" xfId="0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9" fontId="14" fillId="0" borderId="0" xfId="0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4" fillId="0" borderId="14" xfId="0" applyFont="1" applyFill="1" applyBorder="1" applyAlignment="1">
      <alignment vertical="center"/>
    </xf>
    <xf numFmtId="0" fontId="20" fillId="0" borderId="4" xfId="0" applyFont="1" applyBorder="1"/>
    <xf numFmtId="0" fontId="4" fillId="0" borderId="15" xfId="0" applyFont="1" applyFill="1" applyBorder="1" applyAlignment="1">
      <alignment vertical="center"/>
    </xf>
    <xf numFmtId="0" fontId="20" fillId="0" borderId="0" xfId="0" applyFont="1" applyBorder="1"/>
    <xf numFmtId="1" fontId="4" fillId="0" borderId="14" xfId="0" applyNumberFormat="1" applyFont="1" applyBorder="1" applyAlignment="1">
      <alignment horizontal="center"/>
    </xf>
    <xf numFmtId="0" fontId="14" fillId="0" borderId="14" xfId="0" applyFont="1" applyBorder="1" applyAlignment="1">
      <alignment vertical="center"/>
    </xf>
    <xf numFmtId="0" fontId="14" fillId="0" borderId="14" xfId="0" applyFont="1" applyBorder="1" applyAlignment="1">
      <alignment horizontal="right" vertical="center"/>
    </xf>
    <xf numFmtId="0" fontId="14" fillId="0" borderId="4" xfId="0" applyFont="1" applyBorder="1" applyAlignment="1">
      <alignment vertical="center"/>
    </xf>
    <xf numFmtId="6" fontId="14" fillId="0" borderId="0" xfId="0" applyNumberFormat="1" applyFont="1" applyAlignment="1">
      <alignment horizontal="left" vertical="center"/>
    </xf>
    <xf numFmtId="1" fontId="14" fillId="0" borderId="14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168" fontId="14" fillId="0" borderId="0" xfId="0" applyNumberFormat="1" applyFont="1" applyBorder="1" applyAlignment="1">
      <alignment horizontal="right" vertical="center"/>
    </xf>
    <xf numFmtId="4" fontId="14" fillId="0" borderId="14" xfId="0" applyNumberFormat="1" applyFont="1" applyBorder="1" applyAlignment="1">
      <alignment horizontal="center" vertical="center"/>
    </xf>
    <xf numFmtId="166" fontId="14" fillId="0" borderId="14" xfId="0" applyNumberFormat="1" applyFont="1" applyBorder="1" applyAlignment="1">
      <alignment horizontal="right" vertical="center"/>
    </xf>
    <xf numFmtId="3" fontId="14" fillId="0" borderId="14" xfId="0" applyNumberFormat="1" applyFont="1" applyBorder="1" applyAlignment="1">
      <alignment horizontal="right" vertical="center"/>
    </xf>
    <xf numFmtId="44" fontId="4" fillId="0" borderId="0" xfId="1" applyFont="1" applyAlignment="1">
      <alignment horizontal="right"/>
    </xf>
    <xf numFmtId="165" fontId="4" fillId="0" borderId="0" xfId="1" applyNumberFormat="1" applyFont="1" applyAlignment="1">
      <alignment horizontal="right"/>
    </xf>
    <xf numFmtId="165" fontId="4" fillId="0" borderId="2" xfId="1" applyNumberFormat="1" applyFont="1" applyBorder="1" applyAlignment="1">
      <alignment horizontal="right" vertical="center"/>
    </xf>
    <xf numFmtId="4" fontId="4" fillId="0" borderId="4" xfId="0" applyNumberFormat="1" applyFont="1" applyBorder="1"/>
    <xf numFmtId="4" fontId="3" fillId="0" borderId="0" xfId="0" applyNumberFormat="1" applyFont="1"/>
    <xf numFmtId="3" fontId="4" fillId="0" borderId="14" xfId="0" applyNumberFormat="1" applyFont="1" applyBorder="1" applyAlignment="1">
      <alignment horizontal="right"/>
    </xf>
    <xf numFmtId="0" fontId="2" fillId="0" borderId="0" xfId="0" applyFont="1"/>
    <xf numFmtId="3" fontId="4" fillId="0" borderId="2" xfId="0" applyNumberFormat="1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20" fillId="0" borderId="0" xfId="0" applyFont="1" applyAlignment="1"/>
    <xf numFmtId="0" fontId="21" fillId="0" borderId="0" xfId="0" applyFont="1" applyFill="1" applyBorder="1" applyAlignment="1">
      <alignment vertical="center" wrapText="1"/>
    </xf>
    <xf numFmtId="0" fontId="14" fillId="0" borderId="1" xfId="0" applyFont="1" applyBorder="1"/>
    <xf numFmtId="0" fontId="21" fillId="0" borderId="3" xfId="0" applyFont="1" applyBorder="1"/>
    <xf numFmtId="8" fontId="14" fillId="0" borderId="1" xfId="0" applyNumberFormat="1" applyFont="1" applyBorder="1"/>
    <xf numFmtId="3" fontId="14" fillId="0" borderId="0" xfId="0" applyNumberFormat="1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20" fillId="0" borderId="0" xfId="0" applyFont="1" applyBorder="1" applyAlignment="1"/>
    <xf numFmtId="8" fontId="22" fillId="0" borderId="0" xfId="0" applyNumberFormat="1" applyFont="1" applyBorder="1" applyAlignment="1">
      <alignment vertical="center" wrapText="1"/>
    </xf>
    <xf numFmtId="8" fontId="21" fillId="0" borderId="3" xfId="0" applyNumberFormat="1" applyFont="1" applyBorder="1"/>
    <xf numFmtId="0" fontId="17" fillId="0" borderId="0" xfId="0" applyFont="1"/>
    <xf numFmtId="0" fontId="12" fillId="0" borderId="0" xfId="0" applyFont="1"/>
    <xf numFmtId="0" fontId="0" fillId="0" borderId="0" xfId="0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14" fillId="0" borderId="0" xfId="0" applyFont="1" applyAlignment="1">
      <alignment horizontal="justify" vertical="center"/>
    </xf>
    <xf numFmtId="44" fontId="4" fillId="0" borderId="14" xfId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3" fontId="4" fillId="0" borderId="0" xfId="0" applyNumberFormat="1" applyFont="1" applyBorder="1" applyAlignment="1">
      <alignment horizontal="center" vertical="center"/>
    </xf>
    <xf numFmtId="44" fontId="4" fillId="0" borderId="0" xfId="1" applyFont="1" applyBorder="1" applyAlignment="1">
      <alignment horizontal="center" vertical="center"/>
    </xf>
    <xf numFmtId="0" fontId="4" fillId="0" borderId="1" xfId="0" applyFont="1" applyFill="1" applyBorder="1"/>
    <xf numFmtId="0" fontId="0" fillId="0" borderId="3" xfId="0" applyBorder="1"/>
    <xf numFmtId="175" fontId="4" fillId="0" borderId="0" xfId="0" applyNumberFormat="1" applyFont="1"/>
    <xf numFmtId="0" fontId="4" fillId="0" borderId="13" xfId="0" applyFont="1" applyBorder="1" applyAlignment="1">
      <alignment horizontal="left" vertical="center"/>
    </xf>
    <xf numFmtId="3" fontId="4" fillId="0" borderId="13" xfId="0" applyNumberFormat="1" applyFont="1" applyBorder="1" applyAlignment="1">
      <alignment horizontal="center" vertical="center"/>
    </xf>
    <xf numFmtId="3" fontId="3" fillId="0" borderId="12" xfId="0" applyNumberFormat="1" applyFont="1" applyBorder="1"/>
    <xf numFmtId="0" fontId="0" fillId="0" borderId="0" xfId="0" applyBorder="1"/>
    <xf numFmtId="0" fontId="4" fillId="0" borderId="3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44" fontId="4" fillId="0" borderId="33" xfId="1" applyFont="1" applyBorder="1" applyAlignment="1">
      <alignment vertical="center"/>
    </xf>
    <xf numFmtId="0" fontId="4" fillId="0" borderId="15" xfId="0" applyFont="1" applyFill="1" applyBorder="1" applyAlignment="1">
      <alignment horizontal="center"/>
    </xf>
    <xf numFmtId="44" fontId="4" fillId="0" borderId="14" xfId="1" applyNumberFormat="1" applyFont="1" applyBorder="1" applyAlignment="1">
      <alignment vertical="center"/>
    </xf>
    <xf numFmtId="3" fontId="3" fillId="0" borderId="14" xfId="0" applyNumberFormat="1" applyFont="1" applyBorder="1"/>
    <xf numFmtId="44" fontId="3" fillId="0" borderId="14" xfId="1" applyFont="1" applyBorder="1"/>
    <xf numFmtId="44" fontId="3" fillId="0" borderId="3" xfId="0" applyNumberFormat="1" applyFont="1" applyBorder="1"/>
    <xf numFmtId="0" fontId="4" fillId="0" borderId="1" xfId="0" applyFont="1" applyFill="1" applyBorder="1" applyAlignment="1">
      <alignment horizontal="left"/>
    </xf>
    <xf numFmtId="44" fontId="4" fillId="0" borderId="3" xfId="1" applyFont="1" applyFill="1" applyBorder="1" applyAlignment="1">
      <alignment horizontal="left"/>
    </xf>
    <xf numFmtId="0" fontId="0" fillId="0" borderId="0" xfId="0"/>
    <xf numFmtId="0" fontId="0" fillId="0" borderId="0" xfId="0"/>
    <xf numFmtId="0" fontId="4" fillId="0" borderId="14" xfId="0" applyFont="1" applyBorder="1" applyAlignment="1">
      <alignment horizontal="center"/>
    </xf>
    <xf numFmtId="0" fontId="14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3" fontId="4" fillId="0" borderId="14" xfId="1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39" xfId="0" applyBorder="1"/>
    <xf numFmtId="3" fontId="4" fillId="0" borderId="29" xfId="1" applyNumberFormat="1" applyFont="1" applyBorder="1" applyAlignment="1">
      <alignment horizontal="right"/>
    </xf>
    <xf numFmtId="3" fontId="4" fillId="0" borderId="29" xfId="0" applyNumberFormat="1" applyFont="1" applyBorder="1" applyAlignment="1">
      <alignment horizontal="center"/>
    </xf>
    <xf numFmtId="3" fontId="4" fillId="0" borderId="29" xfId="0" applyNumberFormat="1" applyFont="1" applyBorder="1"/>
    <xf numFmtId="0" fontId="3" fillId="0" borderId="44" xfId="0" applyFont="1" applyBorder="1" applyAlignment="1">
      <alignment horizontal="right"/>
    </xf>
    <xf numFmtId="44" fontId="3" fillId="0" borderId="44" xfId="1" applyFont="1" applyBorder="1"/>
    <xf numFmtId="44" fontId="3" fillId="0" borderId="44" xfId="1" applyFont="1" applyBorder="1" applyAlignment="1">
      <alignment horizontal="center"/>
    </xf>
    <xf numFmtId="0" fontId="17" fillId="0" borderId="0" xfId="0" applyFont="1" applyAlignment="1">
      <alignment horizontal="left" vertical="center"/>
    </xf>
    <xf numFmtId="0" fontId="3" fillId="0" borderId="45" xfId="0" applyFont="1" applyBorder="1"/>
    <xf numFmtId="0" fontId="15" fillId="0" borderId="0" xfId="0" applyFont="1" applyAlignment="1">
      <alignment horizontal="left" vertical="center"/>
    </xf>
    <xf numFmtId="0" fontId="4" fillId="0" borderId="45" xfId="0" applyFont="1" applyBorder="1"/>
    <xf numFmtId="165" fontId="3" fillId="0" borderId="45" xfId="1" applyNumberFormat="1" applyFont="1" applyBorder="1"/>
    <xf numFmtId="165" fontId="4" fillId="0" borderId="45" xfId="1" applyNumberFormat="1" applyFont="1" applyBorder="1"/>
    <xf numFmtId="165" fontId="4" fillId="0" borderId="0" xfId="1" applyNumberFormat="1" applyFont="1" applyBorder="1"/>
    <xf numFmtId="165" fontId="4" fillId="0" borderId="0" xfId="1" applyNumberFormat="1" applyFont="1" applyFill="1" applyBorder="1"/>
    <xf numFmtId="176" fontId="4" fillId="0" borderId="0" xfId="1" applyNumberFormat="1" applyFont="1" applyAlignment="1">
      <alignment horizontal="center"/>
    </xf>
    <xf numFmtId="176" fontId="4" fillId="0" borderId="4" xfId="1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2" fillId="0" borderId="0" xfId="0" applyFont="1"/>
    <xf numFmtId="0" fontId="0" fillId="0" borderId="0" xfId="0"/>
    <xf numFmtId="0" fontId="4" fillId="0" borderId="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3" fontId="4" fillId="0" borderId="7" xfId="0" applyNumberFormat="1" applyFont="1" applyBorder="1"/>
    <xf numFmtId="2" fontId="4" fillId="2" borderId="8" xfId="0" applyNumberFormat="1" applyFont="1" applyFill="1" applyBorder="1"/>
    <xf numFmtId="0" fontId="4" fillId="0" borderId="46" xfId="0" applyFont="1" applyBorder="1"/>
    <xf numFmtId="3" fontId="4" fillId="0" borderId="47" xfId="0" applyNumberFormat="1" applyFont="1" applyBorder="1"/>
    <xf numFmtId="3" fontId="4" fillId="0" borderId="8" xfId="0" applyNumberFormat="1" applyFont="1" applyBorder="1"/>
    <xf numFmtId="2" fontId="4" fillId="0" borderId="8" xfId="0" applyNumberFormat="1" applyFont="1" applyBorder="1"/>
    <xf numFmtId="0" fontId="4" fillId="0" borderId="48" xfId="0" applyFont="1" applyBorder="1"/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3" fontId="4" fillId="0" borderId="0" xfId="1" applyNumberFormat="1" applyFont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/>
    </xf>
    <xf numFmtId="3" fontId="14" fillId="3" borderId="14" xfId="0" applyNumberFormat="1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14" fillId="3" borderId="14" xfId="0" applyFont="1" applyFill="1" applyBorder="1" applyAlignment="1">
      <alignment vertical="center"/>
    </xf>
    <xf numFmtId="0" fontId="14" fillId="3" borderId="1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/>
    </xf>
    <xf numFmtId="0" fontId="14" fillId="3" borderId="2" xfId="0" applyFont="1" applyFill="1" applyBorder="1" applyAlignment="1">
      <alignment vertical="center"/>
    </xf>
    <xf numFmtId="0" fontId="14" fillId="3" borderId="3" xfId="0" applyFont="1" applyFill="1" applyBorder="1" applyAlignment="1">
      <alignment vertical="center"/>
    </xf>
    <xf numFmtId="0" fontId="14" fillId="2" borderId="14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4" fillId="2" borderId="3" xfId="0" applyFont="1" applyFill="1" applyBorder="1"/>
    <xf numFmtId="0" fontId="4" fillId="3" borderId="14" xfId="0" applyFont="1" applyFill="1" applyBorder="1"/>
    <xf numFmtId="3" fontId="4" fillId="3" borderId="14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 wrapText="1"/>
    </xf>
    <xf numFmtId="3" fontId="14" fillId="0" borderId="14" xfId="0" applyNumberFormat="1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2" fillId="2" borderId="14" xfId="0" applyFont="1" applyFill="1" applyBorder="1"/>
    <xf numFmtId="0" fontId="17" fillId="2" borderId="14" xfId="0" applyFont="1" applyFill="1" applyBorder="1" applyAlignment="1">
      <alignment horizontal="center" vertical="center" wrapText="1"/>
    </xf>
    <xf numFmtId="0" fontId="3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left" vertical="center" wrapText="1"/>
    </xf>
    <xf numFmtId="0" fontId="4" fillId="0" borderId="14" xfId="0" applyFont="1" applyBorder="1" applyAlignment="1">
      <alignment wrapText="1"/>
    </xf>
    <xf numFmtId="0" fontId="17" fillId="0" borderId="14" xfId="0" applyFont="1" applyBorder="1" applyAlignment="1">
      <alignment horizontal="right" vertical="center" wrapText="1"/>
    </xf>
    <xf numFmtId="42" fontId="14" fillId="0" borderId="14" xfId="1" applyNumberFormat="1" applyFont="1" applyBorder="1" applyAlignment="1">
      <alignment horizontal="center" vertical="center" wrapText="1"/>
    </xf>
    <xf numFmtId="42" fontId="17" fillId="0" borderId="14" xfId="1" applyNumberFormat="1" applyFont="1" applyBorder="1" applyAlignment="1">
      <alignment horizontal="center" vertical="center" wrapText="1"/>
    </xf>
    <xf numFmtId="0" fontId="0" fillId="0" borderId="0" xfId="0"/>
    <xf numFmtId="0" fontId="4" fillId="0" borderId="0" xfId="0" applyFont="1" applyAlignment="1">
      <alignment horizontal="right"/>
    </xf>
    <xf numFmtId="0" fontId="14" fillId="0" borderId="0" xfId="0" applyFont="1" applyAlignment="1">
      <alignment vertical="center"/>
    </xf>
    <xf numFmtId="165" fontId="4" fillId="0" borderId="49" xfId="1" applyNumberFormat="1" applyFont="1" applyBorder="1"/>
    <xf numFmtId="0" fontId="4" fillId="0" borderId="31" xfId="0" applyFont="1" applyBorder="1"/>
    <xf numFmtId="0" fontId="0" fillId="0" borderId="37" xfId="0" applyBorder="1"/>
    <xf numFmtId="3" fontId="4" fillId="0" borderId="24" xfId="1" applyNumberFormat="1" applyFont="1" applyBorder="1" applyAlignment="1">
      <alignment horizontal="right"/>
    </xf>
    <xf numFmtId="3" fontId="4" fillId="0" borderId="24" xfId="0" applyNumberFormat="1" applyFont="1" applyBorder="1" applyAlignment="1">
      <alignment horizontal="center"/>
    </xf>
    <xf numFmtId="3" fontId="4" fillId="0" borderId="24" xfId="0" applyNumberFormat="1" applyFont="1" applyBorder="1"/>
    <xf numFmtId="3" fontId="4" fillId="0" borderId="25" xfId="0" applyNumberFormat="1" applyFont="1" applyBorder="1"/>
    <xf numFmtId="0" fontId="4" fillId="0" borderId="38" xfId="0" applyFont="1" applyBorder="1"/>
    <xf numFmtId="3" fontId="4" fillId="0" borderId="27" xfId="0" applyNumberFormat="1" applyFont="1" applyBorder="1"/>
    <xf numFmtId="0" fontId="4" fillId="0" borderId="50" xfId="0" applyFont="1" applyBorder="1"/>
    <xf numFmtId="3" fontId="4" fillId="0" borderId="30" xfId="0" applyNumberFormat="1" applyFont="1" applyBorder="1"/>
    <xf numFmtId="3" fontId="4" fillId="0" borderId="50" xfId="0" applyNumberFormat="1" applyFont="1" applyBorder="1"/>
    <xf numFmtId="3" fontId="4" fillId="0" borderId="45" xfId="0" applyNumberFormat="1" applyFont="1" applyBorder="1"/>
    <xf numFmtId="44" fontId="4" fillId="0" borderId="45" xfId="0" applyNumberFormat="1" applyFont="1" applyBorder="1"/>
    <xf numFmtId="165" fontId="4" fillId="0" borderId="45" xfId="0" applyNumberFormat="1" applyFont="1" applyBorder="1"/>
    <xf numFmtId="44" fontId="4" fillId="0" borderId="0" xfId="0" applyNumberFormat="1" applyFont="1" applyBorder="1"/>
    <xf numFmtId="165" fontId="4" fillId="0" borderId="0" xfId="0" applyNumberFormat="1" applyFont="1" applyBorder="1"/>
    <xf numFmtId="44" fontId="4" fillId="0" borderId="0" xfId="0" applyNumberFormat="1" applyFont="1" applyAlignment="1">
      <alignment horizontal="right"/>
    </xf>
    <xf numFmtId="0" fontId="0" fillId="0" borderId="45" xfId="0" applyBorder="1"/>
    <xf numFmtId="44" fontId="3" fillId="0" borderId="8" xfId="1" applyNumberFormat="1" applyFont="1" applyBorder="1" applyAlignment="1">
      <alignment horizontal="center"/>
    </xf>
    <xf numFmtId="10" fontId="0" fillId="0" borderId="0" xfId="2" applyNumberFormat="1" applyFont="1"/>
    <xf numFmtId="165" fontId="4" fillId="0" borderId="13" xfId="1" applyNumberFormat="1" applyFont="1" applyBorder="1"/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4" fillId="0" borderId="14" xfId="0" applyFont="1" applyBorder="1" applyAlignment="1">
      <alignment horizontal="center" vertical="center" wrapText="1"/>
    </xf>
    <xf numFmtId="0" fontId="10" fillId="0" borderId="0" xfId="0" applyFont="1" applyBorder="1" applyAlignment="1">
      <alignment wrapText="1"/>
    </xf>
    <xf numFmtId="0" fontId="3" fillId="0" borderId="0" xfId="0" applyFont="1" applyAlignment="1">
      <alignment horizontal="right"/>
    </xf>
    <xf numFmtId="44" fontId="3" fillId="0" borderId="0" xfId="1" applyFont="1" applyBorder="1"/>
    <xf numFmtId="0" fontId="3" fillId="0" borderId="0" xfId="0" applyFont="1" applyBorder="1" applyAlignment="1">
      <alignment horizontal="right"/>
    </xf>
    <xf numFmtId="0" fontId="21" fillId="0" borderId="0" xfId="0" applyFont="1" applyBorder="1" applyAlignment="1">
      <alignment vertical="center" wrapText="1"/>
    </xf>
    <xf numFmtId="44" fontId="3" fillId="0" borderId="4" xfId="1" applyFont="1" applyBorder="1"/>
    <xf numFmtId="0" fontId="3" fillId="0" borderId="4" xfId="0" applyFont="1" applyBorder="1" applyAlignment="1">
      <alignment horizontal="right"/>
    </xf>
    <xf numFmtId="0" fontId="14" fillId="0" borderId="0" xfId="0" applyFont="1" applyBorder="1" applyAlignment="1">
      <alignment horizontal="center" vertical="center" wrapText="1"/>
    </xf>
    <xf numFmtId="3" fontId="14" fillId="0" borderId="14" xfId="0" applyNumberFormat="1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3" fontId="12" fillId="0" borderId="0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right" vertical="center" wrapText="1"/>
    </xf>
    <xf numFmtId="0" fontId="14" fillId="0" borderId="14" xfId="0" applyFont="1" applyBorder="1" applyAlignment="1">
      <alignment horizontal="right" vertical="center" wrapText="1"/>
    </xf>
    <xf numFmtId="44" fontId="4" fillId="0" borderId="0" xfId="1" applyFont="1" applyBorder="1" applyAlignment="1">
      <alignment horizontal="left"/>
    </xf>
    <xf numFmtId="0" fontId="14" fillId="0" borderId="0" xfId="0" applyFont="1" applyBorder="1" applyAlignment="1">
      <alignment horizontal="right" vertical="center" wrapText="1"/>
    </xf>
    <xf numFmtId="3" fontId="14" fillId="0" borderId="0" xfId="0" applyNumberFormat="1" applyFont="1" applyBorder="1" applyAlignment="1">
      <alignment horizontal="right" vertical="center"/>
    </xf>
    <xf numFmtId="3" fontId="14" fillId="0" borderId="0" xfId="0" applyNumberFormat="1" applyFont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 wrapText="1"/>
    </xf>
    <xf numFmtId="3" fontId="14" fillId="0" borderId="0" xfId="0" applyNumberFormat="1" applyFont="1" applyBorder="1" applyAlignment="1">
      <alignment horizontal="left" vertical="center" wrapText="1"/>
    </xf>
    <xf numFmtId="3" fontId="4" fillId="0" borderId="0" xfId="0" applyNumberFormat="1" applyFont="1" applyAlignment="1">
      <alignment horizontal="left"/>
    </xf>
    <xf numFmtId="3" fontId="14" fillId="0" borderId="14" xfId="0" applyNumberFormat="1" applyFont="1" applyBorder="1" applyAlignment="1">
      <alignment horizontal="right" vertical="center" wrapText="1"/>
    </xf>
    <xf numFmtId="3" fontId="1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4" fontId="4" fillId="0" borderId="0" xfId="1" applyFont="1" applyBorder="1" applyAlignment="1">
      <alignment horizontal="center"/>
    </xf>
    <xf numFmtId="176" fontId="3" fillId="0" borderId="0" xfId="1" applyNumberFormat="1" applyFont="1" applyBorder="1"/>
    <xf numFmtId="176" fontId="4" fillId="0" borderId="0" xfId="1" applyNumberFormat="1" applyFont="1" applyBorder="1"/>
    <xf numFmtId="165" fontId="3" fillId="0" borderId="0" xfId="0" applyNumberFormat="1" applyFont="1"/>
    <xf numFmtId="165" fontId="3" fillId="0" borderId="0" xfId="0" applyNumberFormat="1" applyFont="1" applyAlignment="1">
      <alignment horizontal="left"/>
    </xf>
    <xf numFmtId="176" fontId="4" fillId="0" borderId="49" xfId="1" applyNumberFormat="1" applyFont="1" applyBorder="1"/>
    <xf numFmtId="165" fontId="3" fillId="0" borderId="0" xfId="1" applyNumberFormat="1" applyFont="1"/>
    <xf numFmtId="6" fontId="3" fillId="0" borderId="0" xfId="1" applyNumberFormat="1" applyFont="1" applyBorder="1"/>
    <xf numFmtId="6" fontId="4" fillId="0" borderId="0" xfId="1" applyNumberFormat="1" applyFont="1" applyBorder="1"/>
    <xf numFmtId="5" fontId="3" fillId="0" borderId="0" xfId="1" applyNumberFormat="1" applyFont="1" applyBorder="1"/>
    <xf numFmtId="165" fontId="3" fillId="0" borderId="0" xfId="1" applyNumberFormat="1" applyFont="1" applyBorder="1"/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2" fontId="14" fillId="0" borderId="14" xfId="0" applyNumberFormat="1" applyFont="1" applyBorder="1" applyAlignment="1">
      <alignment horizontal="right" vertical="center"/>
    </xf>
    <xf numFmtId="2" fontId="14" fillId="0" borderId="14" xfId="0" applyNumberFormat="1" applyFont="1" applyBorder="1" applyAlignment="1">
      <alignment horizontal="right" vertical="center" wrapText="1"/>
    </xf>
    <xf numFmtId="0" fontId="14" fillId="0" borderId="0" xfId="0" applyFont="1" applyBorder="1" applyAlignment="1">
      <alignment horizontal="left" vertical="center" wrapText="1"/>
    </xf>
    <xf numFmtId="165" fontId="4" fillId="0" borderId="0" xfId="1" applyNumberFormat="1" applyFont="1" applyBorder="1" applyAlignment="1">
      <alignment horizontal="center"/>
    </xf>
    <xf numFmtId="176" fontId="4" fillId="0" borderId="0" xfId="1" applyNumberFormat="1" applyFont="1" applyBorder="1" applyAlignment="1">
      <alignment horizontal="center"/>
    </xf>
    <xf numFmtId="165" fontId="4" fillId="0" borderId="49" xfId="1" applyNumberFormat="1" applyFont="1" applyBorder="1" applyAlignment="1">
      <alignment horizontal="center"/>
    </xf>
    <xf numFmtId="44" fontId="4" fillId="0" borderId="0" xfId="1" applyFont="1" applyAlignment="1">
      <alignment horizontal="center"/>
    </xf>
    <xf numFmtId="176" fontId="4" fillId="0" borderId="49" xfId="1" applyNumberFormat="1" applyFont="1" applyBorder="1" applyAlignment="1">
      <alignment horizontal="center"/>
    </xf>
    <xf numFmtId="44" fontId="4" fillId="0" borderId="0" xfId="1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4" fontId="4" fillId="0" borderId="0" xfId="1" applyNumberFormat="1" applyFont="1" applyBorder="1"/>
    <xf numFmtId="3" fontId="4" fillId="0" borderId="49" xfId="0" applyNumberFormat="1" applyFont="1" applyBorder="1"/>
    <xf numFmtId="49" fontId="4" fillId="0" borderId="0" xfId="1" applyNumberFormat="1" applyFont="1" applyBorder="1"/>
    <xf numFmtId="49" fontId="4" fillId="0" borderId="0" xfId="0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Fill="1" applyBorder="1" applyAlignment="1"/>
    <xf numFmtId="0" fontId="4" fillId="0" borderId="13" xfId="0" applyFont="1" applyFill="1" applyBorder="1" applyAlignment="1"/>
    <xf numFmtId="0" fontId="4" fillId="0" borderId="0" xfId="0" applyFont="1" applyFill="1" applyBorder="1" applyAlignment="1"/>
    <xf numFmtId="0" fontId="4" fillId="0" borderId="2" xfId="0" applyFont="1" applyFill="1" applyBorder="1"/>
    <xf numFmtId="0" fontId="4" fillId="0" borderId="3" xfId="0" applyFont="1" applyFill="1" applyBorder="1"/>
    <xf numFmtId="0" fontId="4" fillId="0" borderId="14" xfId="0" applyFont="1" applyBorder="1" applyAlignment="1"/>
    <xf numFmtId="44" fontId="4" fillId="0" borderId="14" xfId="1" applyFont="1" applyBorder="1" applyAlignment="1"/>
    <xf numFmtId="165" fontId="4" fillId="0" borderId="14" xfId="1" applyNumberFormat="1" applyFont="1" applyBorder="1" applyAlignment="1"/>
    <xf numFmtId="44" fontId="4" fillId="0" borderId="33" xfId="1" applyFont="1" applyBorder="1" applyAlignment="1"/>
    <xf numFmtId="44" fontId="4" fillId="0" borderId="21" xfId="1" applyFont="1" applyBorder="1" applyAlignment="1"/>
    <xf numFmtId="0" fontId="4" fillId="0" borderId="19" xfId="0" applyFont="1" applyBorder="1" applyAlignment="1"/>
    <xf numFmtId="0" fontId="4" fillId="0" borderId="21" xfId="0" applyFont="1" applyBorder="1" applyAlignment="1"/>
    <xf numFmtId="0" fontId="4" fillId="0" borderId="33" xfId="0" applyFont="1" applyBorder="1" applyAlignment="1"/>
    <xf numFmtId="165" fontId="4" fillId="0" borderId="21" xfId="1" applyNumberFormat="1" applyFont="1" applyBorder="1" applyAlignment="1"/>
    <xf numFmtId="165" fontId="4" fillId="0" borderId="33" xfId="1" applyNumberFormat="1" applyFont="1" applyBorder="1" applyAlignment="1"/>
    <xf numFmtId="16" fontId="4" fillId="0" borderId="33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165" fontId="3" fillId="0" borderId="21" xfId="1" applyNumberFormat="1" applyFont="1" applyBorder="1" applyAlignment="1"/>
    <xf numFmtId="165" fontId="3" fillId="0" borderId="14" xfId="1" applyNumberFormat="1" applyFont="1" applyBorder="1" applyAlignment="1"/>
    <xf numFmtId="44" fontId="4" fillId="0" borderId="19" xfId="1" applyFont="1" applyBorder="1" applyAlignment="1"/>
    <xf numFmtId="165" fontId="4" fillId="0" borderId="19" xfId="0" applyNumberFormat="1" applyFont="1" applyBorder="1" applyAlignment="1"/>
    <xf numFmtId="44" fontId="4" fillId="0" borderId="21" xfId="0" applyNumberFormat="1" applyFont="1" applyBorder="1" applyAlignment="1"/>
    <xf numFmtId="165" fontId="4" fillId="0" borderId="21" xfId="0" applyNumberFormat="1" applyFont="1" applyBorder="1" applyAlignment="1"/>
    <xf numFmtId="165" fontId="3" fillId="0" borderId="21" xfId="0" applyNumberFormat="1" applyFont="1" applyBorder="1" applyAlignment="1"/>
    <xf numFmtId="16" fontId="4" fillId="0" borderId="19" xfId="0" applyNumberFormat="1" applyFont="1" applyBorder="1" applyAlignment="1">
      <alignment horizontal="center"/>
    </xf>
    <xf numFmtId="165" fontId="4" fillId="0" borderId="19" xfId="1" applyNumberFormat="1" applyFont="1" applyBorder="1" applyAlignment="1"/>
    <xf numFmtId="165" fontId="3" fillId="0" borderId="19" xfId="0" applyNumberFormat="1" applyFont="1" applyBorder="1" applyAlignment="1"/>
    <xf numFmtId="44" fontId="4" fillId="0" borderId="0" xfId="1" applyFont="1" applyBorder="1" applyAlignment="1"/>
    <xf numFmtId="16" fontId="4" fillId="0" borderId="0" xfId="0" applyNumberFormat="1" applyFont="1" applyBorder="1" applyAlignment="1">
      <alignment horizontal="center"/>
    </xf>
    <xf numFmtId="165" fontId="3" fillId="0" borderId="18" xfId="0" applyNumberFormat="1" applyFont="1" applyBorder="1" applyAlignment="1"/>
    <xf numFmtId="165" fontId="3" fillId="0" borderId="33" xfId="0" applyNumberFormat="1" applyFont="1" applyBorder="1" applyAlignment="1"/>
    <xf numFmtId="165" fontId="3" fillId="0" borderId="14" xfId="0" applyNumberFormat="1" applyFont="1" applyBorder="1" applyAlignment="1"/>
    <xf numFmtId="0" fontId="4" fillId="0" borderId="20" xfId="0" applyFont="1" applyBorder="1" applyAlignment="1"/>
    <xf numFmtId="44" fontId="4" fillId="0" borderId="4" xfId="1" applyFont="1" applyBorder="1" applyAlignment="1">
      <alignment horizontal="center"/>
    </xf>
    <xf numFmtId="165" fontId="3" fillId="0" borderId="20" xfId="0" applyNumberFormat="1" applyFont="1" applyBorder="1" applyAlignment="1"/>
    <xf numFmtId="44" fontId="4" fillId="0" borderId="3" xfId="1" applyFont="1" applyBorder="1" applyAlignment="1"/>
    <xf numFmtId="165" fontId="4" fillId="0" borderId="3" xfId="1" applyNumberFormat="1" applyFont="1" applyBorder="1" applyAlignment="1"/>
    <xf numFmtId="165" fontId="3" fillId="0" borderId="3" xfId="1" applyNumberFormat="1" applyFont="1" applyBorder="1" applyAlignment="1"/>
    <xf numFmtId="44" fontId="4" fillId="0" borderId="14" xfId="1" applyFont="1" applyBorder="1" applyAlignment="1">
      <alignment vertical="center"/>
    </xf>
    <xf numFmtId="44" fontId="4" fillId="0" borderId="21" xfId="1" applyFont="1" applyBorder="1" applyAlignment="1">
      <alignment vertical="center"/>
    </xf>
    <xf numFmtId="44" fontId="4" fillId="0" borderId="19" xfId="1" applyFont="1" applyBorder="1" applyAlignment="1">
      <alignment vertical="center"/>
    </xf>
    <xf numFmtId="44" fontId="4" fillId="0" borderId="33" xfId="1" applyFont="1" applyBorder="1" applyAlignment="1">
      <alignment horizontal="center"/>
    </xf>
    <xf numFmtId="165" fontId="4" fillId="0" borderId="16" xfId="0" applyNumberFormat="1" applyFont="1" applyBorder="1" applyAlignment="1"/>
    <xf numFmtId="165" fontId="4" fillId="0" borderId="0" xfId="1" applyNumberFormat="1" applyFont="1" applyBorder="1" applyAlignment="1"/>
    <xf numFmtId="44" fontId="4" fillId="0" borderId="0" xfId="1" applyFont="1" applyBorder="1" applyAlignment="1">
      <alignment vertical="center"/>
    </xf>
    <xf numFmtId="165" fontId="3" fillId="0" borderId="0" xfId="1" applyNumberFormat="1" applyFont="1" applyBorder="1" applyAlignment="1"/>
    <xf numFmtId="165" fontId="4" fillId="0" borderId="14" xfId="0" applyNumberFormat="1" applyFont="1" applyBorder="1" applyAlignment="1"/>
    <xf numFmtId="44" fontId="4" fillId="0" borderId="14" xfId="1" applyFont="1" applyBorder="1" applyAlignment="1">
      <alignment horizontal="center"/>
    </xf>
    <xf numFmtId="44" fontId="4" fillId="0" borderId="14" xfId="0" applyNumberFormat="1" applyFont="1" applyBorder="1" applyAlignment="1">
      <alignment vertical="center"/>
    </xf>
    <xf numFmtId="44" fontId="4" fillId="0" borderId="3" xfId="1" applyNumberFormat="1" applyFont="1" applyBorder="1" applyAlignment="1">
      <alignment vertical="center"/>
    </xf>
    <xf numFmtId="44" fontId="4" fillId="0" borderId="19" xfId="1" applyNumberFormat="1" applyFont="1" applyBorder="1" applyAlignment="1">
      <alignment vertical="center"/>
    </xf>
    <xf numFmtId="16" fontId="4" fillId="0" borderId="21" xfId="0" applyNumberFormat="1" applyFont="1" applyBorder="1" applyAlignment="1">
      <alignment horizontal="center"/>
    </xf>
    <xf numFmtId="16" fontId="4" fillId="0" borderId="0" xfId="0" applyNumberFormat="1" applyFont="1" applyBorder="1" applyAlignment="1">
      <alignment horizontal="left"/>
    </xf>
    <xf numFmtId="16" fontId="3" fillId="0" borderId="0" xfId="0" applyNumberFormat="1" applyFont="1" applyBorder="1" applyAlignment="1"/>
    <xf numFmtId="44" fontId="3" fillId="0" borderId="0" xfId="1" applyFont="1" applyBorder="1" applyAlignment="1"/>
    <xf numFmtId="0" fontId="3" fillId="0" borderId="0" xfId="0" applyFont="1" applyBorder="1"/>
    <xf numFmtId="6" fontId="4" fillId="0" borderId="49" xfId="0" applyNumberFormat="1" applyFont="1" applyBorder="1"/>
    <xf numFmtId="0" fontId="4" fillId="0" borderId="0" xfId="0" applyFont="1" applyAlignment="1">
      <alignment horizontal="left" indent="2"/>
    </xf>
    <xf numFmtId="8" fontId="4" fillId="0" borderId="0" xfId="0" applyNumberFormat="1" applyFont="1"/>
    <xf numFmtId="6" fontId="4" fillId="0" borderId="4" xfId="0" applyNumberFormat="1" applyFont="1" applyBorder="1" applyAlignment="1">
      <alignment horizontal="center"/>
    </xf>
    <xf numFmtId="0" fontId="25" fillId="0" borderId="0" xfId="0" applyFont="1"/>
    <xf numFmtId="6" fontId="4" fillId="0" borderId="0" xfId="0" applyNumberFormat="1" applyFont="1" applyAlignment="1">
      <alignment horizontal="left"/>
    </xf>
    <xf numFmtId="8" fontId="4" fillId="0" borderId="0" xfId="0" applyNumberFormat="1" applyFont="1" applyAlignment="1">
      <alignment horizontal="center"/>
    </xf>
    <xf numFmtId="8" fontId="4" fillId="0" borderId="0" xfId="0" applyNumberFormat="1" applyFont="1" applyBorder="1" applyAlignment="1"/>
    <xf numFmtId="0" fontId="4" fillId="0" borderId="0" xfId="0" applyFont="1" applyBorder="1" applyAlignment="1"/>
    <xf numFmtId="6" fontId="4" fillId="0" borderId="0" xfId="0" applyNumberFormat="1" applyFont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3" xfId="1" applyNumberFormat="1" applyFont="1" applyBorder="1" applyAlignment="1">
      <alignment horizontal="right"/>
    </xf>
    <xf numFmtId="3" fontId="4" fillId="0" borderId="3" xfId="1" applyNumberFormat="1" applyFont="1" applyBorder="1"/>
    <xf numFmtId="44" fontId="4" fillId="0" borderId="18" xfId="1" applyFont="1" applyBorder="1" applyAlignment="1">
      <alignment horizontal="center" vertical="center"/>
    </xf>
    <xf numFmtId="44" fontId="4" fillId="0" borderId="33" xfId="1" applyFont="1" applyBorder="1" applyAlignment="1">
      <alignment horizontal="center" vertical="center"/>
    </xf>
    <xf numFmtId="44" fontId="4" fillId="0" borderId="19" xfId="1" applyFont="1" applyBorder="1" applyAlignment="1">
      <alignment horizontal="center" vertical="center"/>
    </xf>
    <xf numFmtId="44" fontId="4" fillId="0" borderId="21" xfId="1" applyFont="1" applyBorder="1" applyAlignment="1">
      <alignment horizontal="center" vertical="center"/>
    </xf>
    <xf numFmtId="4" fontId="4" fillId="0" borderId="14" xfId="0" applyNumberFormat="1" applyFont="1" applyFill="1" applyBorder="1" applyAlignment="1">
      <alignment horizontal="center"/>
    </xf>
    <xf numFmtId="3" fontId="4" fillId="0" borderId="14" xfId="0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44" fontId="4" fillId="0" borderId="13" xfId="1" applyFont="1" applyBorder="1" applyAlignment="1">
      <alignment horizontal="center" vertical="center"/>
    </xf>
    <xf numFmtId="44" fontId="4" fillId="0" borderId="4" xfId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4" fillId="0" borderId="33" xfId="1" applyNumberFormat="1" applyFont="1" applyBorder="1" applyAlignment="1">
      <alignment horizontal="center" vertical="center"/>
    </xf>
    <xf numFmtId="165" fontId="3" fillId="0" borderId="21" xfId="1" applyNumberFormat="1" applyFont="1" applyBorder="1" applyAlignment="1">
      <alignment horizontal="center" vertical="center"/>
    </xf>
    <xf numFmtId="165" fontId="4" fillId="0" borderId="19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4" fillId="0" borderId="21" xfId="1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165" fontId="4" fillId="0" borderId="19" xfId="1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5" fontId="3" fillId="0" borderId="33" xfId="1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3" fontId="4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2" fontId="4" fillId="0" borderId="2" xfId="0" applyNumberFormat="1" applyFont="1" applyBorder="1" applyAlignment="1">
      <alignment vertical="center"/>
    </xf>
    <xf numFmtId="0" fontId="4" fillId="0" borderId="3" xfId="0" applyFont="1" applyBorder="1" applyAlignment="1"/>
    <xf numFmtId="0" fontId="12" fillId="0" borderId="0" xfId="0" applyFont="1" applyAlignment="1"/>
    <xf numFmtId="3" fontId="4" fillId="0" borderId="3" xfId="0" applyNumberFormat="1" applyFont="1" applyBorder="1" applyAlignment="1">
      <alignment horizontal="right"/>
    </xf>
    <xf numFmtId="2" fontId="4" fillId="0" borderId="14" xfId="0" applyNumberFormat="1" applyFont="1" applyBorder="1"/>
    <xf numFmtId="3" fontId="4" fillId="0" borderId="14" xfId="1" applyNumberFormat="1" applyFont="1" applyBorder="1"/>
    <xf numFmtId="2" fontId="4" fillId="0" borderId="14" xfId="0" applyNumberFormat="1" applyFont="1" applyBorder="1" applyAlignment="1">
      <alignment horizontal="right"/>
    </xf>
    <xf numFmtId="44" fontId="4" fillId="0" borderId="4" xfId="1" applyFont="1" applyBorder="1"/>
    <xf numFmtId="44" fontId="4" fillId="0" borderId="5" xfId="0" applyNumberFormat="1" applyFont="1" applyBorder="1"/>
    <xf numFmtId="3" fontId="3" fillId="0" borderId="0" xfId="0" applyNumberFormat="1" applyFont="1"/>
    <xf numFmtId="44" fontId="4" fillId="0" borderId="5" xfId="1" applyFont="1" applyBorder="1"/>
    <xf numFmtId="0" fontId="4" fillId="0" borderId="49" xfId="0" applyFont="1" applyBorder="1" applyAlignment="1">
      <alignment horizontal="center" wrapText="1"/>
    </xf>
    <xf numFmtId="176" fontId="4" fillId="0" borderId="4" xfId="0" applyNumberFormat="1" applyFont="1" applyBorder="1" applyAlignment="1">
      <alignment horizontal="center"/>
    </xf>
    <xf numFmtId="44" fontId="3" fillId="0" borderId="45" xfId="0" applyNumberFormat="1" applyFont="1" applyBorder="1"/>
    <xf numFmtId="0" fontId="3" fillId="0" borderId="0" xfId="0" applyFont="1" applyFill="1" applyBorder="1"/>
    <xf numFmtId="0" fontId="4" fillId="0" borderId="20" xfId="0" applyFont="1" applyBorder="1"/>
    <xf numFmtId="44" fontId="4" fillId="0" borderId="20" xfId="1" applyFont="1" applyBorder="1"/>
    <xf numFmtId="44" fontId="4" fillId="0" borderId="20" xfId="0" applyNumberFormat="1" applyFont="1" applyBorder="1"/>
    <xf numFmtId="0" fontId="4" fillId="0" borderId="14" xfId="0" applyFont="1" applyBorder="1" applyAlignment="1">
      <alignment horizontal="center"/>
    </xf>
    <xf numFmtId="0" fontId="12" fillId="0" borderId="0" xfId="0" applyFont="1"/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 vertical="center"/>
    </xf>
    <xf numFmtId="49" fontId="4" fillId="0" borderId="0" xfId="0" applyNumberFormat="1" applyFont="1" applyFill="1" applyBorder="1"/>
    <xf numFmtId="44" fontId="4" fillId="0" borderId="14" xfId="0" applyNumberFormat="1" applyFont="1" applyBorder="1" applyAlignment="1">
      <alignment horizontal="right"/>
    </xf>
    <xf numFmtId="0" fontId="4" fillId="0" borderId="4" xfId="0" applyFont="1" applyBorder="1" applyAlignment="1">
      <alignment horizontal="left" vertical="center" indent="5"/>
    </xf>
    <xf numFmtId="0" fontId="4" fillId="0" borderId="22" xfId="0" applyFont="1" applyBorder="1" applyAlignment="1">
      <alignment horizontal="left"/>
    </xf>
    <xf numFmtId="0" fontId="20" fillId="0" borderId="14" xfId="0" applyFont="1" applyBorder="1" applyAlignment="1">
      <alignment horizontal="center"/>
    </xf>
    <xf numFmtId="44" fontId="0" fillId="0" borderId="0" xfId="1" applyFont="1"/>
    <xf numFmtId="171" fontId="4" fillId="0" borderId="0" xfId="1" applyNumberFormat="1" applyFont="1"/>
    <xf numFmtId="0" fontId="18" fillId="0" borderId="0" xfId="0" applyFont="1" applyAlignment="1">
      <alignment horizontal="left" indent="1"/>
    </xf>
    <xf numFmtId="0" fontId="0" fillId="0" borderId="20" xfId="0" applyBorder="1"/>
    <xf numFmtId="177" fontId="4" fillId="0" borderId="19" xfId="1" applyNumberFormat="1" applyFont="1" applyBorder="1"/>
    <xf numFmtId="177" fontId="4" fillId="0" borderId="14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3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4" fontId="4" fillId="0" borderId="21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/>
    </xf>
    <xf numFmtId="0" fontId="4" fillId="0" borderId="51" xfId="0" applyFont="1" applyBorder="1"/>
    <xf numFmtId="3" fontId="4" fillId="0" borderId="42" xfId="0" applyNumberFormat="1" applyFont="1" applyBorder="1" applyAlignment="1">
      <alignment horizontal="center"/>
    </xf>
    <xf numFmtId="3" fontId="4" fillId="0" borderId="43" xfId="0" applyNumberFormat="1" applyFont="1" applyBorder="1" applyAlignment="1">
      <alignment horizontal="center"/>
    </xf>
    <xf numFmtId="0" fontId="20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18" fillId="0" borderId="0" xfId="0" applyFont="1" applyFill="1" applyBorder="1"/>
    <xf numFmtId="2" fontId="4" fillId="0" borderId="2" xfId="0" applyNumberFormat="1" applyFont="1" applyBorder="1"/>
    <xf numFmtId="0" fontId="18" fillId="0" borderId="0" xfId="0" applyFont="1" applyBorder="1" applyAlignment="1">
      <alignment horizontal="left"/>
    </xf>
    <xf numFmtId="168" fontId="4" fillId="0" borderId="3" xfId="0" applyNumberFormat="1" applyFont="1" applyBorder="1"/>
    <xf numFmtId="0" fontId="4" fillId="0" borderId="22" xfId="0" applyFont="1" applyBorder="1" applyAlignment="1">
      <alignment horizontal="left" indent="1"/>
    </xf>
    <xf numFmtId="165" fontId="4" fillId="0" borderId="13" xfId="0" applyNumberFormat="1" applyFont="1" applyBorder="1"/>
    <xf numFmtId="165" fontId="4" fillId="0" borderId="7" xfId="0" applyNumberFormat="1" applyFont="1" applyBorder="1"/>
    <xf numFmtId="168" fontId="4" fillId="0" borderId="0" xfId="0" applyNumberFormat="1" applyFont="1"/>
    <xf numFmtId="179" fontId="4" fillId="0" borderId="0" xfId="0" applyNumberFormat="1" applyFont="1"/>
    <xf numFmtId="4" fontId="4" fillId="0" borderId="14" xfId="0" applyNumberFormat="1" applyFont="1" applyBorder="1" applyAlignment="1">
      <alignment horizontal="right"/>
    </xf>
    <xf numFmtId="44" fontId="4" fillId="0" borderId="14" xfId="0" applyNumberFormat="1" applyFont="1" applyBorder="1" applyAlignment="1">
      <alignment horizontal="center" vertical="center"/>
    </xf>
    <xf numFmtId="172" fontId="4" fillId="0" borderId="14" xfId="0" applyNumberFormat="1" applyFont="1" applyBorder="1"/>
    <xf numFmtId="0" fontId="29" fillId="0" borderId="0" xfId="0" applyFont="1"/>
    <xf numFmtId="0" fontId="27" fillId="0" borderId="0" xfId="0" applyFont="1"/>
    <xf numFmtId="2" fontId="4" fillId="0" borderId="20" xfId="0" applyNumberFormat="1" applyFont="1" applyBorder="1"/>
    <xf numFmtId="2" fontId="4" fillId="0" borderId="0" xfId="0" applyNumberFormat="1" applyFont="1" applyBorder="1"/>
    <xf numFmtId="6" fontId="4" fillId="0" borderId="0" xfId="0" applyNumberFormat="1" applyFont="1" applyBorder="1"/>
    <xf numFmtId="1" fontId="4" fillId="0" borderId="19" xfId="0" applyNumberFormat="1" applyFont="1" applyBorder="1"/>
    <xf numFmtId="178" fontId="4" fillId="0" borderId="0" xfId="0" applyNumberFormat="1" applyFont="1" applyBorder="1"/>
    <xf numFmtId="0" fontId="4" fillId="0" borderId="49" xfId="0" applyFont="1" applyBorder="1"/>
    <xf numFmtId="2" fontId="4" fillId="0" borderId="49" xfId="0" applyNumberFormat="1" applyFont="1" applyBorder="1"/>
    <xf numFmtId="1" fontId="4" fillId="0" borderId="0" xfId="0" applyNumberFormat="1" applyFont="1"/>
    <xf numFmtId="0" fontId="4" fillId="0" borderId="52" xfId="0" applyFont="1" applyBorder="1"/>
    <xf numFmtId="1" fontId="4" fillId="0" borderId="14" xfId="0" applyNumberFormat="1" applyFont="1" applyBorder="1" applyAlignment="1">
      <alignment horizontal="center" vertical="center"/>
    </xf>
    <xf numFmtId="172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/>
    <xf numFmtId="0" fontId="3" fillId="0" borderId="0" xfId="0" applyFont="1" applyBorder="1" applyAlignment="1"/>
    <xf numFmtId="165" fontId="4" fillId="0" borderId="14" xfId="1" applyNumberFormat="1" applyFont="1" applyBorder="1" applyAlignment="1">
      <alignment horizontal="left" vertical="center"/>
    </xf>
    <xf numFmtId="165" fontId="4" fillId="0" borderId="14" xfId="1" applyNumberFormat="1" applyFont="1" applyBorder="1" applyAlignment="1">
      <alignment horizontal="center" vertical="center"/>
    </xf>
    <xf numFmtId="1" fontId="4" fillId="0" borderId="2" xfId="0" applyNumberFormat="1" applyFont="1" applyBorder="1"/>
    <xf numFmtId="10" fontId="4" fillId="0" borderId="0" xfId="2" applyNumberFormat="1" applyFont="1"/>
    <xf numFmtId="0" fontId="4" fillId="0" borderId="0" xfId="0" applyFont="1" applyFill="1"/>
    <xf numFmtId="164" fontId="4" fillId="0" borderId="0" xfId="0" applyNumberFormat="1" applyFont="1" applyFill="1"/>
    <xf numFmtId="1" fontId="4" fillId="0" borderId="2" xfId="0" applyNumberFormat="1" applyFont="1" applyBorder="1" applyAlignment="1">
      <alignment horizontal="center"/>
    </xf>
    <xf numFmtId="10" fontId="4" fillId="0" borderId="13" xfId="2" applyNumberFormat="1" applyFont="1" applyBorder="1"/>
    <xf numFmtId="10" fontId="4" fillId="0" borderId="3" xfId="2" applyNumberFormat="1" applyFont="1" applyBorder="1"/>
    <xf numFmtId="165" fontId="4" fillId="0" borderId="8" xfId="0" applyNumberFormat="1" applyFont="1" applyBorder="1"/>
    <xf numFmtId="0" fontId="0" fillId="0" borderId="13" xfId="0" applyBorder="1"/>
    <xf numFmtId="0" fontId="0" fillId="0" borderId="2" xfId="0" applyBorder="1"/>
    <xf numFmtId="0" fontId="30" fillId="0" borderId="14" xfId="0" applyFont="1" applyBorder="1"/>
    <xf numFmtId="2" fontId="4" fillId="0" borderId="18" xfId="0" applyNumberFormat="1" applyFont="1" applyBorder="1"/>
    <xf numFmtId="0" fontId="27" fillId="0" borderId="1" xfId="0" applyFont="1" applyBorder="1"/>
    <xf numFmtId="2" fontId="4" fillId="0" borderId="22" xfId="0" applyNumberFormat="1" applyFont="1" applyBorder="1"/>
    <xf numFmtId="2" fontId="4" fillId="0" borderId="17" xfId="0" applyNumberFormat="1" applyFont="1" applyBorder="1"/>
    <xf numFmtId="1" fontId="4" fillId="0" borderId="21" xfId="0" applyNumberFormat="1" applyFont="1" applyBorder="1"/>
    <xf numFmtId="2" fontId="4" fillId="0" borderId="4" xfId="0" applyNumberFormat="1" applyFont="1" applyBorder="1"/>
    <xf numFmtId="0" fontId="4" fillId="0" borderId="22" xfId="0" applyFont="1" applyBorder="1" applyAlignment="1">
      <alignment horizontal="center"/>
    </xf>
    <xf numFmtId="0" fontId="28" fillId="0" borderId="20" xfId="0" applyFont="1" applyBorder="1"/>
    <xf numFmtId="0" fontId="4" fillId="0" borderId="17" xfId="0" applyFont="1" applyBorder="1" applyAlignment="1">
      <alignment horizontal="center"/>
    </xf>
    <xf numFmtId="0" fontId="27" fillId="0" borderId="2" xfId="0" applyFont="1" applyBorder="1"/>
    <xf numFmtId="0" fontId="27" fillId="0" borderId="3" xfId="0" applyFont="1" applyBorder="1"/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44" fontId="4" fillId="0" borderId="20" xfId="1" applyFont="1" applyBorder="1" applyAlignment="1">
      <alignment horizontal="center" vertical="center"/>
    </xf>
    <xf numFmtId="44" fontId="4" fillId="0" borderId="17" xfId="1" applyFont="1" applyBorder="1" applyAlignment="1">
      <alignment horizontal="center" vertical="center"/>
    </xf>
    <xf numFmtId="44" fontId="4" fillId="0" borderId="33" xfId="1" applyFont="1" applyBorder="1"/>
    <xf numFmtId="44" fontId="4" fillId="0" borderId="19" xfId="1" applyFont="1" applyBorder="1"/>
    <xf numFmtId="44" fontId="4" fillId="0" borderId="21" xfId="1" applyFont="1" applyBorder="1"/>
    <xf numFmtId="0" fontId="4" fillId="0" borderId="14" xfId="0" applyFont="1" applyBorder="1" applyAlignment="1">
      <alignment horizontal="center" vertical="center" wrapText="1"/>
    </xf>
    <xf numFmtId="4" fontId="4" fillId="0" borderId="14" xfId="0" applyNumberFormat="1" applyFont="1" applyBorder="1"/>
    <xf numFmtId="4" fontId="3" fillId="0" borderId="14" xfId="0" applyNumberFormat="1" applyFont="1" applyBorder="1"/>
    <xf numFmtId="0" fontId="2" fillId="0" borderId="1" xfId="0" applyFont="1" applyBorder="1" applyAlignment="1">
      <alignment horizontal="right" vertical="center"/>
    </xf>
    <xf numFmtId="4" fontId="4" fillId="5" borderId="9" xfId="0" applyNumberFormat="1" applyFont="1" applyFill="1" applyBorder="1"/>
    <xf numFmtId="4" fontId="4" fillId="5" borderId="10" xfId="0" applyNumberFormat="1" applyFont="1" applyFill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2" fillId="0" borderId="0" xfId="0" applyFont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53" xfId="0" applyFont="1" applyBorder="1"/>
    <xf numFmtId="0" fontId="4" fillId="0" borderId="54" xfId="0" applyFont="1" applyBorder="1"/>
    <xf numFmtId="0" fontId="4" fillId="0" borderId="55" xfId="0" applyFont="1" applyBorder="1"/>
    <xf numFmtId="0" fontId="3" fillId="0" borderId="56" xfId="0" applyFont="1" applyBorder="1"/>
    <xf numFmtId="0" fontId="4" fillId="0" borderId="56" xfId="0" applyFont="1" applyBorder="1"/>
    <xf numFmtId="0" fontId="4" fillId="0" borderId="55" xfId="0" applyFont="1" applyBorder="1" applyAlignment="1">
      <alignment horizontal="center"/>
    </xf>
    <xf numFmtId="0" fontId="25" fillId="0" borderId="56" xfId="0" applyFont="1" applyBorder="1"/>
    <xf numFmtId="0" fontId="18" fillId="0" borderId="55" xfId="0" applyFont="1" applyBorder="1"/>
    <xf numFmtId="0" fontId="3" fillId="0" borderId="46" xfId="0" applyFont="1" applyBorder="1"/>
    <xf numFmtId="0" fontId="4" fillId="0" borderId="47" xfId="0" applyFont="1" applyBorder="1"/>
    <xf numFmtId="0" fontId="3" fillId="0" borderId="4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/>
    <xf numFmtId="0" fontId="3" fillId="0" borderId="3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13" xfId="0" applyFont="1" applyBorder="1" applyAlignment="1">
      <alignment horizontal="left"/>
    </xf>
    <xf numFmtId="3" fontId="4" fillId="0" borderId="14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4" xfId="0" applyFont="1" applyBorder="1" applyAlignment="1">
      <alignment horizontal="left"/>
    </xf>
    <xf numFmtId="3" fontId="3" fillId="0" borderId="8" xfId="0" applyNumberFormat="1" applyFont="1" applyBorder="1" applyAlignment="1">
      <alignment horizontal="left"/>
    </xf>
    <xf numFmtId="180" fontId="4" fillId="3" borderId="14" xfId="1" applyNumberFormat="1" applyFont="1" applyFill="1" applyBorder="1"/>
    <xf numFmtId="0" fontId="4" fillId="3" borderId="0" xfId="0" applyFont="1" applyFill="1"/>
    <xf numFmtId="0" fontId="3" fillId="3" borderId="0" xfId="0" applyFont="1" applyFill="1"/>
    <xf numFmtId="180" fontId="3" fillId="3" borderId="0" xfId="0" applyNumberFormat="1" applyFont="1" applyFill="1"/>
    <xf numFmtId="0" fontId="3" fillId="6" borderId="14" xfId="0" applyFont="1" applyFill="1" applyBorder="1" applyAlignment="1">
      <alignment horizontal="center" vertical="center"/>
    </xf>
    <xf numFmtId="0" fontId="4" fillId="0" borderId="14" xfId="0" applyFont="1" applyFill="1" applyBorder="1"/>
    <xf numFmtId="180" fontId="3" fillId="2" borderId="14" xfId="1" applyNumberFormat="1" applyFont="1" applyFill="1" applyBorder="1"/>
    <xf numFmtId="0" fontId="10" fillId="0" borderId="0" xfId="0" applyFont="1" applyFill="1" applyBorder="1" applyAlignment="1"/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4" fillId="0" borderId="14" xfId="0" applyFont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right"/>
    </xf>
    <xf numFmtId="44" fontId="3" fillId="0" borderId="3" xfId="1" applyFont="1" applyBorder="1"/>
    <xf numFmtId="0" fontId="18" fillId="0" borderId="0" xfId="0" applyFont="1" applyBorder="1"/>
    <xf numFmtId="0" fontId="4" fillId="0" borderId="14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 wrapText="1"/>
    </xf>
    <xf numFmtId="3" fontId="4" fillId="0" borderId="14" xfId="0" applyNumberFormat="1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4" fillId="3" borderId="14" xfId="0" applyFont="1" applyFill="1" applyBorder="1" applyAlignment="1">
      <alignment horizontal="center"/>
    </xf>
    <xf numFmtId="0" fontId="14" fillId="0" borderId="0" xfId="0" applyFont="1" applyAlignment="1">
      <alignment horizontal="right" vertical="center"/>
    </xf>
    <xf numFmtId="0" fontId="14" fillId="0" borderId="4" xfId="0" applyFont="1" applyBorder="1" applyAlignment="1">
      <alignment horizontal="right" vertical="center"/>
    </xf>
    <xf numFmtId="3" fontId="14" fillId="0" borderId="0" xfId="0" applyNumberFormat="1" applyFont="1" applyAlignment="1">
      <alignment vertical="center"/>
    </xf>
    <xf numFmtId="3" fontId="14" fillId="0" borderId="4" xfId="0" applyNumberFormat="1" applyFont="1" applyBorder="1" applyAlignment="1">
      <alignment vertical="center"/>
    </xf>
    <xf numFmtId="1" fontId="14" fillId="0" borderId="14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right" vertical="center"/>
    </xf>
    <xf numFmtId="3" fontId="4" fillId="0" borderId="33" xfId="0" applyNumberFormat="1" applyFont="1" applyBorder="1" applyAlignment="1">
      <alignment horizontal="center" vertical="center" wrapText="1"/>
    </xf>
    <xf numFmtId="4" fontId="4" fillId="0" borderId="14" xfId="0" applyNumberFormat="1" applyFont="1" applyBorder="1" applyAlignment="1">
      <alignment horizontal="center" vertical="center" wrapText="1"/>
    </xf>
    <xf numFmtId="44" fontId="4" fillId="0" borderId="14" xfId="1" applyNumberFormat="1" applyFont="1" applyBorder="1" applyAlignment="1">
      <alignment horizontal="center" vertical="center"/>
    </xf>
    <xf numFmtId="44" fontId="4" fillId="0" borderId="14" xfId="1" applyNumberFormat="1" applyFont="1" applyBorder="1" applyAlignment="1">
      <alignment horizontal="center"/>
    </xf>
    <xf numFmtId="44" fontId="4" fillId="0" borderId="14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left"/>
    </xf>
    <xf numFmtId="0" fontId="32" fillId="0" borderId="0" xfId="0" applyFont="1" applyAlignment="1">
      <alignment vertical="center"/>
    </xf>
    <xf numFmtId="6" fontId="14" fillId="0" borderId="14" xfId="0" applyNumberFormat="1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vertical="center" wrapText="1"/>
    </xf>
    <xf numFmtId="3" fontId="33" fillId="0" borderId="14" xfId="0" applyNumberFormat="1" applyFont="1" applyBorder="1" applyAlignment="1">
      <alignment horizontal="right" vertical="center" wrapText="1"/>
    </xf>
    <xf numFmtId="0" fontId="15" fillId="0" borderId="0" xfId="0" applyFont="1" applyAlignment="1">
      <alignment vertical="center"/>
    </xf>
    <xf numFmtId="0" fontId="33" fillId="0" borderId="0" xfId="0" applyFont="1" applyBorder="1" applyAlignment="1">
      <alignment vertical="center" wrapText="1"/>
    </xf>
    <xf numFmtId="3" fontId="33" fillId="0" borderId="0" xfId="0" applyNumberFormat="1" applyFont="1" applyBorder="1" applyAlignment="1">
      <alignment horizontal="right" vertical="center" wrapText="1"/>
    </xf>
    <xf numFmtId="0" fontId="33" fillId="0" borderId="0" xfId="0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34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8" fontId="3" fillId="0" borderId="14" xfId="0" applyNumberFormat="1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10" fontId="3" fillId="0" borderId="14" xfId="2" applyNumberFormat="1" applyFont="1" applyBorder="1" applyAlignment="1">
      <alignment horizontal="right"/>
    </xf>
    <xf numFmtId="6" fontId="3" fillId="0" borderId="14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7" fillId="2" borderId="33" xfId="0" applyFont="1" applyFill="1" applyBorder="1" applyAlignment="1">
      <alignment horizontal="center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17" fillId="2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/>
    </xf>
    <xf numFmtId="3" fontId="4" fillId="0" borderId="33" xfId="1" applyNumberFormat="1" applyFont="1" applyBorder="1" applyAlignment="1">
      <alignment horizontal="center" vertical="center" wrapText="1"/>
    </xf>
    <xf numFmtId="3" fontId="4" fillId="0" borderId="21" xfId="1" applyNumberFormat="1" applyFont="1" applyBorder="1" applyAlignment="1">
      <alignment horizontal="center" vertical="center" wrapText="1"/>
    </xf>
    <xf numFmtId="3" fontId="4" fillId="0" borderId="14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3" fillId="6" borderId="14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3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12" fillId="0" borderId="0" xfId="0" applyFont="1"/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left" wrapText="1"/>
    </xf>
    <xf numFmtId="0" fontId="4" fillId="0" borderId="20" xfId="0" applyFont="1" applyBorder="1" applyAlignment="1">
      <alignment horizontal="left" wrapText="1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left" vertical="center"/>
    </xf>
    <xf numFmtId="0" fontId="14" fillId="0" borderId="1" xfId="0" applyFont="1" applyFill="1" applyBorder="1" applyAlignment="1">
      <alignment horizontal="left" vertical="center"/>
    </xf>
    <xf numFmtId="0" fontId="14" fillId="0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 wrapText="1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14" fillId="0" borderId="26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3" fontId="4" fillId="0" borderId="1" xfId="0" applyNumberFormat="1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6" fontId="4" fillId="0" borderId="4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wrapText="1"/>
    </xf>
    <xf numFmtId="0" fontId="4" fillId="0" borderId="19" xfId="0" applyFont="1" applyBorder="1" applyAlignment="1">
      <alignment horizontal="left" wrapText="1"/>
    </xf>
    <xf numFmtId="0" fontId="14" fillId="0" borderId="28" xfId="0" applyFont="1" applyFill="1" applyBorder="1" applyAlignment="1">
      <alignment vertical="center"/>
    </xf>
    <xf numFmtId="0" fontId="14" fillId="0" borderId="29" xfId="0" applyFont="1" applyFill="1" applyBorder="1" applyAlignment="1">
      <alignment vertical="center"/>
    </xf>
    <xf numFmtId="3" fontId="4" fillId="0" borderId="33" xfId="0" applyNumberFormat="1" applyFont="1" applyBorder="1" applyAlignment="1">
      <alignment horizontal="left" wrapText="1"/>
    </xf>
    <xf numFmtId="3" fontId="4" fillId="0" borderId="19" xfId="0" applyNumberFormat="1" applyFont="1" applyBorder="1" applyAlignment="1">
      <alignment horizontal="left" wrapText="1"/>
    </xf>
    <xf numFmtId="0" fontId="31" fillId="0" borderId="0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3" fillId="0" borderId="37" xfId="0" applyFont="1" applyFill="1" applyBorder="1" applyAlignment="1">
      <alignment horizontal="left" vertical="center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25" xfId="0" applyFont="1" applyFill="1" applyBorder="1" applyAlignment="1">
      <alignment horizontal="center" vertical="center" wrapText="1"/>
    </xf>
    <xf numFmtId="49" fontId="4" fillId="0" borderId="33" xfId="0" applyNumberFormat="1" applyFont="1" applyBorder="1" applyAlignment="1">
      <alignment horizontal="left" vertical="center"/>
    </xf>
    <xf numFmtId="49" fontId="4" fillId="0" borderId="21" xfId="0" applyNumberFormat="1" applyFont="1" applyBorder="1" applyAlignment="1">
      <alignment horizontal="left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31" fillId="0" borderId="0" xfId="0" applyFont="1" applyFill="1" applyBorder="1" applyAlignment="1">
      <alignment horizontal="center" wrapText="1"/>
    </xf>
    <xf numFmtId="4" fontId="4" fillId="0" borderId="17" xfId="0" applyNumberFormat="1" applyFont="1" applyBorder="1" applyAlignment="1">
      <alignment horizontal="center"/>
    </xf>
    <xf numFmtId="4" fontId="4" fillId="0" borderId="18" xfId="0" applyNumberFormat="1" applyFont="1" applyBorder="1" applyAlignment="1">
      <alignment horizontal="center"/>
    </xf>
    <xf numFmtId="3" fontId="4" fillId="0" borderId="17" xfId="0" applyNumberFormat="1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4" fontId="4" fillId="0" borderId="15" xfId="0" applyNumberFormat="1" applyFont="1" applyBorder="1" applyAlignment="1">
      <alignment horizontal="center" vertical="center"/>
    </xf>
    <xf numFmtId="4" fontId="4" fillId="0" borderId="16" xfId="0" applyNumberFormat="1" applyFont="1" applyBorder="1" applyAlignment="1">
      <alignment horizontal="center" vertical="center"/>
    </xf>
    <xf numFmtId="4" fontId="4" fillId="0" borderId="17" xfId="0" applyNumberFormat="1" applyFont="1" applyBorder="1" applyAlignment="1">
      <alignment horizontal="center" vertical="center"/>
    </xf>
    <xf numFmtId="4" fontId="4" fillId="0" borderId="18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right"/>
    </xf>
    <xf numFmtId="44" fontId="4" fillId="0" borderId="16" xfId="1" applyFont="1" applyBorder="1" applyAlignment="1">
      <alignment horizontal="center" vertical="center"/>
    </xf>
    <xf numFmtId="44" fontId="4" fillId="0" borderId="18" xfId="1" applyFont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44" fontId="4" fillId="0" borderId="33" xfId="0" applyNumberFormat="1" applyFont="1" applyBorder="1" applyAlignment="1">
      <alignment horizontal="center" vertical="center"/>
    </xf>
    <xf numFmtId="44" fontId="4" fillId="0" borderId="21" xfId="0" applyNumberFormat="1" applyFont="1" applyBorder="1" applyAlignment="1">
      <alignment horizontal="center" vertical="center"/>
    </xf>
    <xf numFmtId="1" fontId="4" fillId="0" borderId="33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5" fontId="4" fillId="0" borderId="33" xfId="1" applyNumberFormat="1" applyFont="1" applyBorder="1" applyAlignment="1">
      <alignment horizontal="center" vertical="center" wrapText="1"/>
    </xf>
    <xf numFmtId="165" fontId="4" fillId="0" borderId="21" xfId="1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33" xfId="0" applyFont="1" applyBorder="1" applyAlignment="1">
      <alignment horizontal="right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44" fontId="4" fillId="0" borderId="33" xfId="1" applyFont="1" applyBorder="1" applyAlignment="1">
      <alignment horizontal="center" vertical="center"/>
    </xf>
    <xf numFmtId="44" fontId="4" fillId="0" borderId="19" xfId="1" applyFont="1" applyBorder="1" applyAlignment="1">
      <alignment horizontal="center" vertical="center"/>
    </xf>
    <xf numFmtId="44" fontId="4" fillId="0" borderId="21" xfId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8" fontId="4" fillId="0" borderId="1" xfId="0" applyNumberFormat="1" applyFont="1" applyBorder="1" applyAlignment="1">
      <alignment horizontal="center"/>
    </xf>
    <xf numFmtId="8" fontId="4" fillId="0" borderId="3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57" xfId="0" applyFont="1" applyBorder="1" applyAlignment="1">
      <alignment horizontal="left" vertical="center"/>
    </xf>
    <xf numFmtId="3" fontId="4" fillId="0" borderId="57" xfId="0" applyNumberFormat="1" applyFont="1" applyBorder="1" applyAlignment="1">
      <alignment horizontal="center" vertical="center"/>
    </xf>
    <xf numFmtId="44" fontId="4" fillId="0" borderId="33" xfId="1" applyNumberFormat="1" applyFont="1" applyBorder="1" applyAlignment="1">
      <alignment horizontal="center" vertical="center" wrapText="1"/>
    </xf>
    <xf numFmtId="44" fontId="4" fillId="0" borderId="57" xfId="1" applyNumberFormat="1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/>
    </xf>
    <xf numFmtId="0" fontId="14" fillId="0" borderId="0" xfId="0" applyFont="1" applyAlignment="1">
      <alignment vertical="center"/>
    </xf>
    <xf numFmtId="0" fontId="27" fillId="0" borderId="15" xfId="0" applyFont="1" applyBorder="1" applyAlignment="1">
      <alignment horizontal="center"/>
    </xf>
    <xf numFmtId="0" fontId="27" fillId="0" borderId="13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14" fillId="0" borderId="14" xfId="0" applyFont="1" applyBorder="1" applyAlignment="1">
      <alignment horizontal="center" vertical="center" wrapText="1"/>
    </xf>
    <xf numFmtId="8" fontId="14" fillId="0" borderId="14" xfId="0" applyNumberFormat="1" applyFont="1" applyBorder="1" applyAlignment="1">
      <alignment horizontal="center" vertical="center" wrapText="1"/>
    </xf>
    <xf numFmtId="8" fontId="4" fillId="0" borderId="14" xfId="0" applyNumberFormat="1" applyFont="1" applyBorder="1" applyAlignment="1">
      <alignment horizontal="center" vertical="center"/>
    </xf>
    <xf numFmtId="6" fontId="4" fillId="0" borderId="14" xfId="0" applyNumberFormat="1" applyFont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 wrapText="1"/>
    </xf>
    <xf numFmtId="166" fontId="14" fillId="0" borderId="14" xfId="0" applyNumberFormat="1" applyFont="1" applyBorder="1" applyAlignment="1">
      <alignment horizontal="center" vertical="center"/>
    </xf>
    <xf numFmtId="4" fontId="14" fillId="0" borderId="14" xfId="0" applyNumberFormat="1" applyFont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74" fontId="4" fillId="0" borderId="14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81" fontId="14" fillId="0" borderId="14" xfId="1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81" fontId="17" fillId="0" borderId="14" xfId="1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 wrapText="1"/>
    </xf>
    <xf numFmtId="0" fontId="33" fillId="0" borderId="14" xfId="0" applyFont="1" applyBorder="1" applyAlignment="1">
      <alignment horizontal="center" vertical="center" wrapText="1"/>
    </xf>
    <xf numFmtId="3" fontId="14" fillId="0" borderId="14" xfId="0" applyNumberFormat="1" applyFont="1" applyBorder="1" applyAlignment="1">
      <alignment horizontal="right" vertical="center" wrapText="1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146</xdr:row>
      <xdr:rowOff>76200</xdr:rowOff>
    </xdr:from>
    <xdr:ext cx="2247900" cy="547009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124" name="123 CuadroTexto"/>
            <xdr:cNvSpPr txBox="1"/>
          </xdr:nvSpPr>
          <xdr:spPr>
            <a:xfrm>
              <a:off x="38100" y="2114550"/>
              <a:ext cx="2247900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4.000   =    </m:t>
                    </m:r>
                    <m:rad>
                      <m:radPr>
                        <m:degHide m:val="on"/>
                        <m:ctrlPr>
                          <a:rPr lang="es-AR" sz="10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Arial" pitchFamily="34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0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2 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1.040.000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20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t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 52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Choice>
      <mc:Fallback>
        <xdr:sp macro="" textlink="">
          <xdr:nvSpPr>
            <xdr:cNvPr id="124" name="123 CuadroTexto"/>
            <xdr:cNvSpPr txBox="1"/>
          </xdr:nvSpPr>
          <xdr:spPr>
            <a:xfrm>
              <a:off x="38100" y="2114550"/>
              <a:ext cx="2247900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"4.000   =    " √("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2 x  1.040.000 x 20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/"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t  x   52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)</a:t>
              </a:r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19049</xdr:colOff>
      <xdr:row>223</xdr:row>
      <xdr:rowOff>9524</xdr:rowOff>
    </xdr:from>
    <xdr:ext cx="2505075" cy="569708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144" name="143 CuadroTexto"/>
            <xdr:cNvSpPr txBox="1"/>
          </xdr:nvSpPr>
          <xdr:spPr>
            <a:xfrm>
              <a:off x="19049" y="14487524"/>
              <a:ext cx="2505075" cy="569708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050" b="0" i="0">
                        <a:latin typeface="Arial" pitchFamily="34" charset="0"/>
                        <a:cs typeface="Arial" pitchFamily="34" charset="0"/>
                      </a:rPr>
                      <m:t>Q</m:t>
                    </m:r>
                    <m:r>
                      <m:rPr>
                        <m:nor/>
                      </m:rPr>
                      <a:rPr lang="es-AR" sz="1050" b="0" i="0">
                        <a:latin typeface="Arial" pitchFamily="34" charset="0"/>
                        <a:cs typeface="Arial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AR" sz="1050" b="0" i="0" baseline="-25000">
                        <a:latin typeface="Arial" pitchFamily="34" charset="0"/>
                        <a:cs typeface="Arial" pitchFamily="34" charset="0"/>
                      </a:rPr>
                      <m:t>op</m:t>
                    </m:r>
                    <m:r>
                      <m:rPr>
                        <m:nor/>
                      </m:rPr>
                      <a:rPr lang="es-AR" sz="1050" b="0" i="0" baseline="-25000">
                        <a:latin typeface="Arial" pitchFamily="34" charset="0"/>
                        <a:cs typeface="Arial" pitchFamily="34" charset="0"/>
                      </a:rPr>
                      <m:t>.    =    </m:t>
                    </m:r>
                    <m:rad>
                      <m:radPr>
                        <m:degHide m:val="on"/>
                        <m:ctrlPr>
                          <a:rPr lang="es-AR" sz="1050" i="1">
                            <a:latin typeface="Cambria Math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05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AR" sz="1050" b="0" i="0">
                                <a:latin typeface="Arial" pitchFamily="34" charset="0"/>
                                <a:cs typeface="Arial" pitchFamily="34" charset="0"/>
                              </a:rPr>
                              <m:t>2 </m:t>
                            </m:r>
                            <m:r>
                              <m:rPr>
                                <m:nor/>
                              </m:rPr>
                              <a:rPr lang="es-AR" sz="1050" b="0" i="0">
                                <a:latin typeface="Arial" pitchFamily="34" charset="0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50" b="0" i="0">
                                <a:latin typeface="Arial" pitchFamily="34" charset="0"/>
                                <a:cs typeface="Arial" pitchFamily="34" charset="0"/>
                              </a:rPr>
                              <m:t>  31250 </m:t>
                            </m:r>
                            <m:r>
                              <m:rPr>
                                <m:nor/>
                              </m:rPr>
                              <a:rPr lang="es-AR" sz="1050" b="0" i="0">
                                <a:latin typeface="Arial" pitchFamily="34" charset="0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50" b="0" i="0">
                                <a:latin typeface="Arial" pitchFamily="34" charset="0"/>
                                <a:cs typeface="Arial" pitchFamily="34" charset="0"/>
                              </a:rPr>
                              <m:t> 500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s-AR" sz="1050" b="0" i="0">
                                <a:latin typeface="Arial" pitchFamily="34" charset="0"/>
                                <a:cs typeface="Arial" pitchFamily="34" charset="0"/>
                              </a:rPr>
                              <m:t>0,20  </m:t>
                            </m:r>
                            <m:r>
                              <m:rPr>
                                <m:nor/>
                              </m:rPr>
                              <a:rPr lang="es-AR" sz="1050" b="0" i="0">
                                <a:latin typeface="Arial" pitchFamily="34" charset="0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50" b="0" i="0">
                                <a:latin typeface="Arial" pitchFamily="34" charset="0"/>
                                <a:cs typeface="Arial" pitchFamily="34" charset="0"/>
                              </a:rPr>
                              <m:t>   100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AR" sz="1050">
                <a:latin typeface="Arial" pitchFamily="34" charset="0"/>
                <a:cs typeface="Arial" pitchFamily="34" charset="0"/>
              </a:endParaRPr>
            </a:p>
          </xdr:txBody>
        </xdr:sp>
      </mc:Choice>
      <mc:Fallback>
        <xdr:sp macro="" textlink="">
          <xdr:nvSpPr>
            <xdr:cNvPr id="144" name="143 CuadroTexto"/>
            <xdr:cNvSpPr txBox="1"/>
          </xdr:nvSpPr>
          <xdr:spPr>
            <a:xfrm>
              <a:off x="19049" y="14487524"/>
              <a:ext cx="2505075" cy="569708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050" b="0" i="0">
                  <a:latin typeface="Cambria Math"/>
                  <a:cs typeface="Arial" pitchFamily="34" charset="0"/>
                </a:rPr>
                <a:t>"Q </a:t>
              </a:r>
              <a:r>
                <a:rPr lang="es-AR" sz="1050" b="0" i="0" baseline="-25000">
                  <a:latin typeface="Cambria Math"/>
                  <a:cs typeface="Arial" pitchFamily="34" charset="0"/>
                </a:rPr>
                <a:t>op.    =    " </a:t>
              </a:r>
              <a:r>
                <a:rPr lang="es-AR" sz="1050" i="0">
                  <a:latin typeface="Cambria Math"/>
                </a:rPr>
                <a:t>√(</a:t>
              </a:r>
              <a:r>
                <a:rPr lang="es-AR" sz="1050" b="0" i="0">
                  <a:latin typeface="Cambria Math"/>
                </a:rPr>
                <a:t>"</a:t>
              </a:r>
              <a:r>
                <a:rPr lang="es-AR" sz="1050" b="0" i="0">
                  <a:latin typeface="Arial" pitchFamily="34" charset="0"/>
                  <a:cs typeface="Arial" pitchFamily="34" charset="0"/>
                </a:rPr>
                <a:t>2 x  31250 x 500</a:t>
              </a:r>
              <a:r>
                <a:rPr lang="es-AR" sz="1050" b="0" i="0">
                  <a:latin typeface="Cambria Math"/>
                  <a:cs typeface="Arial" pitchFamily="34" charset="0"/>
                </a:rPr>
                <a:t>" /"</a:t>
              </a:r>
              <a:r>
                <a:rPr lang="es-AR" sz="1050" b="0" i="0">
                  <a:latin typeface="Arial" pitchFamily="34" charset="0"/>
                  <a:cs typeface="Arial" pitchFamily="34" charset="0"/>
                </a:rPr>
                <a:t>0,20  x   100</a:t>
              </a:r>
              <a:r>
                <a:rPr lang="es-AR" sz="1050" b="0" i="0">
                  <a:latin typeface="Cambria Math"/>
                  <a:cs typeface="Arial" pitchFamily="34" charset="0"/>
                </a:rPr>
                <a:t>" )</a:t>
              </a:r>
              <a:endParaRPr lang="es-AR" sz="1050">
                <a:latin typeface="Arial" pitchFamily="34" charset="0"/>
                <a:cs typeface="Arial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57150</xdr:colOff>
      <xdr:row>128</xdr:row>
      <xdr:rowOff>66675</xdr:rowOff>
    </xdr:from>
    <xdr:ext cx="2505075" cy="547009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146" name="145 CuadroTexto"/>
            <xdr:cNvSpPr txBox="1"/>
          </xdr:nvSpPr>
          <xdr:spPr>
            <a:xfrm>
              <a:off x="57150" y="26393775"/>
              <a:ext cx="2505075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Q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op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.    =    </m:t>
                    </m:r>
                    <m:rad>
                      <m:radPr>
                        <m:degHide m:val="on"/>
                        <m:ctrlPr>
                          <a:rPr lang="es-AR" sz="10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Arial" pitchFamily="34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0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2 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26.000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72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0,10  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 104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Choice>
      <mc:Fallback>
        <xdr:sp macro="" textlink="">
          <xdr:nvSpPr>
            <xdr:cNvPr id="146" name="145 CuadroTexto"/>
            <xdr:cNvSpPr txBox="1"/>
          </xdr:nvSpPr>
          <xdr:spPr>
            <a:xfrm>
              <a:off x="57150" y="26393775"/>
              <a:ext cx="2505075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"Q op.    =    " √("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2 x  26.000 x 72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/"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0,10  x   104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)</a:t>
              </a:r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9525</xdr:colOff>
      <xdr:row>65</xdr:row>
      <xdr:rowOff>76200</xdr:rowOff>
    </xdr:from>
    <xdr:ext cx="2543175" cy="547009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151" name="150 CuadroTexto"/>
            <xdr:cNvSpPr txBox="1"/>
          </xdr:nvSpPr>
          <xdr:spPr>
            <a:xfrm>
              <a:off x="9525" y="28879800"/>
              <a:ext cx="2543175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Q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op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.    =    </m:t>
                    </m:r>
                    <m:rad>
                      <m:radPr>
                        <m:degHide m:val="on"/>
                        <m:ctrlPr>
                          <a:rPr lang="es-AR" sz="10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Arial" pitchFamily="34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0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2 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2.000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30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0,30  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 40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Choice>
      <mc:Fallback>
        <xdr:sp macro="" textlink="">
          <xdr:nvSpPr>
            <xdr:cNvPr id="151" name="150 CuadroTexto"/>
            <xdr:cNvSpPr txBox="1"/>
          </xdr:nvSpPr>
          <xdr:spPr>
            <a:xfrm>
              <a:off x="9525" y="28879800"/>
              <a:ext cx="2543175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"Q op.    =    " √("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2 x  2.000 x 30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/"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0,30  x   40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)</a:t>
              </a:r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Fallback>
    </mc:AlternateContent>
    <xdr:clientData/>
  </xdr:oneCellAnchor>
  <xdr:oneCellAnchor>
    <xdr:from>
      <xdr:col>4</xdr:col>
      <xdr:colOff>28575</xdr:colOff>
      <xdr:row>65</xdr:row>
      <xdr:rowOff>85725</xdr:rowOff>
    </xdr:from>
    <xdr:ext cx="2543175" cy="547009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152" name="151 CuadroTexto"/>
            <xdr:cNvSpPr txBox="1"/>
          </xdr:nvSpPr>
          <xdr:spPr>
            <a:xfrm>
              <a:off x="3381375" y="28889325"/>
              <a:ext cx="2543175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Q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op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.    =    </m:t>
                    </m:r>
                    <m:rad>
                      <m:radPr>
                        <m:degHide m:val="on"/>
                        <m:ctrlPr>
                          <a:rPr lang="es-AR" sz="10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Arial" pitchFamily="34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0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2 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1.280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35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0,30  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 47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Choice>
      <mc:Fallback>
        <xdr:sp macro="" textlink="">
          <xdr:nvSpPr>
            <xdr:cNvPr id="152" name="151 CuadroTexto"/>
            <xdr:cNvSpPr txBox="1"/>
          </xdr:nvSpPr>
          <xdr:spPr>
            <a:xfrm>
              <a:off x="3381375" y="28889325"/>
              <a:ext cx="2543175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"Q op.    =    " √("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2 x  1.280 x 35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/"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0,30  x   47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)</a:t>
              </a:r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Fallback>
    </mc:AlternateContent>
    <xdr:clientData/>
  </xdr:oneCellAnchor>
  <xdr:twoCellAnchor>
    <xdr:from>
      <xdr:col>0</xdr:col>
      <xdr:colOff>133351</xdr:colOff>
      <xdr:row>168</xdr:row>
      <xdr:rowOff>66676</xdr:rowOff>
    </xdr:from>
    <xdr:to>
      <xdr:col>5</xdr:col>
      <xdr:colOff>163635</xdr:colOff>
      <xdr:row>188</xdr:row>
      <xdr:rowOff>146465</xdr:rowOff>
    </xdr:to>
    <xdr:grpSp>
      <xdr:nvGrpSpPr>
        <xdr:cNvPr id="2" name="1 Grupo"/>
        <xdr:cNvGrpSpPr/>
      </xdr:nvGrpSpPr>
      <xdr:grpSpPr>
        <a:xfrm>
          <a:off x="133351" y="27432001"/>
          <a:ext cx="4268909" cy="3318289"/>
          <a:chOff x="133351" y="5524501"/>
          <a:chExt cx="4268909" cy="3318289"/>
        </a:xfrm>
      </xdr:grpSpPr>
      <xdr:grpSp>
        <xdr:nvGrpSpPr>
          <xdr:cNvPr id="125" name="8 Grupo"/>
          <xdr:cNvGrpSpPr/>
        </xdr:nvGrpSpPr>
        <xdr:grpSpPr>
          <a:xfrm>
            <a:off x="133351" y="5524501"/>
            <a:ext cx="4268909" cy="3305175"/>
            <a:chOff x="467543" y="1029475"/>
            <a:chExt cx="4848926" cy="3426433"/>
          </a:xfrm>
        </xdr:grpSpPr>
        <xdr:cxnSp macro="">
          <xdr:nvCxnSpPr>
            <xdr:cNvPr id="126" name="19 Conector recto"/>
            <xdr:cNvCxnSpPr/>
          </xdr:nvCxnSpPr>
          <xdr:spPr>
            <a:xfrm flipH="1">
              <a:off x="1547666" y="2126033"/>
              <a:ext cx="1088665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27" name="50 Grupo"/>
            <xdr:cNvGrpSpPr/>
          </xdr:nvGrpSpPr>
          <xdr:grpSpPr>
            <a:xfrm>
              <a:off x="478361" y="1029475"/>
              <a:ext cx="4838108" cy="3426433"/>
              <a:chOff x="478361" y="1029475"/>
              <a:chExt cx="4838108" cy="3426433"/>
            </a:xfrm>
          </xdr:grpSpPr>
          <xdr:cxnSp macro="">
            <xdr:nvCxnSpPr>
              <xdr:cNvPr id="131" name="4 Conector recto de flecha"/>
              <xdr:cNvCxnSpPr/>
            </xdr:nvCxnSpPr>
            <xdr:spPr>
              <a:xfrm flipV="1">
                <a:off x="1547664" y="1268760"/>
                <a:ext cx="0" cy="2880320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headEnd type="none"/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32" name="6 Conector recto de flecha"/>
              <xdr:cNvCxnSpPr/>
            </xdr:nvCxnSpPr>
            <xdr:spPr>
              <a:xfrm>
                <a:off x="1547664" y="4149080"/>
                <a:ext cx="3600400" cy="0"/>
              </a:xfrm>
              <a:prstGeom prst="straightConnector1">
                <a:avLst/>
              </a:prstGeom>
              <a:ln w="19050">
                <a:solidFill>
                  <a:schemeClr val="tx1"/>
                </a:solidFill>
                <a:headEnd type="none"/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3" name="29 Forma libre"/>
              <xdr:cNvSpPr/>
            </xdr:nvSpPr>
            <xdr:spPr>
              <a:xfrm>
                <a:off x="1546789" y="1556792"/>
                <a:ext cx="2881195" cy="2587918"/>
              </a:xfrm>
              <a:custGeom>
                <a:avLst/>
                <a:gdLst>
                  <a:gd name="connsiteX0" fmla="*/ 0 w 2760291"/>
                  <a:gd name="connsiteY0" fmla="*/ 2563738 h 2563738"/>
                  <a:gd name="connsiteX1" fmla="*/ 1880075 w 2760291"/>
                  <a:gd name="connsiteY1" fmla="*/ 1025495 h 2563738"/>
                  <a:gd name="connsiteX2" fmla="*/ 2760291 w 2760291"/>
                  <a:gd name="connsiteY2" fmla="*/ 0 h 2563738"/>
                  <a:gd name="connsiteX3" fmla="*/ 2760291 w 2760291"/>
                  <a:gd name="connsiteY3" fmla="*/ 0 h 2563738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2760291" h="2563738">
                    <a:moveTo>
                      <a:pt x="0" y="2563738"/>
                    </a:moveTo>
                    <a:cubicBezTo>
                      <a:pt x="710013" y="2008261"/>
                      <a:pt x="1420027" y="1452785"/>
                      <a:pt x="1880075" y="1025495"/>
                    </a:cubicBezTo>
                    <a:cubicBezTo>
                      <a:pt x="2340123" y="598205"/>
                      <a:pt x="2760291" y="0"/>
                      <a:pt x="2760291" y="0"/>
                    </a:cubicBezTo>
                    <a:lnTo>
                      <a:pt x="2760291" y="0"/>
                    </a:lnTo>
                  </a:path>
                </a:pathLst>
              </a:custGeom>
              <a:ln w="19050">
                <a:solidFill>
                  <a:schemeClr val="tx1"/>
                </a:solidFill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A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s-AR"/>
              </a:p>
            </xdr:txBody>
          </xdr:sp>
          <xdr:sp macro="" textlink="">
            <xdr:nvSpPr>
              <xdr:cNvPr id="134" name="35 Forma libre"/>
              <xdr:cNvSpPr/>
            </xdr:nvSpPr>
            <xdr:spPr>
              <a:xfrm>
                <a:off x="1783304" y="1484880"/>
                <a:ext cx="2613459" cy="2484012"/>
              </a:xfrm>
              <a:custGeom>
                <a:avLst/>
                <a:gdLst>
                  <a:gd name="connsiteX0" fmla="*/ 0 w 2589376"/>
                  <a:gd name="connsiteY0" fmla="*/ 0 h 2375731"/>
                  <a:gd name="connsiteX1" fmla="*/ 828942 w 2589376"/>
                  <a:gd name="connsiteY1" fmla="*/ 1734797 h 2375731"/>
                  <a:gd name="connsiteX2" fmla="*/ 2589376 w 2589376"/>
                  <a:gd name="connsiteY2" fmla="*/ 2375731 h 2375731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</a:cxnLst>
                <a:rect l="l" t="t" r="r" b="b"/>
                <a:pathLst>
                  <a:path w="2589376" h="2375731">
                    <a:moveTo>
                      <a:pt x="0" y="0"/>
                    </a:moveTo>
                    <a:cubicBezTo>
                      <a:pt x="198689" y="669421"/>
                      <a:pt x="397379" y="1338842"/>
                      <a:pt x="828942" y="1734797"/>
                    </a:cubicBezTo>
                    <a:cubicBezTo>
                      <a:pt x="1260505" y="2130752"/>
                      <a:pt x="1924940" y="2253241"/>
                      <a:pt x="2589376" y="2375731"/>
                    </a:cubicBezTo>
                  </a:path>
                </a:pathLst>
              </a:custGeom>
              <a:ln w="19050">
                <a:solidFill>
                  <a:schemeClr val="tx1"/>
                </a:solidFill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A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s-AR"/>
              </a:p>
            </xdr:txBody>
          </xdr:sp>
          <xdr:sp macro="" textlink="">
            <xdr:nvSpPr>
              <xdr:cNvPr id="135" name="40 Forma libre"/>
              <xdr:cNvSpPr/>
            </xdr:nvSpPr>
            <xdr:spPr>
              <a:xfrm>
                <a:off x="1979712" y="1462581"/>
                <a:ext cx="1791507" cy="663452"/>
              </a:xfrm>
              <a:custGeom>
                <a:avLst/>
                <a:gdLst>
                  <a:gd name="connsiteX0" fmla="*/ 0 w 2076628"/>
                  <a:gd name="connsiteY0" fmla="*/ 0 h 521089"/>
                  <a:gd name="connsiteX1" fmla="*/ 572568 w 2076628"/>
                  <a:gd name="connsiteY1" fmla="*/ 478565 h 521089"/>
                  <a:gd name="connsiteX2" fmla="*/ 1187866 w 2076628"/>
                  <a:gd name="connsiteY2" fmla="*/ 444382 h 521089"/>
                  <a:gd name="connsiteX3" fmla="*/ 2076628 w 2076628"/>
                  <a:gd name="connsiteY3" fmla="*/ 8546 h 521089"/>
                  <a:gd name="connsiteX0" fmla="*/ 0 w 2008902"/>
                  <a:gd name="connsiteY0" fmla="*/ 0 h 535444"/>
                  <a:gd name="connsiteX1" fmla="*/ 504842 w 2008902"/>
                  <a:gd name="connsiteY1" fmla="*/ 491955 h 535444"/>
                  <a:gd name="connsiteX2" fmla="*/ 1120140 w 2008902"/>
                  <a:gd name="connsiteY2" fmla="*/ 457772 h 535444"/>
                  <a:gd name="connsiteX3" fmla="*/ 2008902 w 2008902"/>
                  <a:gd name="connsiteY3" fmla="*/ 21936 h 535444"/>
                  <a:gd name="connsiteX0" fmla="*/ 0 w 1931502"/>
                  <a:gd name="connsiteY0" fmla="*/ 0 h 549803"/>
                  <a:gd name="connsiteX1" fmla="*/ 427442 w 1931502"/>
                  <a:gd name="connsiteY1" fmla="*/ 505346 h 549803"/>
                  <a:gd name="connsiteX2" fmla="*/ 1042740 w 1931502"/>
                  <a:gd name="connsiteY2" fmla="*/ 471163 h 549803"/>
                  <a:gd name="connsiteX3" fmla="*/ 1931502 w 1931502"/>
                  <a:gd name="connsiteY3" fmla="*/ 35327 h 549803"/>
                  <a:gd name="connsiteX0" fmla="*/ 0 w 1931502"/>
                  <a:gd name="connsiteY0" fmla="*/ 0 h 549803"/>
                  <a:gd name="connsiteX1" fmla="*/ 427442 w 1931502"/>
                  <a:gd name="connsiteY1" fmla="*/ 505346 h 549803"/>
                  <a:gd name="connsiteX2" fmla="*/ 1042740 w 1931502"/>
                  <a:gd name="connsiteY2" fmla="*/ 471163 h 549803"/>
                  <a:gd name="connsiteX3" fmla="*/ 1931502 w 1931502"/>
                  <a:gd name="connsiteY3" fmla="*/ 35327 h 549803"/>
                  <a:gd name="connsiteX0" fmla="*/ 0 w 2028253"/>
                  <a:gd name="connsiteY0" fmla="*/ 0 h 547643"/>
                  <a:gd name="connsiteX1" fmla="*/ 427442 w 2028253"/>
                  <a:gd name="connsiteY1" fmla="*/ 505346 h 547643"/>
                  <a:gd name="connsiteX2" fmla="*/ 1042740 w 2028253"/>
                  <a:gd name="connsiteY2" fmla="*/ 471163 h 547643"/>
                  <a:gd name="connsiteX3" fmla="*/ 2028253 w 2028253"/>
                  <a:gd name="connsiteY3" fmla="*/ 82195 h 547643"/>
                  <a:gd name="connsiteX0" fmla="*/ 0 w 2028253"/>
                  <a:gd name="connsiteY0" fmla="*/ 0 h 547643"/>
                  <a:gd name="connsiteX1" fmla="*/ 427442 w 2028253"/>
                  <a:gd name="connsiteY1" fmla="*/ 505346 h 547643"/>
                  <a:gd name="connsiteX2" fmla="*/ 1042740 w 2028253"/>
                  <a:gd name="connsiteY2" fmla="*/ 471163 h 547643"/>
                  <a:gd name="connsiteX3" fmla="*/ 2028253 w 2028253"/>
                  <a:gd name="connsiteY3" fmla="*/ 82195 h 547643"/>
                  <a:gd name="connsiteX0" fmla="*/ 0 w 2028253"/>
                  <a:gd name="connsiteY0" fmla="*/ 0 h 514339"/>
                  <a:gd name="connsiteX1" fmla="*/ 446792 w 2028253"/>
                  <a:gd name="connsiteY1" fmla="*/ 451783 h 514339"/>
                  <a:gd name="connsiteX2" fmla="*/ 1042740 w 2028253"/>
                  <a:gd name="connsiteY2" fmla="*/ 471163 h 514339"/>
                  <a:gd name="connsiteX3" fmla="*/ 2028253 w 2028253"/>
                  <a:gd name="connsiteY3" fmla="*/ 82195 h 514339"/>
                  <a:gd name="connsiteX0" fmla="*/ 0 w 2028253"/>
                  <a:gd name="connsiteY0" fmla="*/ 0 h 514339"/>
                  <a:gd name="connsiteX1" fmla="*/ 446792 w 2028253"/>
                  <a:gd name="connsiteY1" fmla="*/ 451783 h 514339"/>
                  <a:gd name="connsiteX2" fmla="*/ 1100791 w 2028253"/>
                  <a:gd name="connsiteY2" fmla="*/ 471163 h 514339"/>
                  <a:gd name="connsiteX3" fmla="*/ 2028253 w 2028253"/>
                  <a:gd name="connsiteY3" fmla="*/ 82195 h 514339"/>
                  <a:gd name="connsiteX0" fmla="*/ 0 w 2028253"/>
                  <a:gd name="connsiteY0" fmla="*/ 0 h 519793"/>
                  <a:gd name="connsiteX1" fmla="*/ 446792 w 2028253"/>
                  <a:gd name="connsiteY1" fmla="*/ 451783 h 519793"/>
                  <a:gd name="connsiteX2" fmla="*/ 1100791 w 2028253"/>
                  <a:gd name="connsiteY2" fmla="*/ 471163 h 519793"/>
                  <a:gd name="connsiteX3" fmla="*/ 2028253 w 2028253"/>
                  <a:gd name="connsiteY3" fmla="*/ 82195 h 519793"/>
                </a:gdLst>
                <a:ahLst/>
                <a:cxnLst>
                  <a:cxn ang="0">
                    <a:pos x="connsiteX0" y="connsiteY0"/>
                  </a:cxn>
                  <a:cxn ang="0">
                    <a:pos x="connsiteX1" y="connsiteY1"/>
                  </a:cxn>
                  <a:cxn ang="0">
                    <a:pos x="connsiteX2" y="connsiteY2"/>
                  </a:cxn>
                  <a:cxn ang="0">
                    <a:pos x="connsiteX3" y="connsiteY3"/>
                  </a:cxn>
                </a:cxnLst>
                <a:rect l="l" t="t" r="r" b="b"/>
                <a:pathLst>
                  <a:path w="2028253" h="519793">
                    <a:moveTo>
                      <a:pt x="0" y="0"/>
                    </a:moveTo>
                    <a:cubicBezTo>
                      <a:pt x="100219" y="188859"/>
                      <a:pt x="263327" y="373256"/>
                      <a:pt x="446792" y="451783"/>
                    </a:cubicBezTo>
                    <a:cubicBezTo>
                      <a:pt x="630257" y="530310"/>
                      <a:pt x="856565" y="546152"/>
                      <a:pt x="1100791" y="471163"/>
                    </a:cubicBezTo>
                    <a:cubicBezTo>
                      <a:pt x="1345017" y="396174"/>
                      <a:pt x="1709210" y="227468"/>
                      <a:pt x="2028253" y="82195"/>
                    </a:cubicBezTo>
                  </a:path>
                </a:pathLst>
              </a:custGeom>
              <a:ln w="19050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wrap="square" rtlCol="0" anchor="ctr"/>
              <a:lstStyle>
                <a:defPPr>
                  <a:defRPr lang="es-A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endParaRPr lang="es-AR"/>
              </a:p>
            </xdr:txBody>
          </xdr:sp>
          <xdr:cxnSp macro="">
            <xdr:nvCxnSpPr>
              <xdr:cNvPr id="136" name="42 Conector recto de flecha"/>
              <xdr:cNvCxnSpPr/>
            </xdr:nvCxnSpPr>
            <xdr:spPr>
              <a:xfrm>
                <a:off x="2636330" y="1455067"/>
                <a:ext cx="0" cy="2694013"/>
              </a:xfrm>
              <a:prstGeom prst="straightConnector1">
                <a:avLst/>
              </a:prstGeom>
              <a:ln w="12700">
                <a:solidFill>
                  <a:schemeClr val="tx1"/>
                </a:solidFill>
                <a:prstDash val="dash"/>
                <a:tailEnd type="stealth" w="lg" len="lg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37" name="44 CuadroTexto"/>
              <xdr:cNvSpPr txBox="1"/>
            </xdr:nvSpPr>
            <xdr:spPr>
              <a:xfrm>
                <a:off x="4318830" y="1736264"/>
                <a:ext cx="941601" cy="389274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>
                <a:noAutofit/>
              </a:bodyPr>
              <a:lstStyle>
                <a:defPPr>
                  <a:defRPr lang="es-A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s-AR" sz="900" b="1">
                    <a:solidFill>
                      <a:schemeClr val="bg1">
                        <a:lumMod val="50000"/>
                      </a:schemeClr>
                    </a:solidFill>
                    <a:latin typeface="Arial" pitchFamily="34" charset="0"/>
                    <a:cs typeface="Arial" pitchFamily="34" charset="0"/>
                  </a:rPr>
                  <a:t>Costo de posesión</a:t>
                </a:r>
              </a:p>
            </xdr:txBody>
          </xdr:sp>
          <xdr:sp macro="" textlink="">
            <xdr:nvSpPr>
              <xdr:cNvPr id="138" name="45 CuadroTexto"/>
              <xdr:cNvSpPr txBox="1"/>
            </xdr:nvSpPr>
            <xdr:spPr>
              <a:xfrm>
                <a:off x="3950550" y="3486712"/>
                <a:ext cx="1365919" cy="337230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>
                <a:noAutofit/>
              </a:bodyPr>
              <a:lstStyle>
                <a:defPPr>
                  <a:defRPr lang="es-A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s-AR" sz="900" b="1">
                    <a:solidFill>
                      <a:schemeClr val="bg1">
                        <a:lumMod val="50000"/>
                      </a:schemeClr>
                    </a:solidFill>
                    <a:latin typeface="Arial" pitchFamily="34" charset="0"/>
                    <a:cs typeface="Arial" pitchFamily="34" charset="0"/>
                  </a:rPr>
                  <a:t>Costo de adquisición</a:t>
                </a:r>
              </a:p>
            </xdr:txBody>
          </xdr:sp>
          <xdr:sp macro="" textlink="">
            <xdr:nvSpPr>
              <xdr:cNvPr id="139" name="46 CuadroTexto"/>
              <xdr:cNvSpPr txBox="1"/>
            </xdr:nvSpPr>
            <xdr:spPr>
              <a:xfrm>
                <a:off x="3078419" y="1029475"/>
                <a:ext cx="1512607" cy="464097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>
                <a:noAutofit/>
              </a:bodyPr>
              <a:lstStyle>
                <a:defPPr>
                  <a:defRPr lang="es-A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s-AR" sz="900" b="1">
                    <a:solidFill>
                      <a:schemeClr val="bg1">
                        <a:lumMod val="50000"/>
                      </a:schemeClr>
                    </a:solidFill>
                    <a:latin typeface="Arial" pitchFamily="34" charset="0"/>
                    <a:cs typeface="Arial" pitchFamily="34" charset="0"/>
                  </a:rPr>
                  <a:t>Costo total de posesión y adquisición mínimo</a:t>
                </a:r>
              </a:p>
            </xdr:txBody>
          </xdr:sp>
          <xdr:sp macro="" textlink="">
            <xdr:nvSpPr>
              <xdr:cNvPr id="140" name="47 CuadroTexto"/>
              <xdr:cNvSpPr txBox="1"/>
            </xdr:nvSpPr>
            <xdr:spPr>
              <a:xfrm>
                <a:off x="1722391" y="4225076"/>
                <a:ext cx="1827878" cy="230832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>
                <a:spAutoFit/>
              </a:bodyPr>
              <a:lstStyle>
                <a:defPPr>
                  <a:defRPr lang="es-A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s-AR" sz="900" b="1">
                    <a:solidFill>
                      <a:schemeClr val="bg1">
                        <a:lumMod val="50000"/>
                      </a:schemeClr>
                    </a:solidFill>
                    <a:latin typeface="Arial" pitchFamily="34" charset="0"/>
                    <a:cs typeface="Arial" pitchFamily="34" charset="0"/>
                  </a:rPr>
                  <a:t>Q= 4000 mts.</a:t>
                </a:r>
              </a:p>
            </xdr:txBody>
          </xdr:sp>
          <xdr:sp macro="" textlink="">
            <xdr:nvSpPr>
              <xdr:cNvPr id="141" name="48 CuadroTexto"/>
              <xdr:cNvSpPr txBox="1"/>
            </xdr:nvSpPr>
            <xdr:spPr>
              <a:xfrm>
                <a:off x="1208116" y="1222147"/>
                <a:ext cx="216024" cy="230832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>
                <a:spAutoFit/>
              </a:bodyPr>
              <a:lstStyle>
                <a:defPPr>
                  <a:defRPr lang="es-A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s-AR" sz="900" b="1">
                    <a:latin typeface="Arial" pitchFamily="34" charset="0"/>
                    <a:cs typeface="Arial" pitchFamily="34" charset="0"/>
                  </a:rPr>
                  <a:t>$</a:t>
                </a:r>
              </a:p>
            </xdr:txBody>
          </xdr:sp>
          <xdr:sp macro="" textlink="">
            <xdr:nvSpPr>
              <xdr:cNvPr id="142" name="49 CuadroTexto"/>
              <xdr:cNvSpPr txBox="1"/>
            </xdr:nvSpPr>
            <xdr:spPr>
              <a:xfrm>
                <a:off x="478361" y="1400995"/>
                <a:ext cx="1019341" cy="507831"/>
              </a:xfrm>
              <a:prstGeom prst="rect">
                <a:avLst/>
              </a:prstGeom>
              <a:solidFill>
                <a:schemeClr val="bg1"/>
              </a:solidFill>
            </xdr:spPr>
            <xdr:txBody>
              <a:bodyPr wrap="square" rtlCol="0">
                <a:spAutoFit/>
              </a:bodyPr>
              <a:lstStyle>
                <a:defPPr>
                  <a:defRPr lang="es-A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lang="es-AR" sz="900" b="1">
                    <a:solidFill>
                      <a:schemeClr val="bg1">
                        <a:lumMod val="50000"/>
                      </a:schemeClr>
                    </a:solidFill>
                    <a:latin typeface="Arial" pitchFamily="34" charset="0"/>
                    <a:cs typeface="Arial" pitchFamily="34" charset="0"/>
                  </a:rPr>
                  <a:t>Costos de adquisición y posesión</a:t>
                </a:r>
              </a:p>
            </xdr:txBody>
          </xdr:sp>
        </xdr:grpSp>
        <xdr:cxnSp macro="">
          <xdr:nvCxnSpPr>
            <xdr:cNvPr id="128" name="2 Conector recto"/>
            <xdr:cNvCxnSpPr/>
          </xdr:nvCxnSpPr>
          <xdr:spPr>
            <a:xfrm flipH="1">
              <a:off x="1547665" y="3298746"/>
              <a:ext cx="1063028" cy="0"/>
            </a:xfrm>
            <a:prstGeom prst="line">
              <a:avLst/>
            </a:prstGeom>
            <a:ln w="12700">
              <a:solidFill>
                <a:schemeClr val="tx1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9" name="21 CuadroTexto"/>
            <xdr:cNvSpPr txBox="1"/>
          </xdr:nvSpPr>
          <xdr:spPr>
            <a:xfrm>
              <a:off x="467543" y="3183330"/>
              <a:ext cx="1057955" cy="23083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s-AR" sz="900" b="1">
                  <a:solidFill>
                    <a:schemeClr val="bg1">
                      <a:lumMod val="50000"/>
                    </a:schemeClr>
                  </a:solidFill>
                  <a:latin typeface="Arial" pitchFamily="34" charset="0"/>
                  <a:cs typeface="Arial" pitchFamily="34" charset="0"/>
                </a:rPr>
                <a:t>$5.200</a:t>
              </a:r>
            </a:p>
          </xdr:txBody>
        </xdr:sp>
        <xdr:sp macro="" textlink="">
          <xdr:nvSpPr>
            <xdr:cNvPr id="130" name="22 CuadroTexto"/>
            <xdr:cNvSpPr txBox="1"/>
          </xdr:nvSpPr>
          <xdr:spPr>
            <a:xfrm>
              <a:off x="471191" y="2010516"/>
              <a:ext cx="1057955" cy="230832"/>
            </a:xfrm>
            <a:prstGeom prst="rect">
              <a:avLst/>
            </a:prstGeom>
            <a:solidFill>
              <a:schemeClr val="bg1"/>
            </a:solidFill>
          </xdr:spPr>
          <xdr:txBody>
            <a:bodyPr wrap="square" rtlCol="0">
              <a:spAutoFit/>
            </a:bodyPr>
            <a:lstStyle>
              <a:defPPr>
                <a:defRPr lang="es-A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r"/>
              <a:r>
                <a:rPr lang="es-AR" sz="900" b="1">
                  <a:solidFill>
                    <a:schemeClr val="bg1">
                      <a:lumMod val="50000"/>
                    </a:schemeClr>
                  </a:solidFill>
                  <a:latin typeface="Arial" pitchFamily="34" charset="0"/>
                  <a:cs typeface="Arial" pitchFamily="34" charset="0"/>
                </a:rPr>
                <a:t>$10.400</a:t>
              </a:r>
            </a:p>
          </xdr:txBody>
        </xdr:sp>
      </xdr:grpSp>
      <xdr:sp macro="" textlink="">
        <xdr:nvSpPr>
          <xdr:cNvPr id="26" name="48 CuadroTexto"/>
          <xdr:cNvSpPr txBox="1"/>
        </xdr:nvSpPr>
        <xdr:spPr>
          <a:xfrm>
            <a:off x="3952876" y="8620127"/>
            <a:ext cx="190184" cy="222663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noAutofit/>
          </a:bodyPr>
          <a:lstStyle>
            <a:defPPr>
              <a:defRPr lang="es-AR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AR" sz="900" b="1">
                <a:latin typeface="Arial" pitchFamily="34" charset="0"/>
                <a:cs typeface="Arial" pitchFamily="34" charset="0"/>
              </a:rPr>
              <a:t>Q</a:t>
            </a:r>
          </a:p>
        </xdr:txBody>
      </xdr:sp>
    </xdr:grpSp>
    <xdr:clientData/>
  </xdr:twoCellAnchor>
  <xdr:oneCellAnchor>
    <xdr:from>
      <xdr:col>0</xdr:col>
      <xdr:colOff>19050</xdr:colOff>
      <xdr:row>300</xdr:row>
      <xdr:rowOff>9525</xdr:rowOff>
    </xdr:from>
    <xdr:ext cx="2543175" cy="547009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27" name="26 CuadroTexto"/>
            <xdr:cNvSpPr txBox="1"/>
          </xdr:nvSpPr>
          <xdr:spPr>
            <a:xfrm>
              <a:off x="19050" y="39243000"/>
              <a:ext cx="2543175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Q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op</m:t>
                    </m:r>
                    <m:r>
                      <m:rPr>
                        <m:nor/>
                      </m:rPr>
                      <a:rPr lang="es-AR" sz="10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.    =    </m:t>
                    </m:r>
                    <m:rad>
                      <m:radPr>
                        <m:degHide m:val="on"/>
                        <m:ctrlPr>
                          <a:rPr lang="es-AR" sz="10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Arial" pitchFamily="34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0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2 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1.000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0,50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0,05 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0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17.11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Choice>
      <mc:Fallback>
        <xdr:sp macro="" textlink="">
          <xdr:nvSpPr>
            <xdr:cNvPr id="27" name="26 CuadroTexto"/>
            <xdr:cNvSpPr txBox="1"/>
          </xdr:nvSpPr>
          <xdr:spPr>
            <a:xfrm>
              <a:off x="19050" y="39243000"/>
              <a:ext cx="2543175" cy="547009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"Q op.    =    " √("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2 x  1.000 x 0,50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/"</a:t>
              </a:r>
              <a:r>
                <a:rPr lang="es-AR" sz="10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0,05 x 17.11</a:t>
              </a:r>
              <a:r>
                <a:rPr lang="es-AR" sz="10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)</a:t>
              </a:r>
              <a:endParaRPr lang="es-AR" sz="10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116</xdr:row>
      <xdr:rowOff>95250</xdr:rowOff>
    </xdr:from>
    <xdr:to>
      <xdr:col>4</xdr:col>
      <xdr:colOff>857250</xdr:colOff>
      <xdr:row>116</xdr:row>
      <xdr:rowOff>95250</xdr:rowOff>
    </xdr:to>
    <xdr:cxnSp macro="">
      <xdr:nvCxnSpPr>
        <xdr:cNvPr id="3" name="2 Conector recto de flecha"/>
        <xdr:cNvCxnSpPr/>
      </xdr:nvCxnSpPr>
      <xdr:spPr>
        <a:xfrm>
          <a:off x="2971800" y="26593800"/>
          <a:ext cx="1247775" cy="0"/>
        </a:xfrm>
        <a:prstGeom prst="straightConnector1">
          <a:avLst/>
        </a:prstGeom>
        <a:ln w="12700">
          <a:solidFill>
            <a:schemeClr val="tx1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117</xdr:row>
      <xdr:rowOff>66675</xdr:rowOff>
    </xdr:from>
    <xdr:to>
      <xdr:col>4</xdr:col>
      <xdr:colOff>895350</xdr:colOff>
      <xdr:row>119</xdr:row>
      <xdr:rowOff>95250</xdr:rowOff>
    </xdr:to>
    <xdr:cxnSp macro="">
      <xdr:nvCxnSpPr>
        <xdr:cNvPr id="6" name="5 Conector angular"/>
        <xdr:cNvCxnSpPr/>
      </xdr:nvCxnSpPr>
      <xdr:spPr>
        <a:xfrm>
          <a:off x="2981325" y="26727150"/>
          <a:ext cx="1276350" cy="352425"/>
        </a:xfrm>
        <a:prstGeom prst="bentConnector3">
          <a:avLst>
            <a:gd name="adj1" fmla="val 83582"/>
          </a:avLst>
        </a:prstGeom>
        <a:ln w="1270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303</xdr:row>
      <xdr:rowOff>66675</xdr:rowOff>
    </xdr:from>
    <xdr:to>
      <xdr:col>4</xdr:col>
      <xdr:colOff>0</xdr:colOff>
      <xdr:row>304</xdr:row>
      <xdr:rowOff>19050</xdr:rowOff>
    </xdr:to>
    <xdr:cxnSp macro="">
      <xdr:nvCxnSpPr>
        <xdr:cNvPr id="4" name="3 Conector angular"/>
        <xdr:cNvCxnSpPr/>
      </xdr:nvCxnSpPr>
      <xdr:spPr>
        <a:xfrm>
          <a:off x="2847975" y="105832275"/>
          <a:ext cx="514350" cy="114300"/>
        </a:xfrm>
        <a:prstGeom prst="bentConnector3">
          <a:avLst>
            <a:gd name="adj1" fmla="val 51852"/>
          </a:avLst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211</xdr:row>
      <xdr:rowOff>47625</xdr:rowOff>
    </xdr:from>
    <xdr:to>
      <xdr:col>4</xdr:col>
      <xdr:colOff>904875</xdr:colOff>
      <xdr:row>213</xdr:row>
      <xdr:rowOff>123825</xdr:rowOff>
    </xdr:to>
    <xdr:cxnSp macro="">
      <xdr:nvCxnSpPr>
        <xdr:cNvPr id="5" name="4 Conector angular"/>
        <xdr:cNvCxnSpPr/>
      </xdr:nvCxnSpPr>
      <xdr:spPr>
        <a:xfrm>
          <a:off x="3267075" y="34575750"/>
          <a:ext cx="1343025" cy="4000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352</xdr:row>
      <xdr:rowOff>9525</xdr:rowOff>
    </xdr:from>
    <xdr:to>
      <xdr:col>5</xdr:col>
      <xdr:colOff>868227</xdr:colOff>
      <xdr:row>366</xdr:row>
      <xdr:rowOff>17780</xdr:rowOff>
    </xdr:to>
    <xdr:pic>
      <xdr:nvPicPr>
        <xdr:cNvPr id="9" name="8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5725" y="52959000"/>
          <a:ext cx="6447155" cy="227520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66675</xdr:colOff>
      <xdr:row>385</xdr:row>
      <xdr:rowOff>95250</xdr:rowOff>
    </xdr:from>
    <xdr:to>
      <xdr:col>5</xdr:col>
      <xdr:colOff>669018</xdr:colOff>
      <xdr:row>394</xdr:row>
      <xdr:rowOff>19685</xdr:rowOff>
    </xdr:to>
    <xdr:pic>
      <xdr:nvPicPr>
        <xdr:cNvPr id="10" name="9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6675" y="64417575"/>
          <a:ext cx="6264275" cy="1381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666</xdr:row>
      <xdr:rowOff>19050</xdr:rowOff>
    </xdr:from>
    <xdr:ext cx="2505075" cy="600076"/>
    <mc:AlternateContent xmlns:mc="http://schemas.openxmlformats.org/markup-compatibility/2006">
      <mc:Choice xmlns:a14="http://schemas.microsoft.com/office/drawing/2010/main" xmlns="" Requires="a14">
        <xdr:sp macro="" textlink="">
          <xdr:nvSpPr>
            <xdr:cNvPr id="2" name="1 CuadroTexto"/>
            <xdr:cNvSpPr txBox="1"/>
          </xdr:nvSpPr>
          <xdr:spPr>
            <a:xfrm>
              <a:off x="38100" y="113576100"/>
              <a:ext cx="2505075" cy="600076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Q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op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latin typeface="Arial" pitchFamily="34" charset="0"/>
                        <a:ea typeface="+mn-ea"/>
                        <a:cs typeface="Arial" pitchFamily="34" charset="0"/>
                      </a:rPr>
                      <m:t>.    =    </m:t>
                    </m:r>
                    <m:rad>
                      <m:radPr>
                        <m:degHide m:val="on"/>
                        <m:ctrlPr>
                          <a:rPr lang="es-AR" sz="1100" b="0" i="1">
                            <a:solidFill>
                              <a:schemeClr val="tx1"/>
                            </a:solidFill>
                            <a:latin typeface="Cambria Math"/>
                            <a:ea typeface="+mn-ea"/>
                            <a:cs typeface="Arial" pitchFamily="34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latin typeface="Cambria Math"/>
                                <a:ea typeface="+mn-ea"/>
                                <a:cs typeface="Arial" pitchFamily="34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AR" sz="11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2 </m:t>
                            </m:r>
                            <m:r>
                              <m:rPr>
                                <m:nor/>
                              </m:rPr>
                              <a:rPr lang="es-AR" sz="11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1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6480 </m:t>
                            </m:r>
                            <m:r>
                              <m:rPr>
                                <m:nor/>
                              </m:rPr>
                              <a:rPr lang="es-AR" sz="11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1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9</m:t>
                            </m:r>
                          </m:num>
                          <m:den>
                            <m:r>
                              <m:rPr>
                                <m:nor/>
                              </m:rPr>
                              <a:rPr lang="es-AR" sz="11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0,20  </m:t>
                            </m:r>
                            <m:r>
                              <m:rPr>
                                <m:nor/>
                              </m:rPr>
                              <a:rPr lang="es-AR" sz="11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x</m:t>
                            </m:r>
                            <m:r>
                              <m:rPr>
                                <m:nor/>
                              </m:rPr>
                              <a:rPr lang="es-AR" sz="1100" b="0" i="0">
                                <a:solidFill>
                                  <a:schemeClr val="tx1"/>
                                </a:solidFill>
                                <a:latin typeface="Arial" pitchFamily="34" charset="0"/>
                                <a:ea typeface="+mn-ea"/>
                                <a:cs typeface="Arial" pitchFamily="34" charset="0"/>
                              </a:rPr>
                              <m:t>   8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s-AR" sz="11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Choice>
      <mc:Fallback>
        <xdr:sp macro="" textlink="">
          <xdr:nvSpPr>
            <xdr:cNvPr id="2" name="1 CuadroTexto"/>
            <xdr:cNvSpPr txBox="1"/>
          </xdr:nvSpPr>
          <xdr:spPr>
            <a:xfrm>
              <a:off x="38100" y="113576100"/>
              <a:ext cx="2505075" cy="600076"/>
            </a:xfrm>
            <a:prstGeom prst="rect">
              <a:avLst/>
            </a:prstGeom>
            <a:noFill/>
            <a:ln w="12700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"Q op.    =    " √("</a:t>
              </a:r>
              <a:r>
                <a:rPr lang="es-AR" sz="11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2 x  6480 x 9</a:t>
              </a:r>
              <a:r>
                <a:rPr lang="es-AR" sz="11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/"</a:t>
              </a:r>
              <a:r>
                <a:rPr lang="es-AR" sz="1100" b="0" i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0,20  x   8</a:t>
              </a:r>
              <a:r>
                <a:rPr lang="es-AR" sz="1100" b="0" i="0">
                  <a:solidFill>
                    <a:schemeClr val="tx1"/>
                  </a:solidFill>
                  <a:latin typeface="Cambria Math"/>
                  <a:ea typeface="+mn-ea"/>
                  <a:cs typeface="Arial" pitchFamily="34" charset="0"/>
                </a:rPr>
                <a:t>" )</a:t>
              </a:r>
              <a:endParaRPr lang="es-AR" sz="1100" b="0" i="0">
                <a:solidFill>
                  <a:schemeClr val="tx1"/>
                </a:solidFill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43960</xdr:colOff>
      <xdr:row>61</xdr:row>
      <xdr:rowOff>80596</xdr:rowOff>
    </xdr:from>
    <xdr:to>
      <xdr:col>6</xdr:col>
      <xdr:colOff>241787</xdr:colOff>
      <xdr:row>61</xdr:row>
      <xdr:rowOff>153868</xdr:rowOff>
    </xdr:to>
    <xdr:sp macro="" textlink="">
      <xdr:nvSpPr>
        <xdr:cNvPr id="9" name="8 Cerrar corchete"/>
        <xdr:cNvSpPr/>
      </xdr:nvSpPr>
      <xdr:spPr>
        <a:xfrm rot="5400000">
          <a:off x="4271594" y="8902212"/>
          <a:ext cx="73272" cy="184638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373672</xdr:colOff>
      <xdr:row>61</xdr:row>
      <xdr:rowOff>73269</xdr:rowOff>
    </xdr:from>
    <xdr:to>
      <xdr:col>10</xdr:col>
      <xdr:colOff>402980</xdr:colOff>
      <xdr:row>61</xdr:row>
      <xdr:rowOff>146542</xdr:rowOff>
    </xdr:to>
    <xdr:sp macro="" textlink="">
      <xdr:nvSpPr>
        <xdr:cNvPr id="10" name="9 Cerrar corchete"/>
        <xdr:cNvSpPr/>
      </xdr:nvSpPr>
      <xdr:spPr>
        <a:xfrm rot="5400000">
          <a:off x="6960574" y="8184175"/>
          <a:ext cx="73273" cy="3267808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498230</xdr:colOff>
      <xdr:row>61</xdr:row>
      <xdr:rowOff>73273</xdr:rowOff>
    </xdr:from>
    <xdr:to>
      <xdr:col>12</xdr:col>
      <xdr:colOff>622788</xdr:colOff>
      <xdr:row>61</xdr:row>
      <xdr:rowOff>146542</xdr:rowOff>
    </xdr:to>
    <xdr:sp macro="" textlink="">
      <xdr:nvSpPr>
        <xdr:cNvPr id="11" name="10 Cerrar corchete"/>
        <xdr:cNvSpPr/>
      </xdr:nvSpPr>
      <xdr:spPr>
        <a:xfrm rot="5400000">
          <a:off x="9514009" y="8993802"/>
          <a:ext cx="73269" cy="1648558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51288</xdr:colOff>
      <xdr:row>63</xdr:row>
      <xdr:rowOff>80596</xdr:rowOff>
    </xdr:from>
    <xdr:to>
      <xdr:col>8</xdr:col>
      <xdr:colOff>7326</xdr:colOff>
      <xdr:row>64</xdr:row>
      <xdr:rowOff>7329</xdr:rowOff>
    </xdr:to>
    <xdr:sp macro="" textlink="">
      <xdr:nvSpPr>
        <xdr:cNvPr id="12" name="11 Cerrar corchete"/>
        <xdr:cNvSpPr/>
      </xdr:nvSpPr>
      <xdr:spPr>
        <a:xfrm rot="5400000">
          <a:off x="4960325" y="8543194"/>
          <a:ext cx="87925" cy="3223846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43960</xdr:colOff>
      <xdr:row>63</xdr:row>
      <xdr:rowOff>80599</xdr:rowOff>
    </xdr:from>
    <xdr:to>
      <xdr:col>10</xdr:col>
      <xdr:colOff>402979</xdr:colOff>
      <xdr:row>64</xdr:row>
      <xdr:rowOff>7330</xdr:rowOff>
    </xdr:to>
    <xdr:sp macro="" textlink="">
      <xdr:nvSpPr>
        <xdr:cNvPr id="13" name="12 Cerrar corchete"/>
        <xdr:cNvSpPr/>
      </xdr:nvSpPr>
      <xdr:spPr>
        <a:xfrm rot="5400000">
          <a:off x="7598018" y="9165984"/>
          <a:ext cx="87923" cy="1978269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512884</xdr:colOff>
      <xdr:row>63</xdr:row>
      <xdr:rowOff>80595</xdr:rowOff>
    </xdr:from>
    <xdr:to>
      <xdr:col>12</xdr:col>
      <xdr:colOff>608133</xdr:colOff>
      <xdr:row>64</xdr:row>
      <xdr:rowOff>7327</xdr:rowOff>
    </xdr:to>
    <xdr:sp macro="" textlink="">
      <xdr:nvSpPr>
        <xdr:cNvPr id="14" name="13 Cerrar corchete"/>
        <xdr:cNvSpPr/>
      </xdr:nvSpPr>
      <xdr:spPr>
        <a:xfrm rot="5400000">
          <a:off x="9506682" y="9345490"/>
          <a:ext cx="87924" cy="1619249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57567</xdr:colOff>
      <xdr:row>65</xdr:row>
      <xdr:rowOff>101007</xdr:rowOff>
    </xdr:from>
    <xdr:to>
      <xdr:col>6</xdr:col>
      <xdr:colOff>255394</xdr:colOff>
      <xdr:row>66</xdr:row>
      <xdr:rowOff>10993</xdr:rowOff>
    </xdr:to>
    <xdr:sp macro="" textlink="">
      <xdr:nvSpPr>
        <xdr:cNvPr id="16" name="15 Cerrar corchete"/>
        <xdr:cNvSpPr/>
      </xdr:nvSpPr>
      <xdr:spPr>
        <a:xfrm rot="5400000">
          <a:off x="4406095" y="9692997"/>
          <a:ext cx="73272" cy="184429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367393</xdr:colOff>
      <xdr:row>65</xdr:row>
      <xdr:rowOff>95250</xdr:rowOff>
    </xdr:from>
    <xdr:to>
      <xdr:col>8</xdr:col>
      <xdr:colOff>646338</xdr:colOff>
      <xdr:row>66</xdr:row>
      <xdr:rowOff>13610</xdr:rowOff>
    </xdr:to>
    <xdr:sp macro="" textlink="">
      <xdr:nvSpPr>
        <xdr:cNvPr id="17" name="16 Cerrar corchete"/>
        <xdr:cNvSpPr/>
      </xdr:nvSpPr>
      <xdr:spPr>
        <a:xfrm rot="5400000">
          <a:off x="6385150" y="9664475"/>
          <a:ext cx="81646" cy="189819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707572</xdr:colOff>
      <xdr:row>65</xdr:row>
      <xdr:rowOff>95252</xdr:rowOff>
    </xdr:from>
    <xdr:to>
      <xdr:col>10</xdr:col>
      <xdr:colOff>387803</xdr:colOff>
      <xdr:row>66</xdr:row>
      <xdr:rowOff>13610</xdr:rowOff>
    </xdr:to>
    <xdr:sp macro="" textlink="">
      <xdr:nvSpPr>
        <xdr:cNvPr id="18" name="17 Cerrar corchete"/>
        <xdr:cNvSpPr/>
      </xdr:nvSpPr>
      <xdr:spPr>
        <a:xfrm rot="5400000">
          <a:off x="8045223" y="9963833"/>
          <a:ext cx="81644" cy="129948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530678</xdr:colOff>
      <xdr:row>65</xdr:row>
      <xdr:rowOff>74839</xdr:rowOff>
    </xdr:from>
    <xdr:to>
      <xdr:col>12</xdr:col>
      <xdr:colOff>605517</xdr:colOff>
      <xdr:row>65</xdr:row>
      <xdr:rowOff>156484</xdr:rowOff>
    </xdr:to>
    <xdr:sp macro="" textlink="">
      <xdr:nvSpPr>
        <xdr:cNvPr id="19" name="18 Cerrar corchete"/>
        <xdr:cNvSpPr/>
      </xdr:nvSpPr>
      <xdr:spPr>
        <a:xfrm rot="5400000">
          <a:off x="9650864" y="9780135"/>
          <a:ext cx="81645" cy="1626053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57567</xdr:colOff>
      <xdr:row>67</xdr:row>
      <xdr:rowOff>101007</xdr:rowOff>
    </xdr:from>
    <xdr:to>
      <xdr:col>6</xdr:col>
      <xdr:colOff>255394</xdr:colOff>
      <xdr:row>68</xdr:row>
      <xdr:rowOff>10993</xdr:rowOff>
    </xdr:to>
    <xdr:sp macro="" textlink="">
      <xdr:nvSpPr>
        <xdr:cNvPr id="24" name="23 Cerrar corchete"/>
        <xdr:cNvSpPr/>
      </xdr:nvSpPr>
      <xdr:spPr>
        <a:xfrm rot="5400000">
          <a:off x="4406095" y="9692997"/>
          <a:ext cx="73272" cy="184429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367393</xdr:colOff>
      <xdr:row>67</xdr:row>
      <xdr:rowOff>95250</xdr:rowOff>
    </xdr:from>
    <xdr:to>
      <xdr:col>8</xdr:col>
      <xdr:colOff>646338</xdr:colOff>
      <xdr:row>68</xdr:row>
      <xdr:rowOff>13610</xdr:rowOff>
    </xdr:to>
    <xdr:sp macro="" textlink="">
      <xdr:nvSpPr>
        <xdr:cNvPr id="25" name="24 Cerrar corchete"/>
        <xdr:cNvSpPr/>
      </xdr:nvSpPr>
      <xdr:spPr>
        <a:xfrm rot="5400000">
          <a:off x="6385150" y="9664475"/>
          <a:ext cx="81646" cy="189819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707572</xdr:colOff>
      <xdr:row>67</xdr:row>
      <xdr:rowOff>95252</xdr:rowOff>
    </xdr:from>
    <xdr:to>
      <xdr:col>10</xdr:col>
      <xdr:colOff>387803</xdr:colOff>
      <xdr:row>68</xdr:row>
      <xdr:rowOff>13610</xdr:rowOff>
    </xdr:to>
    <xdr:sp macro="" textlink="">
      <xdr:nvSpPr>
        <xdr:cNvPr id="26" name="25 Cerrar corchete"/>
        <xdr:cNvSpPr/>
      </xdr:nvSpPr>
      <xdr:spPr>
        <a:xfrm rot="5400000">
          <a:off x="8045223" y="9963833"/>
          <a:ext cx="81644" cy="129948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530678</xdr:colOff>
      <xdr:row>67</xdr:row>
      <xdr:rowOff>74839</xdr:rowOff>
    </xdr:from>
    <xdr:to>
      <xdr:col>12</xdr:col>
      <xdr:colOff>605517</xdr:colOff>
      <xdr:row>67</xdr:row>
      <xdr:rowOff>156484</xdr:rowOff>
    </xdr:to>
    <xdr:sp macro="" textlink="">
      <xdr:nvSpPr>
        <xdr:cNvPr id="27" name="26 Cerrar corchete"/>
        <xdr:cNvSpPr/>
      </xdr:nvSpPr>
      <xdr:spPr>
        <a:xfrm rot="5400000">
          <a:off x="9650864" y="9780135"/>
          <a:ext cx="81645" cy="1626053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0</xdr:colOff>
      <xdr:row>45</xdr:row>
      <xdr:rowOff>104775</xdr:rowOff>
    </xdr:from>
    <xdr:to>
      <xdr:col>6</xdr:col>
      <xdr:colOff>197827</xdr:colOff>
      <xdr:row>45</xdr:row>
      <xdr:rowOff>178047</xdr:rowOff>
    </xdr:to>
    <xdr:sp macro="" textlink="">
      <xdr:nvSpPr>
        <xdr:cNvPr id="28" name="27 Cerrar corchete"/>
        <xdr:cNvSpPr/>
      </xdr:nvSpPr>
      <xdr:spPr>
        <a:xfrm rot="5400000">
          <a:off x="4343765" y="6638560"/>
          <a:ext cx="73272" cy="1845652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333375</xdr:colOff>
      <xdr:row>45</xdr:row>
      <xdr:rowOff>104775</xdr:rowOff>
    </xdr:from>
    <xdr:to>
      <xdr:col>8</xdr:col>
      <xdr:colOff>504825</xdr:colOff>
      <xdr:row>45</xdr:row>
      <xdr:rowOff>180978</xdr:rowOff>
    </xdr:to>
    <xdr:sp macro="" textlink="">
      <xdr:nvSpPr>
        <xdr:cNvPr id="30" name="29 Cerrar corchete"/>
        <xdr:cNvSpPr/>
      </xdr:nvSpPr>
      <xdr:spPr>
        <a:xfrm rot="5400000">
          <a:off x="6296023" y="6667502"/>
          <a:ext cx="76203" cy="179070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590549</xdr:colOff>
      <xdr:row>45</xdr:row>
      <xdr:rowOff>104774</xdr:rowOff>
    </xdr:from>
    <xdr:to>
      <xdr:col>10</xdr:col>
      <xdr:colOff>523874</xdr:colOff>
      <xdr:row>45</xdr:row>
      <xdr:rowOff>190499</xdr:rowOff>
    </xdr:to>
    <xdr:sp macro="" textlink="">
      <xdr:nvSpPr>
        <xdr:cNvPr id="31" name="30 Cerrar corchete"/>
        <xdr:cNvSpPr/>
      </xdr:nvSpPr>
      <xdr:spPr>
        <a:xfrm rot="5400000">
          <a:off x="8048624" y="6791324"/>
          <a:ext cx="85725" cy="155257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57149</xdr:colOff>
      <xdr:row>69</xdr:row>
      <xdr:rowOff>104777</xdr:rowOff>
    </xdr:from>
    <xdr:to>
      <xdr:col>12</xdr:col>
      <xdr:colOff>600074</xdr:colOff>
      <xdr:row>70</xdr:row>
      <xdr:rowOff>19053</xdr:rowOff>
    </xdr:to>
    <xdr:sp macro="" textlink="">
      <xdr:nvSpPr>
        <xdr:cNvPr id="32" name="31 Cerrar corchete"/>
        <xdr:cNvSpPr/>
      </xdr:nvSpPr>
      <xdr:spPr>
        <a:xfrm rot="5400000">
          <a:off x="6967536" y="7862890"/>
          <a:ext cx="76201" cy="698182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819147</xdr:colOff>
      <xdr:row>47</xdr:row>
      <xdr:rowOff>104775</xdr:rowOff>
    </xdr:from>
    <xdr:to>
      <xdr:col>10</xdr:col>
      <xdr:colOff>542924</xdr:colOff>
      <xdr:row>47</xdr:row>
      <xdr:rowOff>190500</xdr:rowOff>
    </xdr:to>
    <xdr:sp macro="" textlink="">
      <xdr:nvSpPr>
        <xdr:cNvPr id="33" name="32 Cerrar corchete"/>
        <xdr:cNvSpPr/>
      </xdr:nvSpPr>
      <xdr:spPr>
        <a:xfrm rot="5400000">
          <a:off x="6124573" y="5238749"/>
          <a:ext cx="85725" cy="5438777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47624</xdr:colOff>
      <xdr:row>166</xdr:row>
      <xdr:rowOff>95253</xdr:rowOff>
    </xdr:from>
    <xdr:to>
      <xdr:col>12</xdr:col>
      <xdr:colOff>608134</xdr:colOff>
      <xdr:row>166</xdr:row>
      <xdr:rowOff>158753</xdr:rowOff>
    </xdr:to>
    <xdr:sp macro="" textlink="">
      <xdr:nvSpPr>
        <xdr:cNvPr id="60" name="59 Cerrar corchete"/>
        <xdr:cNvSpPr/>
      </xdr:nvSpPr>
      <xdr:spPr>
        <a:xfrm rot="5400000">
          <a:off x="9416317" y="26235760"/>
          <a:ext cx="63500" cy="211308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32168</xdr:colOff>
      <xdr:row>168</xdr:row>
      <xdr:rowOff>81958</xdr:rowOff>
    </xdr:from>
    <xdr:to>
      <xdr:col>5</xdr:col>
      <xdr:colOff>831850</xdr:colOff>
      <xdr:row>168</xdr:row>
      <xdr:rowOff>152403</xdr:rowOff>
    </xdr:to>
    <xdr:sp macro="" textlink="">
      <xdr:nvSpPr>
        <xdr:cNvPr id="61" name="60 Cerrar corchete"/>
        <xdr:cNvSpPr/>
      </xdr:nvSpPr>
      <xdr:spPr>
        <a:xfrm rot="5400000">
          <a:off x="4260761" y="27323965"/>
          <a:ext cx="70445" cy="1593432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38100</xdr:colOff>
      <xdr:row>168</xdr:row>
      <xdr:rowOff>82551</xdr:rowOff>
    </xdr:from>
    <xdr:to>
      <xdr:col>7</xdr:col>
      <xdr:colOff>831850</xdr:colOff>
      <xdr:row>168</xdr:row>
      <xdr:rowOff>152401</xdr:rowOff>
    </xdr:to>
    <xdr:sp macro="" textlink="">
      <xdr:nvSpPr>
        <xdr:cNvPr id="62" name="61 Cerrar corchete"/>
        <xdr:cNvSpPr/>
      </xdr:nvSpPr>
      <xdr:spPr>
        <a:xfrm rot="5400000">
          <a:off x="5899150" y="27343101"/>
          <a:ext cx="69850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44450</xdr:colOff>
      <xdr:row>168</xdr:row>
      <xdr:rowOff>82554</xdr:rowOff>
    </xdr:from>
    <xdr:to>
      <xdr:col>9</xdr:col>
      <xdr:colOff>742950</xdr:colOff>
      <xdr:row>168</xdr:row>
      <xdr:rowOff>152400</xdr:rowOff>
    </xdr:to>
    <xdr:sp macro="" textlink="">
      <xdr:nvSpPr>
        <xdr:cNvPr id="63" name="62 Cerrar corchete"/>
        <xdr:cNvSpPr/>
      </xdr:nvSpPr>
      <xdr:spPr>
        <a:xfrm rot="5400000">
          <a:off x="7524752" y="27343102"/>
          <a:ext cx="69846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76200</xdr:colOff>
      <xdr:row>168</xdr:row>
      <xdr:rowOff>74840</xdr:rowOff>
    </xdr:from>
    <xdr:to>
      <xdr:col>12</xdr:col>
      <xdr:colOff>605517</xdr:colOff>
      <xdr:row>168</xdr:row>
      <xdr:rowOff>152403</xdr:rowOff>
    </xdr:to>
    <xdr:sp macro="" textlink="">
      <xdr:nvSpPr>
        <xdr:cNvPr id="64" name="63 Cerrar corchete"/>
        <xdr:cNvSpPr/>
      </xdr:nvSpPr>
      <xdr:spPr>
        <a:xfrm rot="5400000">
          <a:off x="9422264" y="26561826"/>
          <a:ext cx="77563" cy="2081892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19048</xdr:colOff>
      <xdr:row>166</xdr:row>
      <xdr:rowOff>88903</xdr:rowOff>
    </xdr:from>
    <xdr:to>
      <xdr:col>7</xdr:col>
      <xdr:colOff>831849</xdr:colOff>
      <xdr:row>167</xdr:row>
      <xdr:rowOff>0</xdr:rowOff>
    </xdr:to>
    <xdr:sp macro="" textlink="">
      <xdr:nvSpPr>
        <xdr:cNvPr id="71" name="70 Cerrar corchete"/>
        <xdr:cNvSpPr/>
      </xdr:nvSpPr>
      <xdr:spPr>
        <a:xfrm rot="5400000">
          <a:off x="5060950" y="26187401"/>
          <a:ext cx="76197" cy="322580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31750</xdr:colOff>
      <xdr:row>166</xdr:row>
      <xdr:rowOff>88900</xdr:rowOff>
    </xdr:from>
    <xdr:to>
      <xdr:col>9</xdr:col>
      <xdr:colOff>755650</xdr:colOff>
      <xdr:row>166</xdr:row>
      <xdr:rowOff>158750</xdr:rowOff>
    </xdr:to>
    <xdr:sp macro="" textlink="">
      <xdr:nvSpPr>
        <xdr:cNvPr id="72" name="71 Cerrar corchete"/>
        <xdr:cNvSpPr/>
      </xdr:nvSpPr>
      <xdr:spPr>
        <a:xfrm rot="5400000">
          <a:off x="7512050" y="26498550"/>
          <a:ext cx="69850" cy="15811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12700</xdr:colOff>
      <xdr:row>162</xdr:row>
      <xdr:rowOff>82550</xdr:rowOff>
    </xdr:from>
    <xdr:to>
      <xdr:col>7</xdr:col>
      <xdr:colOff>825501</xdr:colOff>
      <xdr:row>162</xdr:row>
      <xdr:rowOff>158747</xdr:rowOff>
    </xdr:to>
    <xdr:sp macro="" textlink="">
      <xdr:nvSpPr>
        <xdr:cNvPr id="73" name="72 Cerrar corchete"/>
        <xdr:cNvSpPr/>
      </xdr:nvSpPr>
      <xdr:spPr>
        <a:xfrm rot="5400000">
          <a:off x="5054602" y="25495248"/>
          <a:ext cx="76197" cy="322580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38099</xdr:colOff>
      <xdr:row>162</xdr:row>
      <xdr:rowOff>82551</xdr:rowOff>
    </xdr:from>
    <xdr:to>
      <xdr:col>12</xdr:col>
      <xdr:colOff>622299</xdr:colOff>
      <xdr:row>162</xdr:row>
      <xdr:rowOff>152401</xdr:rowOff>
    </xdr:to>
    <xdr:sp macro="" textlink="">
      <xdr:nvSpPr>
        <xdr:cNvPr id="74" name="73 Cerrar corchete"/>
        <xdr:cNvSpPr/>
      </xdr:nvSpPr>
      <xdr:spPr>
        <a:xfrm rot="5400000">
          <a:off x="8620124" y="25225376"/>
          <a:ext cx="69850" cy="375920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38100</xdr:colOff>
      <xdr:row>164</xdr:row>
      <xdr:rowOff>114300</xdr:rowOff>
    </xdr:from>
    <xdr:to>
      <xdr:col>5</xdr:col>
      <xdr:colOff>825500</xdr:colOff>
      <xdr:row>164</xdr:row>
      <xdr:rowOff>184150</xdr:rowOff>
    </xdr:to>
    <xdr:sp macro="" textlink="">
      <xdr:nvSpPr>
        <xdr:cNvPr id="75" name="74 Cerrar corchete"/>
        <xdr:cNvSpPr/>
      </xdr:nvSpPr>
      <xdr:spPr>
        <a:xfrm rot="5400000">
          <a:off x="4260850" y="26676350"/>
          <a:ext cx="69850" cy="15811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38100</xdr:colOff>
      <xdr:row>164</xdr:row>
      <xdr:rowOff>107950</xdr:rowOff>
    </xdr:from>
    <xdr:to>
      <xdr:col>9</xdr:col>
      <xdr:colOff>749300</xdr:colOff>
      <xdr:row>164</xdr:row>
      <xdr:rowOff>184150</xdr:rowOff>
    </xdr:to>
    <xdr:sp macro="" textlink="">
      <xdr:nvSpPr>
        <xdr:cNvPr id="76" name="75 Cerrar corchete"/>
        <xdr:cNvSpPr/>
      </xdr:nvSpPr>
      <xdr:spPr>
        <a:xfrm rot="5400000">
          <a:off x="6711950" y="25869900"/>
          <a:ext cx="76200" cy="318770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50800</xdr:colOff>
      <xdr:row>164</xdr:row>
      <xdr:rowOff>107950</xdr:rowOff>
    </xdr:from>
    <xdr:to>
      <xdr:col>12</xdr:col>
      <xdr:colOff>615950</xdr:colOff>
      <xdr:row>164</xdr:row>
      <xdr:rowOff>177800</xdr:rowOff>
    </xdr:to>
    <xdr:sp macro="" textlink="">
      <xdr:nvSpPr>
        <xdr:cNvPr id="77" name="76 Cerrar corchete"/>
        <xdr:cNvSpPr/>
      </xdr:nvSpPr>
      <xdr:spPr>
        <a:xfrm rot="5400000">
          <a:off x="9432925" y="26400125"/>
          <a:ext cx="69850" cy="212090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25399</xdr:colOff>
      <xdr:row>172</xdr:row>
      <xdr:rowOff>101600</xdr:rowOff>
    </xdr:from>
    <xdr:to>
      <xdr:col>12</xdr:col>
      <xdr:colOff>584199</xdr:colOff>
      <xdr:row>173</xdr:row>
      <xdr:rowOff>12700</xdr:rowOff>
    </xdr:to>
    <xdr:sp macro="" textlink="">
      <xdr:nvSpPr>
        <xdr:cNvPr id="79" name="78 Cerrar corchete"/>
        <xdr:cNvSpPr/>
      </xdr:nvSpPr>
      <xdr:spPr>
        <a:xfrm rot="5400000">
          <a:off x="6956424" y="25301575"/>
          <a:ext cx="76200" cy="70040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23813</xdr:colOff>
      <xdr:row>170</xdr:row>
      <xdr:rowOff>85725</xdr:rowOff>
    </xdr:from>
    <xdr:to>
      <xdr:col>5</xdr:col>
      <xdr:colOff>823495</xdr:colOff>
      <xdr:row>170</xdr:row>
      <xdr:rowOff>156170</xdr:rowOff>
    </xdr:to>
    <xdr:sp macro="" textlink="">
      <xdr:nvSpPr>
        <xdr:cNvPr id="80" name="79 Cerrar corchete"/>
        <xdr:cNvSpPr/>
      </xdr:nvSpPr>
      <xdr:spPr>
        <a:xfrm rot="5400000">
          <a:off x="4241294" y="27138819"/>
          <a:ext cx="70445" cy="1590257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14288</xdr:colOff>
      <xdr:row>170</xdr:row>
      <xdr:rowOff>85725</xdr:rowOff>
    </xdr:from>
    <xdr:to>
      <xdr:col>7</xdr:col>
      <xdr:colOff>808038</xdr:colOff>
      <xdr:row>170</xdr:row>
      <xdr:rowOff>155575</xdr:rowOff>
    </xdr:to>
    <xdr:sp macro="" textlink="">
      <xdr:nvSpPr>
        <xdr:cNvPr id="81" name="80 Cerrar corchete"/>
        <xdr:cNvSpPr/>
      </xdr:nvSpPr>
      <xdr:spPr>
        <a:xfrm rot="5400000">
          <a:off x="5862638" y="27155775"/>
          <a:ext cx="69850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38100</xdr:colOff>
      <xdr:row>170</xdr:row>
      <xdr:rowOff>85725</xdr:rowOff>
    </xdr:from>
    <xdr:to>
      <xdr:col>9</xdr:col>
      <xdr:colOff>736600</xdr:colOff>
      <xdr:row>170</xdr:row>
      <xdr:rowOff>155571</xdr:rowOff>
    </xdr:to>
    <xdr:sp macro="" textlink="">
      <xdr:nvSpPr>
        <xdr:cNvPr id="82" name="81 Cerrar corchete"/>
        <xdr:cNvSpPr/>
      </xdr:nvSpPr>
      <xdr:spPr>
        <a:xfrm rot="5400000">
          <a:off x="7505702" y="27155773"/>
          <a:ext cx="69846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61912</xdr:colOff>
      <xdr:row>170</xdr:row>
      <xdr:rowOff>71440</xdr:rowOff>
    </xdr:from>
    <xdr:to>
      <xdr:col>12</xdr:col>
      <xdr:colOff>614362</xdr:colOff>
      <xdr:row>170</xdr:row>
      <xdr:rowOff>147641</xdr:rowOff>
    </xdr:to>
    <xdr:sp macro="" textlink="">
      <xdr:nvSpPr>
        <xdr:cNvPr id="83" name="82 Cerrar corchete"/>
        <xdr:cNvSpPr/>
      </xdr:nvSpPr>
      <xdr:spPr>
        <a:xfrm rot="5400000">
          <a:off x="9420224" y="26870028"/>
          <a:ext cx="76201" cy="210502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0</xdr:col>
      <xdr:colOff>133350</xdr:colOff>
      <xdr:row>186</xdr:row>
      <xdr:rowOff>28575</xdr:rowOff>
    </xdr:from>
    <xdr:to>
      <xdr:col>0</xdr:col>
      <xdr:colOff>400050</xdr:colOff>
      <xdr:row>187</xdr:row>
      <xdr:rowOff>104775</xdr:rowOff>
    </xdr:to>
    <xdr:cxnSp macro="">
      <xdr:nvCxnSpPr>
        <xdr:cNvPr id="5" name="4 Conector angular"/>
        <xdr:cNvCxnSpPr/>
      </xdr:nvCxnSpPr>
      <xdr:spPr>
        <a:xfrm>
          <a:off x="133350" y="30441900"/>
          <a:ext cx="266700" cy="238125"/>
        </a:xfrm>
        <a:prstGeom prst="bentConnector3">
          <a:avLst>
            <a:gd name="adj1" fmla="val 0"/>
          </a:avLst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47624</xdr:colOff>
      <xdr:row>248</xdr:row>
      <xdr:rowOff>95253</xdr:rowOff>
    </xdr:from>
    <xdr:to>
      <xdr:col>12</xdr:col>
      <xdr:colOff>608134</xdr:colOff>
      <xdr:row>248</xdr:row>
      <xdr:rowOff>158753</xdr:rowOff>
    </xdr:to>
    <xdr:sp macro="" textlink="">
      <xdr:nvSpPr>
        <xdr:cNvPr id="124" name="123 Cerrar corchete"/>
        <xdr:cNvSpPr/>
      </xdr:nvSpPr>
      <xdr:spPr>
        <a:xfrm rot="5400000">
          <a:off x="9416317" y="26235760"/>
          <a:ext cx="63500" cy="211308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32168</xdr:colOff>
      <xdr:row>250</xdr:row>
      <xdr:rowOff>81958</xdr:rowOff>
    </xdr:from>
    <xdr:to>
      <xdr:col>5</xdr:col>
      <xdr:colOff>831850</xdr:colOff>
      <xdr:row>250</xdr:row>
      <xdr:rowOff>152403</xdr:rowOff>
    </xdr:to>
    <xdr:sp macro="" textlink="">
      <xdr:nvSpPr>
        <xdr:cNvPr id="125" name="124 Cerrar corchete"/>
        <xdr:cNvSpPr/>
      </xdr:nvSpPr>
      <xdr:spPr>
        <a:xfrm rot="5400000">
          <a:off x="4249649" y="26811202"/>
          <a:ext cx="70445" cy="1590257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38100</xdr:colOff>
      <xdr:row>250</xdr:row>
      <xdr:rowOff>82551</xdr:rowOff>
    </xdr:from>
    <xdr:to>
      <xdr:col>7</xdr:col>
      <xdr:colOff>831850</xdr:colOff>
      <xdr:row>250</xdr:row>
      <xdr:rowOff>152401</xdr:rowOff>
    </xdr:to>
    <xdr:sp macro="" textlink="">
      <xdr:nvSpPr>
        <xdr:cNvPr id="126" name="125 Cerrar corchete"/>
        <xdr:cNvSpPr/>
      </xdr:nvSpPr>
      <xdr:spPr>
        <a:xfrm rot="5400000">
          <a:off x="5886450" y="26828751"/>
          <a:ext cx="69850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44450</xdr:colOff>
      <xdr:row>250</xdr:row>
      <xdr:rowOff>82554</xdr:rowOff>
    </xdr:from>
    <xdr:to>
      <xdr:col>9</xdr:col>
      <xdr:colOff>742950</xdr:colOff>
      <xdr:row>250</xdr:row>
      <xdr:rowOff>152400</xdr:rowOff>
    </xdr:to>
    <xdr:sp macro="" textlink="">
      <xdr:nvSpPr>
        <xdr:cNvPr id="127" name="126 Cerrar corchete"/>
        <xdr:cNvSpPr/>
      </xdr:nvSpPr>
      <xdr:spPr>
        <a:xfrm rot="5400000">
          <a:off x="7512052" y="26828752"/>
          <a:ext cx="69846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31750</xdr:colOff>
      <xdr:row>248</xdr:row>
      <xdr:rowOff>88900</xdr:rowOff>
    </xdr:from>
    <xdr:to>
      <xdr:col>9</xdr:col>
      <xdr:colOff>755650</xdr:colOff>
      <xdr:row>248</xdr:row>
      <xdr:rowOff>158750</xdr:rowOff>
    </xdr:to>
    <xdr:sp macro="" textlink="">
      <xdr:nvSpPr>
        <xdr:cNvPr id="128" name="127 Cerrar corchete"/>
        <xdr:cNvSpPr/>
      </xdr:nvSpPr>
      <xdr:spPr>
        <a:xfrm rot="5400000">
          <a:off x="7512050" y="26498550"/>
          <a:ext cx="69850" cy="15811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38100</xdr:colOff>
      <xdr:row>246</xdr:row>
      <xdr:rowOff>114300</xdr:rowOff>
    </xdr:from>
    <xdr:to>
      <xdr:col>5</xdr:col>
      <xdr:colOff>825500</xdr:colOff>
      <xdr:row>246</xdr:row>
      <xdr:rowOff>184150</xdr:rowOff>
    </xdr:to>
    <xdr:sp macro="" textlink="">
      <xdr:nvSpPr>
        <xdr:cNvPr id="129" name="128 Cerrar corchete"/>
        <xdr:cNvSpPr/>
      </xdr:nvSpPr>
      <xdr:spPr>
        <a:xfrm rot="5400000">
          <a:off x="4249738" y="26173112"/>
          <a:ext cx="69850" cy="157797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38100</xdr:colOff>
      <xdr:row>246</xdr:row>
      <xdr:rowOff>107950</xdr:rowOff>
    </xdr:from>
    <xdr:to>
      <xdr:col>9</xdr:col>
      <xdr:colOff>749300</xdr:colOff>
      <xdr:row>246</xdr:row>
      <xdr:rowOff>184150</xdr:rowOff>
    </xdr:to>
    <xdr:sp macro="" textlink="">
      <xdr:nvSpPr>
        <xdr:cNvPr id="130" name="129 Cerrar corchete"/>
        <xdr:cNvSpPr/>
      </xdr:nvSpPr>
      <xdr:spPr>
        <a:xfrm rot="5400000">
          <a:off x="6699250" y="25365075"/>
          <a:ext cx="76200" cy="318770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50800</xdr:colOff>
      <xdr:row>246</xdr:row>
      <xdr:rowOff>107950</xdr:rowOff>
    </xdr:from>
    <xdr:to>
      <xdr:col>12</xdr:col>
      <xdr:colOff>615950</xdr:colOff>
      <xdr:row>246</xdr:row>
      <xdr:rowOff>177800</xdr:rowOff>
    </xdr:to>
    <xdr:sp macro="" textlink="">
      <xdr:nvSpPr>
        <xdr:cNvPr id="131" name="130 Cerrar corchete"/>
        <xdr:cNvSpPr/>
      </xdr:nvSpPr>
      <xdr:spPr>
        <a:xfrm rot="5400000">
          <a:off x="9418638" y="25896887"/>
          <a:ext cx="69850" cy="211772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23811</xdr:colOff>
      <xdr:row>244</xdr:row>
      <xdr:rowOff>83345</xdr:rowOff>
    </xdr:from>
    <xdr:to>
      <xdr:col>7</xdr:col>
      <xdr:colOff>845343</xdr:colOff>
      <xdr:row>245</xdr:row>
      <xdr:rowOff>0</xdr:rowOff>
    </xdr:to>
    <xdr:sp macro="" textlink="">
      <xdr:nvSpPr>
        <xdr:cNvPr id="132" name="131 Cerrar corchete"/>
        <xdr:cNvSpPr/>
      </xdr:nvSpPr>
      <xdr:spPr>
        <a:xfrm rot="5400000">
          <a:off x="5054203" y="38052375"/>
          <a:ext cx="77390" cy="3232547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35719</xdr:colOff>
      <xdr:row>244</xdr:row>
      <xdr:rowOff>77393</xdr:rowOff>
    </xdr:from>
    <xdr:to>
      <xdr:col>12</xdr:col>
      <xdr:colOff>619124</xdr:colOff>
      <xdr:row>244</xdr:row>
      <xdr:rowOff>154785</xdr:rowOff>
    </xdr:to>
    <xdr:sp macro="" textlink="">
      <xdr:nvSpPr>
        <xdr:cNvPr id="133" name="132 Cerrar corchete"/>
        <xdr:cNvSpPr/>
      </xdr:nvSpPr>
      <xdr:spPr>
        <a:xfrm rot="5400000">
          <a:off x="8596312" y="37784487"/>
          <a:ext cx="77392" cy="375642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23812</xdr:colOff>
      <xdr:row>248</xdr:row>
      <xdr:rowOff>83343</xdr:rowOff>
    </xdr:from>
    <xdr:to>
      <xdr:col>7</xdr:col>
      <xdr:colOff>818356</xdr:colOff>
      <xdr:row>248</xdr:row>
      <xdr:rowOff>154781</xdr:rowOff>
    </xdr:to>
    <xdr:sp macro="" textlink="">
      <xdr:nvSpPr>
        <xdr:cNvPr id="135" name="134 Cerrar corchete"/>
        <xdr:cNvSpPr/>
      </xdr:nvSpPr>
      <xdr:spPr>
        <a:xfrm rot="5400000">
          <a:off x="5043686" y="38735595"/>
          <a:ext cx="71438" cy="3205559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47625</xdr:colOff>
      <xdr:row>250</xdr:row>
      <xdr:rowOff>83345</xdr:rowOff>
    </xdr:from>
    <xdr:to>
      <xdr:col>12</xdr:col>
      <xdr:colOff>608135</xdr:colOff>
      <xdr:row>250</xdr:row>
      <xdr:rowOff>146845</xdr:rowOff>
    </xdr:to>
    <xdr:sp macro="" textlink="">
      <xdr:nvSpPr>
        <xdr:cNvPr id="136" name="135 Cerrar corchete"/>
        <xdr:cNvSpPr/>
      </xdr:nvSpPr>
      <xdr:spPr>
        <a:xfrm rot="5400000">
          <a:off x="9413341" y="39598738"/>
          <a:ext cx="63500" cy="2114276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41672</xdr:colOff>
      <xdr:row>252</xdr:row>
      <xdr:rowOff>89297</xdr:rowOff>
    </xdr:from>
    <xdr:to>
      <xdr:col>12</xdr:col>
      <xdr:colOff>602182</xdr:colOff>
      <xdr:row>252</xdr:row>
      <xdr:rowOff>152797</xdr:rowOff>
    </xdr:to>
    <xdr:sp macro="" textlink="">
      <xdr:nvSpPr>
        <xdr:cNvPr id="137" name="136 Cerrar corchete"/>
        <xdr:cNvSpPr/>
      </xdr:nvSpPr>
      <xdr:spPr>
        <a:xfrm rot="5400000">
          <a:off x="9407388" y="39926159"/>
          <a:ext cx="63500" cy="2114276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47625</xdr:colOff>
      <xdr:row>252</xdr:row>
      <xdr:rowOff>83344</xdr:rowOff>
    </xdr:from>
    <xdr:to>
      <xdr:col>9</xdr:col>
      <xdr:colOff>746125</xdr:colOff>
      <xdr:row>252</xdr:row>
      <xdr:rowOff>153190</xdr:rowOff>
    </xdr:to>
    <xdr:sp macro="" textlink="">
      <xdr:nvSpPr>
        <xdr:cNvPr id="138" name="137 Cerrar corchete"/>
        <xdr:cNvSpPr/>
      </xdr:nvSpPr>
      <xdr:spPr>
        <a:xfrm rot="5400000">
          <a:off x="7511655" y="40202642"/>
          <a:ext cx="69846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29765</xdr:colOff>
      <xdr:row>252</xdr:row>
      <xdr:rowOff>83344</xdr:rowOff>
    </xdr:from>
    <xdr:to>
      <xdr:col>7</xdr:col>
      <xdr:colOff>823515</xdr:colOff>
      <xdr:row>252</xdr:row>
      <xdr:rowOff>153194</xdr:rowOff>
    </xdr:to>
    <xdr:sp macro="" textlink="">
      <xdr:nvSpPr>
        <xdr:cNvPr id="139" name="138 Cerrar corchete"/>
        <xdr:cNvSpPr/>
      </xdr:nvSpPr>
      <xdr:spPr>
        <a:xfrm rot="5400000">
          <a:off x="5874543" y="40202644"/>
          <a:ext cx="69850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29765</xdr:colOff>
      <xdr:row>252</xdr:row>
      <xdr:rowOff>83344</xdr:rowOff>
    </xdr:from>
    <xdr:to>
      <xdr:col>5</xdr:col>
      <xdr:colOff>829447</xdr:colOff>
      <xdr:row>252</xdr:row>
      <xdr:rowOff>153789</xdr:rowOff>
    </xdr:to>
    <xdr:sp macro="" textlink="">
      <xdr:nvSpPr>
        <xdr:cNvPr id="140" name="139 Cerrar corchete"/>
        <xdr:cNvSpPr/>
      </xdr:nvSpPr>
      <xdr:spPr>
        <a:xfrm rot="5400000">
          <a:off x="4243079" y="40185093"/>
          <a:ext cx="70445" cy="1591447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23812</xdr:colOff>
      <xdr:row>254</xdr:row>
      <xdr:rowOff>83345</xdr:rowOff>
    </xdr:from>
    <xdr:to>
      <xdr:col>12</xdr:col>
      <xdr:colOff>625077</xdr:colOff>
      <xdr:row>255</xdr:row>
      <xdr:rowOff>5953</xdr:rowOff>
    </xdr:to>
    <xdr:sp macro="" textlink="">
      <xdr:nvSpPr>
        <xdr:cNvPr id="141" name="140 Cerrar corchete"/>
        <xdr:cNvSpPr/>
      </xdr:nvSpPr>
      <xdr:spPr>
        <a:xfrm rot="5400000">
          <a:off x="6956227" y="37787462"/>
          <a:ext cx="83342" cy="7042546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47624</xdr:colOff>
      <xdr:row>330</xdr:row>
      <xdr:rowOff>95253</xdr:rowOff>
    </xdr:from>
    <xdr:to>
      <xdr:col>12</xdr:col>
      <xdr:colOff>608134</xdr:colOff>
      <xdr:row>330</xdr:row>
      <xdr:rowOff>158753</xdr:rowOff>
    </xdr:to>
    <xdr:sp macro="" textlink="">
      <xdr:nvSpPr>
        <xdr:cNvPr id="150" name="149 Cerrar corchete"/>
        <xdr:cNvSpPr/>
      </xdr:nvSpPr>
      <xdr:spPr>
        <a:xfrm rot="5400000">
          <a:off x="9416317" y="39561235"/>
          <a:ext cx="63500" cy="211308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32168</xdr:colOff>
      <xdr:row>332</xdr:row>
      <xdr:rowOff>81958</xdr:rowOff>
    </xdr:from>
    <xdr:to>
      <xdr:col>5</xdr:col>
      <xdr:colOff>831850</xdr:colOff>
      <xdr:row>332</xdr:row>
      <xdr:rowOff>152403</xdr:rowOff>
    </xdr:to>
    <xdr:sp macro="" textlink="">
      <xdr:nvSpPr>
        <xdr:cNvPr id="151" name="150 Cerrar corchete"/>
        <xdr:cNvSpPr/>
      </xdr:nvSpPr>
      <xdr:spPr>
        <a:xfrm rot="5400000">
          <a:off x="4249649" y="40136677"/>
          <a:ext cx="70445" cy="1590257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38100</xdr:colOff>
      <xdr:row>332</xdr:row>
      <xdr:rowOff>82551</xdr:rowOff>
    </xdr:from>
    <xdr:to>
      <xdr:col>7</xdr:col>
      <xdr:colOff>831850</xdr:colOff>
      <xdr:row>332</xdr:row>
      <xdr:rowOff>152401</xdr:rowOff>
    </xdr:to>
    <xdr:sp macro="" textlink="">
      <xdr:nvSpPr>
        <xdr:cNvPr id="152" name="151 Cerrar corchete"/>
        <xdr:cNvSpPr/>
      </xdr:nvSpPr>
      <xdr:spPr>
        <a:xfrm rot="5400000">
          <a:off x="5886450" y="40154226"/>
          <a:ext cx="69850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44450</xdr:colOff>
      <xdr:row>332</xdr:row>
      <xdr:rowOff>82554</xdr:rowOff>
    </xdr:from>
    <xdr:to>
      <xdr:col>9</xdr:col>
      <xdr:colOff>742950</xdr:colOff>
      <xdr:row>332</xdr:row>
      <xdr:rowOff>152400</xdr:rowOff>
    </xdr:to>
    <xdr:sp macro="" textlink="">
      <xdr:nvSpPr>
        <xdr:cNvPr id="153" name="152 Cerrar corchete"/>
        <xdr:cNvSpPr/>
      </xdr:nvSpPr>
      <xdr:spPr>
        <a:xfrm rot="5400000">
          <a:off x="7512052" y="40154227"/>
          <a:ext cx="69846" cy="15557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31750</xdr:colOff>
      <xdr:row>330</xdr:row>
      <xdr:rowOff>88900</xdr:rowOff>
    </xdr:from>
    <xdr:to>
      <xdr:col>9</xdr:col>
      <xdr:colOff>755650</xdr:colOff>
      <xdr:row>330</xdr:row>
      <xdr:rowOff>158750</xdr:rowOff>
    </xdr:to>
    <xdr:sp macro="" textlink="">
      <xdr:nvSpPr>
        <xdr:cNvPr id="154" name="153 Cerrar corchete"/>
        <xdr:cNvSpPr/>
      </xdr:nvSpPr>
      <xdr:spPr>
        <a:xfrm rot="5400000">
          <a:off x="7512050" y="39824025"/>
          <a:ext cx="69850" cy="15811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38100</xdr:colOff>
      <xdr:row>328</xdr:row>
      <xdr:rowOff>114300</xdr:rowOff>
    </xdr:from>
    <xdr:to>
      <xdr:col>5</xdr:col>
      <xdr:colOff>825500</xdr:colOff>
      <xdr:row>328</xdr:row>
      <xdr:rowOff>184150</xdr:rowOff>
    </xdr:to>
    <xdr:sp macro="" textlink="">
      <xdr:nvSpPr>
        <xdr:cNvPr id="155" name="154 Cerrar corchete"/>
        <xdr:cNvSpPr/>
      </xdr:nvSpPr>
      <xdr:spPr>
        <a:xfrm rot="5400000">
          <a:off x="4249738" y="39498587"/>
          <a:ext cx="69850" cy="157797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38100</xdr:colOff>
      <xdr:row>328</xdr:row>
      <xdr:rowOff>107950</xdr:rowOff>
    </xdr:from>
    <xdr:to>
      <xdr:col>9</xdr:col>
      <xdr:colOff>749300</xdr:colOff>
      <xdr:row>328</xdr:row>
      <xdr:rowOff>184150</xdr:rowOff>
    </xdr:to>
    <xdr:sp macro="" textlink="">
      <xdr:nvSpPr>
        <xdr:cNvPr id="156" name="155 Cerrar corchete"/>
        <xdr:cNvSpPr/>
      </xdr:nvSpPr>
      <xdr:spPr>
        <a:xfrm rot="5400000">
          <a:off x="6699250" y="38690550"/>
          <a:ext cx="76200" cy="318770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50800</xdr:colOff>
      <xdr:row>328</xdr:row>
      <xdr:rowOff>107950</xdr:rowOff>
    </xdr:from>
    <xdr:to>
      <xdr:col>12</xdr:col>
      <xdr:colOff>615950</xdr:colOff>
      <xdr:row>328</xdr:row>
      <xdr:rowOff>177800</xdr:rowOff>
    </xdr:to>
    <xdr:sp macro="" textlink="">
      <xdr:nvSpPr>
        <xdr:cNvPr id="157" name="156 Cerrar corchete"/>
        <xdr:cNvSpPr/>
      </xdr:nvSpPr>
      <xdr:spPr>
        <a:xfrm rot="5400000">
          <a:off x="9418638" y="39222362"/>
          <a:ext cx="69850" cy="211772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35719</xdr:colOff>
      <xdr:row>334</xdr:row>
      <xdr:rowOff>83344</xdr:rowOff>
    </xdr:from>
    <xdr:to>
      <xdr:col>12</xdr:col>
      <xdr:colOff>648890</xdr:colOff>
      <xdr:row>335</xdr:row>
      <xdr:rowOff>0</xdr:rowOff>
    </xdr:to>
    <xdr:sp macro="" textlink="">
      <xdr:nvSpPr>
        <xdr:cNvPr id="158" name="157 Cerrar corchete"/>
        <xdr:cNvSpPr/>
      </xdr:nvSpPr>
      <xdr:spPr>
        <a:xfrm rot="5400000">
          <a:off x="6977063" y="50678954"/>
          <a:ext cx="77390" cy="7054452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35718</xdr:colOff>
      <xdr:row>330</xdr:row>
      <xdr:rowOff>83344</xdr:rowOff>
    </xdr:from>
    <xdr:to>
      <xdr:col>7</xdr:col>
      <xdr:colOff>812403</xdr:colOff>
      <xdr:row>330</xdr:row>
      <xdr:rowOff>159544</xdr:rowOff>
    </xdr:to>
    <xdr:sp macro="" textlink="">
      <xdr:nvSpPr>
        <xdr:cNvPr id="160" name="159 Cerrar corchete"/>
        <xdr:cNvSpPr/>
      </xdr:nvSpPr>
      <xdr:spPr>
        <a:xfrm rot="5400000">
          <a:off x="5044281" y="51968797"/>
          <a:ext cx="76200" cy="318770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65484</xdr:colOff>
      <xdr:row>332</xdr:row>
      <xdr:rowOff>83345</xdr:rowOff>
    </xdr:from>
    <xdr:to>
      <xdr:col>12</xdr:col>
      <xdr:colOff>625994</xdr:colOff>
      <xdr:row>332</xdr:row>
      <xdr:rowOff>146845</xdr:rowOff>
    </xdr:to>
    <xdr:sp macro="" textlink="">
      <xdr:nvSpPr>
        <xdr:cNvPr id="161" name="160 Cerrar corchete"/>
        <xdr:cNvSpPr/>
      </xdr:nvSpPr>
      <xdr:spPr>
        <a:xfrm rot="5400000">
          <a:off x="9431200" y="52820629"/>
          <a:ext cx="63500" cy="2114276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47624</xdr:colOff>
      <xdr:row>396</xdr:row>
      <xdr:rowOff>95253</xdr:rowOff>
    </xdr:from>
    <xdr:to>
      <xdr:col>12</xdr:col>
      <xdr:colOff>608134</xdr:colOff>
      <xdr:row>396</xdr:row>
      <xdr:rowOff>158753</xdr:rowOff>
    </xdr:to>
    <xdr:sp macro="" textlink="">
      <xdr:nvSpPr>
        <xdr:cNvPr id="85" name="84 Cerrar corchete"/>
        <xdr:cNvSpPr/>
      </xdr:nvSpPr>
      <xdr:spPr>
        <a:xfrm rot="5400000">
          <a:off x="9416317" y="52877185"/>
          <a:ext cx="63500" cy="211308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31750</xdr:colOff>
      <xdr:row>396</xdr:row>
      <xdr:rowOff>88900</xdr:rowOff>
    </xdr:from>
    <xdr:to>
      <xdr:col>9</xdr:col>
      <xdr:colOff>755650</xdr:colOff>
      <xdr:row>396</xdr:row>
      <xdr:rowOff>158750</xdr:rowOff>
    </xdr:to>
    <xdr:sp macro="" textlink="">
      <xdr:nvSpPr>
        <xdr:cNvPr id="86" name="85 Cerrar corchete"/>
        <xdr:cNvSpPr/>
      </xdr:nvSpPr>
      <xdr:spPr>
        <a:xfrm rot="5400000">
          <a:off x="7512050" y="53139975"/>
          <a:ext cx="69850" cy="15811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38100</xdr:colOff>
      <xdr:row>394</xdr:row>
      <xdr:rowOff>114300</xdr:rowOff>
    </xdr:from>
    <xdr:to>
      <xdr:col>5</xdr:col>
      <xdr:colOff>825500</xdr:colOff>
      <xdr:row>394</xdr:row>
      <xdr:rowOff>184150</xdr:rowOff>
    </xdr:to>
    <xdr:sp macro="" textlink="">
      <xdr:nvSpPr>
        <xdr:cNvPr id="87" name="86 Cerrar corchete"/>
        <xdr:cNvSpPr/>
      </xdr:nvSpPr>
      <xdr:spPr>
        <a:xfrm rot="5400000">
          <a:off x="4249738" y="52814537"/>
          <a:ext cx="69850" cy="157797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38100</xdr:colOff>
      <xdr:row>394</xdr:row>
      <xdr:rowOff>107950</xdr:rowOff>
    </xdr:from>
    <xdr:to>
      <xdr:col>9</xdr:col>
      <xdr:colOff>749300</xdr:colOff>
      <xdr:row>394</xdr:row>
      <xdr:rowOff>184150</xdr:rowOff>
    </xdr:to>
    <xdr:sp macro="" textlink="">
      <xdr:nvSpPr>
        <xdr:cNvPr id="88" name="87 Cerrar corchete"/>
        <xdr:cNvSpPr/>
      </xdr:nvSpPr>
      <xdr:spPr>
        <a:xfrm rot="5400000">
          <a:off x="6699250" y="52006500"/>
          <a:ext cx="76200" cy="318770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50800</xdr:colOff>
      <xdr:row>394</xdr:row>
      <xdr:rowOff>107950</xdr:rowOff>
    </xdr:from>
    <xdr:to>
      <xdr:col>12</xdr:col>
      <xdr:colOff>615950</xdr:colOff>
      <xdr:row>394</xdr:row>
      <xdr:rowOff>177800</xdr:rowOff>
    </xdr:to>
    <xdr:sp macro="" textlink="">
      <xdr:nvSpPr>
        <xdr:cNvPr id="89" name="88 Cerrar corchete"/>
        <xdr:cNvSpPr/>
      </xdr:nvSpPr>
      <xdr:spPr>
        <a:xfrm rot="5400000">
          <a:off x="9418638" y="52538312"/>
          <a:ext cx="69850" cy="211772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35718</xdr:colOff>
      <xdr:row>396</xdr:row>
      <xdr:rowOff>83344</xdr:rowOff>
    </xdr:from>
    <xdr:to>
      <xdr:col>7</xdr:col>
      <xdr:colOff>812403</xdr:colOff>
      <xdr:row>396</xdr:row>
      <xdr:rowOff>159544</xdr:rowOff>
    </xdr:to>
    <xdr:sp macro="" textlink="">
      <xdr:nvSpPr>
        <xdr:cNvPr id="90" name="89 Cerrar corchete"/>
        <xdr:cNvSpPr/>
      </xdr:nvSpPr>
      <xdr:spPr>
        <a:xfrm rot="5400000">
          <a:off x="5048448" y="52334914"/>
          <a:ext cx="76200" cy="318651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35719</xdr:colOff>
      <xdr:row>398</xdr:row>
      <xdr:rowOff>83344</xdr:rowOff>
    </xdr:from>
    <xdr:to>
      <xdr:col>12</xdr:col>
      <xdr:colOff>648890</xdr:colOff>
      <xdr:row>399</xdr:row>
      <xdr:rowOff>0</xdr:rowOff>
    </xdr:to>
    <xdr:sp macro="" textlink="">
      <xdr:nvSpPr>
        <xdr:cNvPr id="92" name="91 Cerrar corchete"/>
        <xdr:cNvSpPr/>
      </xdr:nvSpPr>
      <xdr:spPr>
        <a:xfrm rot="5400000">
          <a:off x="6980039" y="51051024"/>
          <a:ext cx="78581" cy="7052071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38100</xdr:colOff>
      <xdr:row>414</xdr:row>
      <xdr:rowOff>114300</xdr:rowOff>
    </xdr:from>
    <xdr:to>
      <xdr:col>5</xdr:col>
      <xdr:colOff>825500</xdr:colOff>
      <xdr:row>414</xdr:row>
      <xdr:rowOff>184150</xdr:rowOff>
    </xdr:to>
    <xdr:sp macro="" textlink="">
      <xdr:nvSpPr>
        <xdr:cNvPr id="96" name="95 Cerrar corchete"/>
        <xdr:cNvSpPr/>
      </xdr:nvSpPr>
      <xdr:spPr>
        <a:xfrm rot="5400000">
          <a:off x="4259263" y="63939737"/>
          <a:ext cx="50800" cy="157797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6</xdr:col>
      <xdr:colOff>38100</xdr:colOff>
      <xdr:row>414</xdr:row>
      <xdr:rowOff>107950</xdr:rowOff>
    </xdr:from>
    <xdr:to>
      <xdr:col>8</xdr:col>
      <xdr:colOff>0</xdr:colOff>
      <xdr:row>414</xdr:row>
      <xdr:rowOff>180975</xdr:rowOff>
    </xdr:to>
    <xdr:sp macro="" textlink="">
      <xdr:nvSpPr>
        <xdr:cNvPr id="97" name="96 Cerrar corchete"/>
        <xdr:cNvSpPr/>
      </xdr:nvSpPr>
      <xdr:spPr>
        <a:xfrm rot="5400000">
          <a:off x="5897562" y="67419538"/>
          <a:ext cx="73025" cy="1581150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60325</xdr:colOff>
      <xdr:row>414</xdr:row>
      <xdr:rowOff>98425</xdr:rowOff>
    </xdr:from>
    <xdr:to>
      <xdr:col>10</xdr:col>
      <xdr:colOff>781049</xdr:colOff>
      <xdr:row>414</xdr:row>
      <xdr:rowOff>180974</xdr:rowOff>
    </xdr:to>
    <xdr:sp macro="" textlink="">
      <xdr:nvSpPr>
        <xdr:cNvPr id="98" name="97 Cerrar corchete"/>
        <xdr:cNvSpPr/>
      </xdr:nvSpPr>
      <xdr:spPr>
        <a:xfrm rot="5400000">
          <a:off x="7913687" y="67035363"/>
          <a:ext cx="82549" cy="2339974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19050</xdr:colOff>
      <xdr:row>416</xdr:row>
      <xdr:rowOff>123825</xdr:rowOff>
    </xdr:from>
    <xdr:to>
      <xdr:col>10</xdr:col>
      <xdr:colOff>781050</xdr:colOff>
      <xdr:row>417</xdr:row>
      <xdr:rowOff>3</xdr:rowOff>
    </xdr:to>
    <xdr:sp macro="" textlink="">
      <xdr:nvSpPr>
        <xdr:cNvPr id="101" name="100 Cerrar corchete"/>
        <xdr:cNvSpPr/>
      </xdr:nvSpPr>
      <xdr:spPr>
        <a:xfrm rot="5400000">
          <a:off x="6267449" y="65779651"/>
          <a:ext cx="66678" cy="5648325"/>
        </a:xfrm>
        <a:prstGeom prst="righ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0"/>
  <sheetViews>
    <sheetView showGridLines="0" view="pageBreakPreview" zoomScaleNormal="100" zoomScaleSheetLayoutView="100" workbookViewId="0">
      <selection activeCell="E55" sqref="E55"/>
    </sheetView>
  </sheetViews>
  <sheetFormatPr baseColWidth="10" defaultRowHeight="15"/>
  <cols>
    <col min="1" max="1" width="42.28515625" customWidth="1"/>
    <col min="2" max="2" width="15.140625" bestFit="1" customWidth="1"/>
    <col min="3" max="3" width="13.5703125" customWidth="1"/>
    <col min="4" max="4" width="15.7109375" customWidth="1"/>
    <col min="5" max="5" width="13.7109375" customWidth="1"/>
    <col min="6" max="6" width="13.42578125" customWidth="1"/>
    <col min="7" max="7" width="13.7109375" customWidth="1"/>
    <col min="8" max="8" width="12.42578125" customWidth="1"/>
    <col min="12" max="12" width="12.42578125" customWidth="1"/>
  </cols>
  <sheetData>
    <row r="1" spans="1:9" s="511" customFormat="1" ht="18">
      <c r="A1" s="930" t="s">
        <v>2043</v>
      </c>
      <c r="B1" s="930"/>
      <c r="C1" s="930"/>
      <c r="D1" s="930"/>
      <c r="E1" s="930"/>
      <c r="F1" s="930"/>
      <c r="G1" s="930"/>
      <c r="H1" s="930"/>
      <c r="I1" s="930"/>
    </row>
    <row r="2" spans="1:9" s="511" customFormat="1">
      <c r="A2" s="368"/>
    </row>
    <row r="3" spans="1:9">
      <c r="A3" s="1" t="s">
        <v>2131</v>
      </c>
    </row>
    <row r="4" spans="1:9">
      <c r="A4" s="503" t="s">
        <v>384</v>
      </c>
      <c r="B4" s="503" t="s">
        <v>1085</v>
      </c>
      <c r="C4" s="503" t="s">
        <v>1086</v>
      </c>
      <c r="D4" s="503" t="s">
        <v>1087</v>
      </c>
      <c r="E4" s="503" t="s">
        <v>1088</v>
      </c>
      <c r="F4" s="503" t="s">
        <v>1089</v>
      </c>
      <c r="G4" s="503" t="s">
        <v>1090</v>
      </c>
      <c r="H4" s="503" t="s">
        <v>23</v>
      </c>
      <c r="I4" s="503" t="s">
        <v>1091</v>
      </c>
    </row>
    <row r="5" spans="1:9">
      <c r="A5" s="442" t="s">
        <v>1092</v>
      </c>
      <c r="B5" s="443" t="s">
        <v>1093</v>
      </c>
      <c r="C5" s="443"/>
      <c r="D5" s="443"/>
      <c r="E5" s="443"/>
      <c r="F5" s="443" t="s">
        <v>1093</v>
      </c>
      <c r="G5" s="443"/>
      <c r="H5" s="443"/>
      <c r="I5" s="443" t="s">
        <v>1093</v>
      </c>
    </row>
    <row r="6" spans="1:9">
      <c r="A6" s="442" t="s">
        <v>2041</v>
      </c>
      <c r="B6" s="443" t="s">
        <v>1093</v>
      </c>
      <c r="C6" s="443"/>
      <c r="D6" s="443"/>
      <c r="E6" s="443"/>
      <c r="F6" s="443"/>
      <c r="G6" s="443" t="s">
        <v>1093</v>
      </c>
      <c r="H6" s="443"/>
      <c r="I6" s="443" t="s">
        <v>1093</v>
      </c>
    </row>
    <row r="7" spans="1:9">
      <c r="A7" s="442" t="s">
        <v>1548</v>
      </c>
      <c r="B7" s="443" t="s">
        <v>1093</v>
      </c>
      <c r="C7" s="443"/>
      <c r="D7" s="443"/>
      <c r="E7" s="443"/>
      <c r="F7" s="443" t="s">
        <v>1093</v>
      </c>
      <c r="G7" s="443"/>
      <c r="H7" s="443"/>
      <c r="I7" s="443" t="s">
        <v>1093</v>
      </c>
    </row>
    <row r="8" spans="1:9">
      <c r="A8" s="442" t="s">
        <v>2040</v>
      </c>
      <c r="B8" s="443" t="s">
        <v>1093</v>
      </c>
      <c r="C8" s="443"/>
      <c r="D8" s="443"/>
      <c r="E8" s="443"/>
      <c r="F8" s="443"/>
      <c r="G8" s="443" t="s">
        <v>1093</v>
      </c>
      <c r="H8" s="443"/>
      <c r="I8" s="443" t="s">
        <v>1093</v>
      </c>
    </row>
    <row r="9" spans="1:9">
      <c r="A9" s="442" t="s">
        <v>1094</v>
      </c>
      <c r="B9" s="443"/>
      <c r="C9" s="443" t="s">
        <v>1093</v>
      </c>
      <c r="D9" s="443"/>
      <c r="E9" s="443"/>
      <c r="F9" s="443" t="s">
        <v>1093</v>
      </c>
      <c r="G9" s="443"/>
      <c r="H9" s="934" t="s">
        <v>1102</v>
      </c>
      <c r="I9" s="935"/>
    </row>
    <row r="10" spans="1:9">
      <c r="A10" s="442" t="s">
        <v>1095</v>
      </c>
      <c r="B10" s="443" t="s">
        <v>1093</v>
      </c>
      <c r="C10" s="443"/>
      <c r="D10" s="443"/>
      <c r="E10" s="443"/>
      <c r="F10" s="443" t="s">
        <v>1093</v>
      </c>
      <c r="G10" s="443"/>
      <c r="H10" s="443"/>
      <c r="I10" s="443" t="s">
        <v>1093</v>
      </c>
    </row>
    <row r="11" spans="1:9">
      <c r="A11" s="442" t="s">
        <v>1096</v>
      </c>
      <c r="B11" s="443"/>
      <c r="C11" s="443"/>
      <c r="D11" s="443" t="s">
        <v>1093</v>
      </c>
      <c r="E11" s="443"/>
      <c r="F11" s="443" t="s">
        <v>1093</v>
      </c>
      <c r="G11" s="443"/>
      <c r="H11" s="934" t="s">
        <v>1102</v>
      </c>
      <c r="I11" s="935"/>
    </row>
    <row r="12" spans="1:9">
      <c r="A12" s="442" t="s">
        <v>1097</v>
      </c>
      <c r="B12" s="443" t="s">
        <v>1093</v>
      </c>
      <c r="C12" s="443"/>
      <c r="D12" s="443"/>
      <c r="E12" s="443"/>
      <c r="F12" s="443"/>
      <c r="G12" s="443" t="s">
        <v>1093</v>
      </c>
      <c r="H12" s="443" t="s">
        <v>1093</v>
      </c>
      <c r="I12" s="443"/>
    </row>
    <row r="13" spans="1:9">
      <c r="A13" s="442" t="s">
        <v>1098</v>
      </c>
      <c r="B13" s="443"/>
      <c r="C13" s="443"/>
      <c r="D13" s="443" t="s">
        <v>1093</v>
      </c>
      <c r="E13" s="443"/>
      <c r="F13" s="443"/>
      <c r="G13" s="443" t="s">
        <v>1093</v>
      </c>
      <c r="H13" s="934" t="s">
        <v>1102</v>
      </c>
      <c r="I13" s="935"/>
    </row>
    <row r="14" spans="1:9">
      <c r="A14" s="442" t="s">
        <v>1099</v>
      </c>
      <c r="B14" s="443" t="s">
        <v>1093</v>
      </c>
      <c r="C14" s="443"/>
      <c r="D14" s="443"/>
      <c r="E14" s="443"/>
      <c r="F14" s="443"/>
      <c r="G14" s="443" t="s">
        <v>1093</v>
      </c>
      <c r="H14" s="443" t="s">
        <v>1093</v>
      </c>
      <c r="I14" s="443"/>
    </row>
    <row r="15" spans="1:9" ht="16.5" customHeight="1">
      <c r="A15" s="442" t="s">
        <v>2042</v>
      </c>
      <c r="B15" s="443"/>
      <c r="C15" s="443"/>
      <c r="D15" s="443" t="s">
        <v>1093</v>
      </c>
      <c r="E15" s="443"/>
      <c r="F15" s="443" t="s">
        <v>1093</v>
      </c>
      <c r="G15" s="443"/>
      <c r="H15" s="934" t="s">
        <v>1102</v>
      </c>
      <c r="I15" s="935"/>
    </row>
    <row r="16" spans="1:9">
      <c r="A16" s="442" t="s">
        <v>1100</v>
      </c>
      <c r="B16" s="443" t="s">
        <v>1093</v>
      </c>
      <c r="C16" s="443"/>
      <c r="D16" s="443"/>
      <c r="E16" s="443"/>
      <c r="F16" s="443"/>
      <c r="G16" s="443" t="s">
        <v>1093</v>
      </c>
      <c r="H16" s="443" t="s">
        <v>1093</v>
      </c>
      <c r="I16" s="443"/>
    </row>
    <row r="17" spans="1:13">
      <c r="A17" s="442" t="s">
        <v>1101</v>
      </c>
      <c r="B17" s="443"/>
      <c r="C17" s="443"/>
      <c r="D17" s="443" t="s">
        <v>1093</v>
      </c>
      <c r="E17" s="443"/>
      <c r="F17" s="443"/>
      <c r="G17" s="443" t="s">
        <v>1093</v>
      </c>
      <c r="H17" s="934" t="s">
        <v>1102</v>
      </c>
      <c r="I17" s="935"/>
    </row>
    <row r="18" spans="1:13" s="440" customFormat="1">
      <c r="A18" s="404"/>
      <c r="B18" s="476"/>
      <c r="C18" s="476"/>
      <c r="D18" s="476"/>
      <c r="E18" s="476"/>
      <c r="F18" s="476"/>
      <c r="G18" s="476"/>
      <c r="H18" s="476"/>
      <c r="I18" s="476"/>
    </row>
    <row r="19" spans="1:13" s="440" customFormat="1">
      <c r="A19" s="477" t="s">
        <v>2132</v>
      </c>
      <c r="B19" s="476"/>
      <c r="C19" s="476"/>
      <c r="D19" s="476"/>
      <c r="E19" s="476"/>
      <c r="F19" s="476"/>
      <c r="G19" s="476"/>
      <c r="H19" s="476"/>
      <c r="I19" s="476"/>
    </row>
    <row r="20" spans="1:13" s="440" customFormat="1">
      <c r="A20" s="919" t="s">
        <v>1204</v>
      </c>
      <c r="B20" s="919" t="s">
        <v>183</v>
      </c>
      <c r="C20" s="919" t="s">
        <v>1205</v>
      </c>
      <c r="D20" s="919"/>
      <c r="E20" s="919"/>
      <c r="F20" s="931" t="s">
        <v>1213</v>
      </c>
      <c r="G20" s="932"/>
      <c r="H20" s="931" t="s">
        <v>1214</v>
      </c>
      <c r="I20" s="933"/>
      <c r="J20" s="932"/>
      <c r="K20" s="501" t="s">
        <v>1215</v>
      </c>
      <c r="L20" s="502"/>
      <c r="M20" s="915" t="s">
        <v>1212</v>
      </c>
    </row>
    <row r="21" spans="1:13" s="440" customFormat="1">
      <c r="A21" s="919"/>
      <c r="B21" s="919"/>
      <c r="C21" s="503" t="s">
        <v>1206</v>
      </c>
      <c r="D21" s="503" t="s">
        <v>1207</v>
      </c>
      <c r="E21" s="503" t="s">
        <v>1125</v>
      </c>
      <c r="F21" s="503" t="s">
        <v>1208</v>
      </c>
      <c r="G21" s="503" t="s">
        <v>681</v>
      </c>
      <c r="H21" s="503" t="s">
        <v>1208</v>
      </c>
      <c r="I21" s="503" t="s">
        <v>1209</v>
      </c>
      <c r="J21" s="503" t="s">
        <v>1125</v>
      </c>
      <c r="K21" s="503" t="s">
        <v>1210</v>
      </c>
      <c r="L21" s="503" t="s">
        <v>1211</v>
      </c>
      <c r="M21" s="916"/>
    </row>
    <row r="22" spans="1:13" s="440" customFormat="1">
      <c r="A22" s="506" t="s">
        <v>1216</v>
      </c>
      <c r="B22" s="509">
        <v>19500</v>
      </c>
      <c r="C22" s="509">
        <f>B22</f>
        <v>19500</v>
      </c>
      <c r="D22" s="509"/>
      <c r="E22" s="509"/>
      <c r="F22" s="509"/>
      <c r="G22" s="509"/>
      <c r="H22" s="509"/>
      <c r="I22" s="509"/>
      <c r="J22" s="509"/>
      <c r="K22" s="509"/>
      <c r="L22" s="509"/>
      <c r="M22" s="509"/>
    </row>
    <row r="23" spans="1:13" s="440" customFormat="1">
      <c r="A23" s="506" t="s">
        <v>1217</v>
      </c>
      <c r="B23" s="509">
        <v>45000</v>
      </c>
      <c r="C23" s="509"/>
      <c r="D23" s="509">
        <f>B23</f>
        <v>45000</v>
      </c>
      <c r="E23" s="509"/>
      <c r="F23" s="509"/>
      <c r="G23" s="509"/>
      <c r="H23" s="509"/>
      <c r="I23" s="509"/>
      <c r="J23" s="509"/>
      <c r="K23" s="509"/>
      <c r="L23" s="509"/>
      <c r="M23" s="509"/>
    </row>
    <row r="24" spans="1:13" s="440" customFormat="1">
      <c r="A24" s="506" t="s">
        <v>1218</v>
      </c>
      <c r="B24" s="509">
        <v>12000</v>
      </c>
      <c r="C24" s="509"/>
      <c r="D24" s="509"/>
      <c r="E24" s="509"/>
      <c r="F24" s="509"/>
      <c r="G24" s="509"/>
      <c r="H24" s="509"/>
      <c r="I24" s="509">
        <f>B24</f>
        <v>12000</v>
      </c>
      <c r="J24" s="509"/>
      <c r="K24" s="509"/>
      <c r="L24" s="509">
        <f>B24</f>
        <v>12000</v>
      </c>
      <c r="M24" s="509"/>
    </row>
    <row r="25" spans="1:13" s="440" customFormat="1" ht="26.25">
      <c r="A25" s="507" t="s">
        <v>1219</v>
      </c>
      <c r="B25" s="509">
        <v>550</v>
      </c>
      <c r="C25" s="509"/>
      <c r="D25" s="509"/>
      <c r="E25" s="509"/>
      <c r="F25" s="509"/>
      <c r="G25" s="509"/>
      <c r="H25" s="509">
        <f>B25</f>
        <v>550</v>
      </c>
      <c r="I25" s="509"/>
      <c r="J25" s="509"/>
      <c r="K25" s="509">
        <f>B25</f>
        <v>550</v>
      </c>
      <c r="L25" s="509"/>
      <c r="M25" s="509"/>
    </row>
    <row r="26" spans="1:13" s="440" customFormat="1" ht="26.25">
      <c r="A26" s="507" t="s">
        <v>1220</v>
      </c>
      <c r="B26" s="509">
        <v>6000</v>
      </c>
      <c r="C26" s="509"/>
      <c r="D26" s="509"/>
      <c r="E26" s="509"/>
      <c r="F26" s="509"/>
      <c r="G26" s="509">
        <f>B26</f>
        <v>6000</v>
      </c>
      <c r="H26" s="509"/>
      <c r="I26" s="509"/>
      <c r="J26" s="509"/>
      <c r="K26" s="509">
        <f>B26</f>
        <v>6000</v>
      </c>
      <c r="L26" s="509"/>
      <c r="M26" s="509"/>
    </row>
    <row r="27" spans="1:13" s="440" customFormat="1">
      <c r="A27" s="506" t="s">
        <v>1221</v>
      </c>
      <c r="B27" s="509">
        <v>4000</v>
      </c>
      <c r="C27" s="509"/>
      <c r="D27" s="509"/>
      <c r="E27" s="509"/>
      <c r="F27" s="509">
        <f>B27</f>
        <v>4000</v>
      </c>
      <c r="G27" s="509"/>
      <c r="H27" s="509"/>
      <c r="I27" s="509"/>
      <c r="J27" s="509"/>
      <c r="K27" s="509">
        <f>B27</f>
        <v>4000</v>
      </c>
      <c r="L27" s="509"/>
      <c r="M27" s="509"/>
    </row>
    <row r="28" spans="1:13" s="440" customFormat="1">
      <c r="A28" s="507" t="s">
        <v>1222</v>
      </c>
      <c r="B28" s="509">
        <v>3500</v>
      </c>
      <c r="C28" s="509"/>
      <c r="D28" s="509"/>
      <c r="E28" s="509"/>
      <c r="F28" s="509"/>
      <c r="G28" s="509"/>
      <c r="H28" s="509"/>
      <c r="I28" s="509"/>
      <c r="J28" s="509"/>
      <c r="K28" s="509"/>
      <c r="L28" s="509"/>
      <c r="M28" s="509">
        <f>B28</f>
        <v>3500</v>
      </c>
    </row>
    <row r="29" spans="1:13" s="440" customFormat="1">
      <c r="A29" s="507" t="s">
        <v>1223</v>
      </c>
      <c r="B29" s="509">
        <v>2400</v>
      </c>
      <c r="C29" s="509"/>
      <c r="D29" s="509"/>
      <c r="E29" s="509"/>
      <c r="F29" s="509"/>
      <c r="G29" s="509"/>
      <c r="H29" s="509"/>
      <c r="I29" s="509"/>
      <c r="J29" s="509">
        <f>B29</f>
        <v>2400</v>
      </c>
      <c r="K29" s="509"/>
      <c r="L29" s="509">
        <f>B29</f>
        <v>2400</v>
      </c>
      <c r="M29" s="509"/>
    </row>
    <row r="30" spans="1:13" s="440" customFormat="1">
      <c r="A30" s="507" t="s">
        <v>1224</v>
      </c>
      <c r="B30" s="509">
        <v>12000</v>
      </c>
      <c r="C30" s="509"/>
      <c r="D30" s="509"/>
      <c r="E30" s="509"/>
      <c r="F30" s="509"/>
      <c r="G30" s="509"/>
      <c r="H30" s="509"/>
      <c r="I30" s="509">
        <f>B30</f>
        <v>12000</v>
      </c>
      <c r="J30" s="509"/>
      <c r="K30" s="509"/>
      <c r="L30" s="509">
        <f>B30</f>
        <v>12000</v>
      </c>
      <c r="M30" s="509"/>
    </row>
    <row r="31" spans="1:13" s="440" customFormat="1" ht="15" customHeight="1">
      <c r="A31" s="507" t="s">
        <v>1225</v>
      </c>
      <c r="B31" s="509">
        <v>1200</v>
      </c>
      <c r="C31" s="509"/>
      <c r="D31" s="509"/>
      <c r="E31" s="509"/>
      <c r="F31" s="509"/>
      <c r="G31" s="509"/>
      <c r="H31" s="509"/>
      <c r="I31" s="509"/>
      <c r="J31" s="509">
        <f>B31</f>
        <v>1200</v>
      </c>
      <c r="K31" s="509"/>
      <c r="L31" s="509">
        <f>B31</f>
        <v>1200</v>
      </c>
      <c r="M31" s="509"/>
    </row>
    <row r="32" spans="1:13" s="440" customFormat="1">
      <c r="A32" s="507" t="s">
        <v>1226</v>
      </c>
      <c r="B32" s="509">
        <v>3500</v>
      </c>
      <c r="C32" s="509"/>
      <c r="D32" s="509"/>
      <c r="E32" s="509"/>
      <c r="F32" s="509"/>
      <c r="G32" s="509"/>
      <c r="H32" s="509"/>
      <c r="I32" s="509"/>
      <c r="J32" s="509"/>
      <c r="K32" s="509"/>
      <c r="L32" s="509"/>
      <c r="M32" s="509">
        <f>B32</f>
        <v>3500</v>
      </c>
    </row>
    <row r="33" spans="1:13" s="440" customFormat="1" ht="26.25">
      <c r="A33" s="507" t="s">
        <v>1227</v>
      </c>
      <c r="B33" s="509">
        <v>120000</v>
      </c>
      <c r="C33" s="509"/>
      <c r="D33" s="509">
        <f>B33</f>
        <v>120000</v>
      </c>
      <c r="E33" s="509"/>
      <c r="F33" s="509"/>
      <c r="G33" s="509"/>
      <c r="H33" s="509"/>
      <c r="I33" s="509"/>
      <c r="J33" s="509"/>
      <c r="K33" s="509"/>
      <c r="L33" s="509"/>
      <c r="M33" s="509"/>
    </row>
    <row r="34" spans="1:13" s="440" customFormat="1" ht="26.25">
      <c r="A34" s="507" t="s">
        <v>1228</v>
      </c>
      <c r="B34" s="509">
        <v>12000</v>
      </c>
      <c r="C34" s="509"/>
      <c r="D34" s="509"/>
      <c r="E34" s="509"/>
      <c r="F34" s="509"/>
      <c r="G34" s="509"/>
      <c r="H34" s="509"/>
      <c r="I34" s="509"/>
      <c r="J34" s="509"/>
      <c r="K34" s="509"/>
      <c r="L34" s="509"/>
      <c r="M34" s="509">
        <f>B34</f>
        <v>12000</v>
      </c>
    </row>
    <row r="35" spans="1:13" s="440" customFormat="1">
      <c r="A35" s="507" t="s">
        <v>1229</v>
      </c>
      <c r="B35" s="509">
        <v>8000</v>
      </c>
      <c r="C35" s="509"/>
      <c r="D35" s="509"/>
      <c r="E35" s="509"/>
      <c r="F35" s="509">
        <f>B35</f>
        <v>8000</v>
      </c>
      <c r="G35" s="509"/>
      <c r="H35" s="509"/>
      <c r="I35" s="509"/>
      <c r="J35" s="509"/>
      <c r="K35" s="509">
        <f>B35</f>
        <v>8000</v>
      </c>
      <c r="L35" s="509"/>
      <c r="M35" s="509"/>
    </row>
    <row r="36" spans="1:13" s="440" customFormat="1" ht="25.5">
      <c r="A36" s="442" t="s">
        <v>1230</v>
      </c>
      <c r="B36" s="509">
        <v>3000</v>
      </c>
      <c r="C36" s="509"/>
      <c r="D36" s="509"/>
      <c r="E36" s="509"/>
      <c r="F36" s="509"/>
      <c r="G36" s="509">
        <f>B36</f>
        <v>3000</v>
      </c>
      <c r="H36" s="509"/>
      <c r="I36" s="509"/>
      <c r="J36" s="509"/>
      <c r="K36" s="509">
        <f>B36</f>
        <v>3000</v>
      </c>
      <c r="L36" s="509"/>
      <c r="M36" s="509"/>
    </row>
    <row r="37" spans="1:13" s="440" customFormat="1">
      <c r="A37" s="442" t="s">
        <v>1231</v>
      </c>
      <c r="B37" s="509">
        <v>2000</v>
      </c>
      <c r="C37" s="509"/>
      <c r="D37" s="509"/>
      <c r="E37" s="509"/>
      <c r="F37" s="509"/>
      <c r="G37" s="509"/>
      <c r="H37" s="509"/>
      <c r="I37" s="509"/>
      <c r="J37" s="509">
        <f>B37</f>
        <v>2000</v>
      </c>
      <c r="K37" s="509"/>
      <c r="L37" s="509">
        <f>B37</f>
        <v>2000</v>
      </c>
      <c r="M37" s="509"/>
    </row>
    <row r="38" spans="1:13" s="440" customFormat="1">
      <c r="A38" s="442" t="s">
        <v>1232</v>
      </c>
      <c r="B38" s="509">
        <v>10000</v>
      </c>
      <c r="C38" s="509"/>
      <c r="D38" s="509"/>
      <c r="E38" s="509"/>
      <c r="F38" s="509"/>
      <c r="G38" s="509"/>
      <c r="H38" s="509"/>
      <c r="I38" s="509"/>
      <c r="J38" s="509"/>
      <c r="K38" s="509"/>
      <c r="L38" s="509"/>
      <c r="M38" s="509">
        <f>B38</f>
        <v>10000</v>
      </c>
    </row>
    <row r="39" spans="1:13" s="440" customFormat="1" ht="25.5">
      <c r="A39" s="442" t="s">
        <v>1233</v>
      </c>
      <c r="B39" s="509">
        <v>1300</v>
      </c>
      <c r="C39" s="509"/>
      <c r="D39" s="509"/>
      <c r="E39" s="509"/>
      <c r="F39" s="509"/>
      <c r="G39" s="509"/>
      <c r="H39" s="509"/>
      <c r="I39" s="509"/>
      <c r="J39" s="509"/>
      <c r="K39" s="509"/>
      <c r="L39" s="509"/>
      <c r="M39" s="509">
        <f>B39</f>
        <v>1300</v>
      </c>
    </row>
    <row r="40" spans="1:13" s="440" customFormat="1">
      <c r="A40" s="442" t="s">
        <v>1234</v>
      </c>
      <c r="B40" s="509">
        <v>9000</v>
      </c>
      <c r="C40" s="509"/>
      <c r="D40" s="509"/>
      <c r="E40" s="509"/>
      <c r="F40" s="509"/>
      <c r="G40" s="509"/>
      <c r="H40" s="509"/>
      <c r="I40" s="509"/>
      <c r="J40" s="509"/>
      <c r="K40" s="509"/>
      <c r="L40" s="509"/>
      <c r="M40" s="509">
        <f>B40</f>
        <v>9000</v>
      </c>
    </row>
    <row r="41" spans="1:13" s="440" customFormat="1" ht="25.5">
      <c r="A41" s="442" t="s">
        <v>1235</v>
      </c>
      <c r="B41" s="509">
        <v>250</v>
      </c>
      <c r="C41" s="509"/>
      <c r="D41" s="509"/>
      <c r="E41" s="509"/>
      <c r="F41" s="509">
        <f>B41</f>
        <v>250</v>
      </c>
      <c r="G41" s="509"/>
      <c r="H41" s="509"/>
      <c r="I41" s="509"/>
      <c r="J41" s="509"/>
      <c r="K41" s="509">
        <f>B41</f>
        <v>250</v>
      </c>
      <c r="L41" s="509"/>
      <c r="M41" s="509"/>
    </row>
    <row r="42" spans="1:13" s="440" customFormat="1">
      <c r="A42" s="442" t="s">
        <v>1236</v>
      </c>
      <c r="B42" s="509">
        <v>4500</v>
      </c>
      <c r="C42" s="509"/>
      <c r="D42" s="509"/>
      <c r="E42" s="509"/>
      <c r="F42" s="509"/>
      <c r="G42" s="509"/>
      <c r="H42" s="509"/>
      <c r="I42" s="509"/>
      <c r="J42" s="509"/>
      <c r="K42" s="509"/>
      <c r="L42" s="509"/>
      <c r="M42" s="509">
        <f>B42</f>
        <v>4500</v>
      </c>
    </row>
    <row r="43" spans="1:13" s="440" customFormat="1" ht="25.5">
      <c r="A43" s="442" t="s">
        <v>1237</v>
      </c>
      <c r="B43" s="509">
        <v>1800</v>
      </c>
      <c r="C43" s="509"/>
      <c r="D43" s="509"/>
      <c r="E43" s="509">
        <f>B43</f>
        <v>1800</v>
      </c>
      <c r="F43" s="509"/>
      <c r="G43" s="509"/>
      <c r="H43" s="509"/>
      <c r="I43" s="509"/>
      <c r="J43" s="509"/>
      <c r="K43" s="509"/>
      <c r="L43" s="509"/>
      <c r="M43" s="509"/>
    </row>
    <row r="44" spans="1:13" s="440" customFormat="1" ht="25.5">
      <c r="A44" s="442" t="s">
        <v>1238</v>
      </c>
      <c r="B44" s="509">
        <v>800</v>
      </c>
      <c r="C44" s="509"/>
      <c r="D44" s="509"/>
      <c r="E44" s="509"/>
      <c r="F44" s="509"/>
      <c r="G44" s="509"/>
      <c r="H44" s="509"/>
      <c r="I44" s="509"/>
      <c r="J44" s="509">
        <f>B44</f>
        <v>800</v>
      </c>
      <c r="K44" s="509">
        <f>B44</f>
        <v>800</v>
      </c>
      <c r="L44" s="509"/>
      <c r="M44" s="509"/>
    </row>
    <row r="45" spans="1:13" s="440" customFormat="1" ht="25.5">
      <c r="A45" s="442" t="s">
        <v>1239</v>
      </c>
      <c r="B45" s="509">
        <v>700</v>
      </c>
      <c r="C45" s="509"/>
      <c r="D45" s="509"/>
      <c r="E45" s="509"/>
      <c r="F45" s="509">
        <f>B45</f>
        <v>700</v>
      </c>
      <c r="G45" s="509"/>
      <c r="H45" s="509"/>
      <c r="I45" s="509"/>
      <c r="J45" s="509"/>
      <c r="K45" s="509">
        <f>B45</f>
        <v>700</v>
      </c>
      <c r="L45" s="509"/>
      <c r="M45" s="509"/>
    </row>
    <row r="46" spans="1:13" s="440" customFormat="1" ht="12.75" customHeight="1">
      <c r="A46" s="442" t="s">
        <v>1240</v>
      </c>
      <c r="B46" s="509">
        <v>2800</v>
      </c>
      <c r="C46" s="509"/>
      <c r="D46" s="509"/>
      <c r="E46" s="509"/>
      <c r="F46" s="509"/>
      <c r="G46" s="509"/>
      <c r="H46" s="509"/>
      <c r="I46" s="509"/>
      <c r="J46" s="509"/>
      <c r="K46" s="509"/>
      <c r="L46" s="509"/>
      <c r="M46" s="509">
        <f>B46</f>
        <v>2800</v>
      </c>
    </row>
    <row r="47" spans="1:13" s="440" customFormat="1">
      <c r="A47" s="508" t="s">
        <v>1130</v>
      </c>
      <c r="B47" s="510">
        <f t="shared" ref="B47:J47" si="0">SUM(B22:B46)</f>
        <v>285800</v>
      </c>
      <c r="C47" s="510">
        <f t="shared" si="0"/>
        <v>19500</v>
      </c>
      <c r="D47" s="510">
        <f t="shared" si="0"/>
        <v>165000</v>
      </c>
      <c r="E47" s="510">
        <f t="shared" si="0"/>
        <v>1800</v>
      </c>
      <c r="F47" s="510">
        <f t="shared" si="0"/>
        <v>12950</v>
      </c>
      <c r="G47" s="510">
        <f t="shared" si="0"/>
        <v>9000</v>
      </c>
      <c r="H47" s="510">
        <f t="shared" si="0"/>
        <v>550</v>
      </c>
      <c r="I47" s="510">
        <f t="shared" si="0"/>
        <v>24000</v>
      </c>
      <c r="J47" s="510">
        <f t="shared" si="0"/>
        <v>6400</v>
      </c>
      <c r="K47" s="510">
        <f>SUM(K22:K46)</f>
        <v>23300</v>
      </c>
      <c r="L47" s="510">
        <f>SUM(L22:L46)</f>
        <v>29600</v>
      </c>
      <c r="M47" s="510">
        <f>SUM(M22:M46)</f>
        <v>46600</v>
      </c>
    </row>
    <row r="48" spans="1:13">
      <c r="A48" s="440"/>
      <c r="B48" s="440"/>
    </row>
    <row r="49" spans="1:9" ht="15.75" thickBot="1">
      <c r="A49" s="146" t="s">
        <v>2172</v>
      </c>
      <c r="B49" s="440"/>
    </row>
    <row r="50" spans="1:9" ht="26.25" thickBot="1">
      <c r="A50" s="920" t="s">
        <v>464</v>
      </c>
      <c r="B50" s="921"/>
      <c r="C50" s="504" t="s">
        <v>1241</v>
      </c>
      <c r="D50" s="504" t="s">
        <v>1103</v>
      </c>
      <c r="E50" s="504" t="s">
        <v>1104</v>
      </c>
      <c r="F50" s="504" t="s">
        <v>1105</v>
      </c>
      <c r="G50" s="504" t="s">
        <v>1106</v>
      </c>
      <c r="H50" s="505" t="s">
        <v>1107</v>
      </c>
      <c r="I50" s="2"/>
    </row>
    <row r="51" spans="1:9">
      <c r="A51" s="515" t="s">
        <v>1108</v>
      </c>
      <c r="B51" s="516"/>
      <c r="C51" s="517">
        <v>20000</v>
      </c>
      <c r="D51" s="518" t="s">
        <v>1122</v>
      </c>
      <c r="E51" s="519">
        <v>20000</v>
      </c>
      <c r="F51" s="519"/>
      <c r="G51" s="519">
        <v>20000</v>
      </c>
      <c r="H51" s="520"/>
      <c r="I51" s="2"/>
    </row>
    <row r="52" spans="1:9" ht="15.75" thickBot="1">
      <c r="A52" s="523" t="s">
        <v>1109</v>
      </c>
      <c r="B52" s="446"/>
      <c r="C52" s="447">
        <v>850</v>
      </c>
      <c r="D52" s="448" t="s">
        <v>1123</v>
      </c>
      <c r="E52" s="449"/>
      <c r="F52" s="449">
        <v>850</v>
      </c>
      <c r="G52" s="449">
        <v>850</v>
      </c>
      <c r="H52" s="524"/>
      <c r="I52" s="2"/>
    </row>
    <row r="53" spans="1:9">
      <c r="A53" s="515" t="s">
        <v>1110</v>
      </c>
      <c r="B53" s="516"/>
      <c r="C53" s="517">
        <v>11000</v>
      </c>
      <c r="D53" s="518" t="s">
        <v>681</v>
      </c>
      <c r="E53" s="519">
        <v>11000</v>
      </c>
      <c r="F53" s="519">
        <v>11000</v>
      </c>
      <c r="G53" s="519">
        <v>11000</v>
      </c>
      <c r="H53" s="520"/>
      <c r="I53" s="2"/>
    </row>
    <row r="54" spans="1:9">
      <c r="A54" s="521" t="s">
        <v>1111</v>
      </c>
      <c r="B54" s="422"/>
      <c r="C54" s="444">
        <v>8200</v>
      </c>
      <c r="D54" s="277" t="s">
        <v>1124</v>
      </c>
      <c r="E54" s="346"/>
      <c r="F54" s="346">
        <v>8200</v>
      </c>
      <c r="G54" s="346">
        <v>8200</v>
      </c>
      <c r="H54" s="522"/>
      <c r="I54" s="2"/>
    </row>
    <row r="55" spans="1:9">
      <c r="A55" s="521" t="s">
        <v>1112</v>
      </c>
      <c r="B55" s="422"/>
      <c r="C55" s="444">
        <v>4500</v>
      </c>
      <c r="D55" s="277" t="s">
        <v>681</v>
      </c>
      <c r="E55" s="346">
        <v>4500</v>
      </c>
      <c r="F55" s="346">
        <v>4500</v>
      </c>
      <c r="G55" s="346">
        <v>4500</v>
      </c>
      <c r="H55" s="522"/>
      <c r="I55" s="2"/>
    </row>
    <row r="56" spans="1:9">
      <c r="A56" s="521" t="s">
        <v>1113</v>
      </c>
      <c r="B56" s="422"/>
      <c r="C56" s="444">
        <v>3800</v>
      </c>
      <c r="D56" s="277" t="s">
        <v>1124</v>
      </c>
      <c r="E56" s="346"/>
      <c r="F56" s="346">
        <v>3800</v>
      </c>
      <c r="G56" s="346">
        <v>3800</v>
      </c>
      <c r="H56" s="522"/>
      <c r="I56" s="2"/>
    </row>
    <row r="57" spans="1:9">
      <c r="A57" s="521" t="s">
        <v>1114</v>
      </c>
      <c r="B57" s="422"/>
      <c r="C57" s="444">
        <v>9000</v>
      </c>
      <c r="D57" s="277" t="s">
        <v>1125</v>
      </c>
      <c r="E57" s="346"/>
      <c r="F57" s="346"/>
      <c r="G57" s="346"/>
      <c r="H57" s="522">
        <v>9000</v>
      </c>
      <c r="I57" s="2"/>
    </row>
    <row r="58" spans="1:9" ht="15.75" thickBot="1">
      <c r="A58" s="523" t="s">
        <v>1115</v>
      </c>
      <c r="B58" s="446"/>
      <c r="C58" s="447">
        <v>4250</v>
      </c>
      <c r="D58" s="448" t="s">
        <v>1125</v>
      </c>
      <c r="E58" s="449"/>
      <c r="F58" s="449"/>
      <c r="G58" s="449"/>
      <c r="H58" s="524">
        <v>4250</v>
      </c>
      <c r="I58" s="2"/>
    </row>
    <row r="59" spans="1:9">
      <c r="A59" s="515" t="s">
        <v>1116</v>
      </c>
      <c r="B59" s="516"/>
      <c r="C59" s="517">
        <v>18500</v>
      </c>
      <c r="D59" s="518" t="s">
        <v>685</v>
      </c>
      <c r="E59" s="519"/>
      <c r="F59" s="519">
        <v>18500</v>
      </c>
      <c r="G59" s="519">
        <v>18500</v>
      </c>
      <c r="H59" s="520"/>
      <c r="I59" s="2"/>
    </row>
    <row r="60" spans="1:9">
      <c r="A60" s="521" t="s">
        <v>435</v>
      </c>
      <c r="B60" s="422"/>
      <c r="C60" s="444">
        <v>1200</v>
      </c>
      <c r="D60" s="277" t="s">
        <v>685</v>
      </c>
      <c r="E60" s="346"/>
      <c r="F60" s="346">
        <v>1200</v>
      </c>
      <c r="G60" s="346">
        <v>1200</v>
      </c>
      <c r="H60" s="522"/>
      <c r="I60" s="2"/>
    </row>
    <row r="61" spans="1:9">
      <c r="A61" s="521" t="s">
        <v>1117</v>
      </c>
      <c r="B61" s="422"/>
      <c r="C61" s="444">
        <v>650</v>
      </c>
      <c r="D61" s="277" t="s">
        <v>1125</v>
      </c>
      <c r="E61" s="346"/>
      <c r="F61" s="346"/>
      <c r="G61" s="346"/>
      <c r="H61" s="522">
        <v>650</v>
      </c>
      <c r="I61" s="2"/>
    </row>
    <row r="62" spans="1:9">
      <c r="A62" s="521" t="s">
        <v>1118</v>
      </c>
      <c r="B62" s="422"/>
      <c r="C62" s="444">
        <v>800</v>
      </c>
      <c r="D62" s="277" t="s">
        <v>685</v>
      </c>
      <c r="E62" s="346"/>
      <c r="F62" s="346">
        <v>800</v>
      </c>
      <c r="G62" s="346">
        <v>800</v>
      </c>
      <c r="H62" s="522"/>
      <c r="I62" s="2"/>
    </row>
    <row r="63" spans="1:9">
      <c r="A63" s="521" t="s">
        <v>1119</v>
      </c>
      <c r="B63" s="422"/>
      <c r="C63" s="444">
        <v>1350</v>
      </c>
      <c r="D63" s="277" t="s">
        <v>1125</v>
      </c>
      <c r="E63" s="346"/>
      <c r="F63" s="346"/>
      <c r="G63" s="346"/>
      <c r="H63" s="522">
        <v>1350</v>
      </c>
      <c r="I63" s="2"/>
    </row>
    <row r="64" spans="1:9">
      <c r="A64" s="521" t="s">
        <v>1120</v>
      </c>
      <c r="B64" s="422"/>
      <c r="C64" s="444">
        <v>400</v>
      </c>
      <c r="D64" s="277" t="s">
        <v>685</v>
      </c>
      <c r="E64" s="346"/>
      <c r="F64" s="346">
        <v>400</v>
      </c>
      <c r="G64" s="346">
        <v>400</v>
      </c>
      <c r="H64" s="522"/>
      <c r="I64" s="2"/>
    </row>
    <row r="65" spans="1:9">
      <c r="A65" s="521" t="s">
        <v>1126</v>
      </c>
      <c r="B65" s="422"/>
      <c r="C65" s="444">
        <v>500</v>
      </c>
      <c r="D65" s="277" t="s">
        <v>1125</v>
      </c>
      <c r="E65" s="346"/>
      <c r="F65" s="346"/>
      <c r="G65" s="346"/>
      <c r="H65" s="522">
        <v>500</v>
      </c>
      <c r="I65" s="2"/>
    </row>
    <row r="66" spans="1:9" ht="15.75" thickBot="1">
      <c r="A66" s="525" t="s">
        <v>1121</v>
      </c>
      <c r="B66" s="446"/>
      <c r="C66" s="449">
        <v>1900</v>
      </c>
      <c r="D66" s="448" t="s">
        <v>685</v>
      </c>
      <c r="E66" s="449"/>
      <c r="F66" s="449">
        <v>1900</v>
      </c>
      <c r="G66" s="449">
        <v>1900</v>
      </c>
      <c r="H66" s="524"/>
    </row>
    <row r="67" spans="1:9" s="439" customFormat="1" ht="15.75" thickBot="1">
      <c r="A67" s="72"/>
      <c r="B67" s="450" t="s">
        <v>1130</v>
      </c>
      <c r="C67" s="451">
        <f>SUM(C51:C66)</f>
        <v>86900</v>
      </c>
      <c r="D67" s="452"/>
      <c r="E67" s="451">
        <f>SUM(E51:E66)</f>
        <v>35500</v>
      </c>
      <c r="F67" s="451">
        <f>SUM(F51:F66)</f>
        <v>51150</v>
      </c>
      <c r="G67" s="451">
        <f>SUM(G51:G66)</f>
        <v>71150</v>
      </c>
      <c r="H67" s="451">
        <f>SUM(H51:H66)</f>
        <v>15750</v>
      </c>
    </row>
    <row r="68" spans="1:9" ht="15.75" thickTop="1"/>
    <row r="69" spans="1:9" ht="15" customHeight="1">
      <c r="A69" s="439"/>
      <c r="B69" s="924" t="s">
        <v>1104</v>
      </c>
      <c r="C69" s="922" t="s">
        <v>1127</v>
      </c>
      <c r="D69" s="923"/>
      <c r="F69" s="926" t="s">
        <v>1105</v>
      </c>
      <c r="G69" s="922" t="s">
        <v>1128</v>
      </c>
      <c r="H69" s="923"/>
    </row>
    <row r="70" spans="1:9">
      <c r="A70" s="439"/>
      <c r="B70" s="925"/>
      <c r="C70" s="922" t="s">
        <v>1128</v>
      </c>
      <c r="D70" s="923"/>
      <c r="F70" s="926"/>
      <c r="G70" s="922" t="s">
        <v>1129</v>
      </c>
      <c r="H70" s="923"/>
    </row>
    <row r="71" spans="1:9" s="440" customFormat="1">
      <c r="B71" s="478"/>
      <c r="C71" s="479"/>
      <c r="D71" s="479"/>
      <c r="F71" s="478"/>
      <c r="G71" s="479"/>
      <c r="H71" s="479"/>
    </row>
    <row r="72" spans="1:9" s="440" customFormat="1" ht="15.75" thickBot="1">
      <c r="A72" s="146" t="s">
        <v>2133</v>
      </c>
      <c r="B72" s="478"/>
      <c r="C72" s="479"/>
      <c r="D72" s="479"/>
      <c r="F72" s="478"/>
      <c r="G72" s="479"/>
      <c r="H72" s="479"/>
    </row>
    <row r="73" spans="1:9" s="440" customFormat="1" ht="26.25" thickBot="1">
      <c r="A73" s="920" t="s">
        <v>464</v>
      </c>
      <c r="B73" s="921"/>
      <c r="C73" s="504" t="s">
        <v>1241</v>
      </c>
      <c r="D73" s="504" t="s">
        <v>1103</v>
      </c>
      <c r="E73" s="504" t="s">
        <v>1104</v>
      </c>
      <c r="F73" s="504" t="s">
        <v>1105</v>
      </c>
      <c r="G73" s="504" t="s">
        <v>1106</v>
      </c>
      <c r="H73" s="505" t="s">
        <v>1107</v>
      </c>
    </row>
    <row r="74" spans="1:9" s="440" customFormat="1">
      <c r="A74" s="515" t="s">
        <v>1242</v>
      </c>
      <c r="B74" s="516"/>
      <c r="C74" s="517">
        <v>250000</v>
      </c>
      <c r="D74" s="518" t="s">
        <v>1122</v>
      </c>
      <c r="E74" s="519">
        <f>C74</f>
        <v>250000</v>
      </c>
      <c r="F74" s="519"/>
      <c r="G74" s="519">
        <f t="shared" ref="G74:G84" si="1">C74</f>
        <v>250000</v>
      </c>
      <c r="H74" s="520"/>
    </row>
    <row r="75" spans="1:9" s="440" customFormat="1">
      <c r="A75" s="521" t="s">
        <v>1243</v>
      </c>
      <c r="B75" s="422"/>
      <c r="C75" s="444">
        <v>175000</v>
      </c>
      <c r="D75" s="277" t="s">
        <v>1122</v>
      </c>
      <c r="E75" s="346">
        <f>C75</f>
        <v>175000</v>
      </c>
      <c r="F75" s="346"/>
      <c r="G75" s="346">
        <f t="shared" si="1"/>
        <v>175000</v>
      </c>
      <c r="H75" s="522"/>
    </row>
    <row r="76" spans="1:9" s="440" customFormat="1">
      <c r="A76" s="521" t="s">
        <v>1244</v>
      </c>
      <c r="B76" s="422"/>
      <c r="C76" s="444">
        <v>450</v>
      </c>
      <c r="D76" s="277" t="s">
        <v>1123</v>
      </c>
      <c r="E76" s="346"/>
      <c r="F76" s="346">
        <f t="shared" ref="F76:F84" si="2">C76</f>
        <v>450</v>
      </c>
      <c r="G76" s="346">
        <f t="shared" si="1"/>
        <v>450</v>
      </c>
      <c r="H76" s="522"/>
    </row>
    <row r="77" spans="1:9" s="440" customFormat="1" ht="15.75" thickBot="1">
      <c r="A77" s="523" t="s">
        <v>1245</v>
      </c>
      <c r="B77" s="446"/>
      <c r="C77" s="447">
        <v>800</v>
      </c>
      <c r="D77" s="448" t="s">
        <v>1123</v>
      </c>
      <c r="E77" s="449"/>
      <c r="F77" s="449">
        <f>C77</f>
        <v>800</v>
      </c>
      <c r="G77" s="449">
        <f t="shared" si="1"/>
        <v>800</v>
      </c>
      <c r="H77" s="524"/>
    </row>
    <row r="78" spans="1:9" s="440" customFormat="1">
      <c r="A78" s="515" t="s">
        <v>1246</v>
      </c>
      <c r="B78" s="516"/>
      <c r="C78" s="517">
        <v>150000</v>
      </c>
      <c r="D78" s="518" t="s">
        <v>681</v>
      </c>
      <c r="E78" s="519">
        <f>C78</f>
        <v>150000</v>
      </c>
      <c r="F78" s="519">
        <f t="shared" si="2"/>
        <v>150000</v>
      </c>
      <c r="G78" s="519">
        <f t="shared" si="1"/>
        <v>150000</v>
      </c>
      <c r="H78" s="520"/>
    </row>
    <row r="79" spans="1:9" s="440" customFormat="1">
      <c r="A79" s="521" t="s">
        <v>1247</v>
      </c>
      <c r="B79" s="422"/>
      <c r="C79" s="444">
        <v>130000</v>
      </c>
      <c r="D79" s="277" t="s">
        <v>681</v>
      </c>
      <c r="E79" s="346">
        <f>C79</f>
        <v>130000</v>
      </c>
      <c r="F79" s="346">
        <f t="shared" si="2"/>
        <v>130000</v>
      </c>
      <c r="G79" s="346">
        <f t="shared" si="1"/>
        <v>130000</v>
      </c>
      <c r="H79" s="522"/>
    </row>
    <row r="80" spans="1:9" s="440" customFormat="1">
      <c r="A80" s="521" t="s">
        <v>1248</v>
      </c>
      <c r="B80" s="422"/>
      <c r="C80" s="444">
        <v>90000</v>
      </c>
      <c r="D80" s="277" t="s">
        <v>681</v>
      </c>
      <c r="E80" s="346">
        <f>C80</f>
        <v>90000</v>
      </c>
      <c r="F80" s="346">
        <f t="shared" si="2"/>
        <v>90000</v>
      </c>
      <c r="G80" s="346">
        <f t="shared" si="1"/>
        <v>90000</v>
      </c>
      <c r="H80" s="522"/>
    </row>
    <row r="81" spans="1:8" s="440" customFormat="1">
      <c r="A81" s="521" t="s">
        <v>1249</v>
      </c>
      <c r="B81" s="422"/>
      <c r="C81" s="444">
        <v>32000</v>
      </c>
      <c r="D81" s="277" t="s">
        <v>1124</v>
      </c>
      <c r="E81" s="346"/>
      <c r="F81" s="346">
        <f t="shared" si="2"/>
        <v>32000</v>
      </c>
      <c r="G81" s="346">
        <f t="shared" si="1"/>
        <v>32000</v>
      </c>
      <c r="H81" s="522"/>
    </row>
    <row r="82" spans="1:8" s="440" customFormat="1" ht="15.75" thickBot="1">
      <c r="A82" s="523" t="s">
        <v>1250</v>
      </c>
      <c r="B82" s="446"/>
      <c r="C82" s="447">
        <v>20000</v>
      </c>
      <c r="D82" s="448" t="s">
        <v>1124</v>
      </c>
      <c r="E82" s="449"/>
      <c r="F82" s="449">
        <f t="shared" si="2"/>
        <v>20000</v>
      </c>
      <c r="G82" s="449">
        <f t="shared" si="1"/>
        <v>20000</v>
      </c>
      <c r="H82" s="524"/>
    </row>
    <row r="83" spans="1:8" s="440" customFormat="1">
      <c r="A83" s="515" t="s">
        <v>1116</v>
      </c>
      <c r="B83" s="516"/>
      <c r="C83" s="517">
        <v>35000</v>
      </c>
      <c r="D83" s="518" t="s">
        <v>685</v>
      </c>
      <c r="E83" s="519"/>
      <c r="F83" s="519">
        <f t="shared" si="2"/>
        <v>35000</v>
      </c>
      <c r="G83" s="519">
        <f t="shared" si="1"/>
        <v>35000</v>
      </c>
      <c r="H83" s="520"/>
    </row>
    <row r="84" spans="1:8" s="440" customFormat="1">
      <c r="A84" s="521" t="s">
        <v>1251</v>
      </c>
      <c r="B84" s="422"/>
      <c r="C84" s="444">
        <v>6000</v>
      </c>
      <c r="D84" s="277" t="s">
        <v>685</v>
      </c>
      <c r="E84" s="346"/>
      <c r="F84" s="346">
        <f t="shared" si="2"/>
        <v>6000</v>
      </c>
      <c r="G84" s="346">
        <f t="shared" si="1"/>
        <v>6000</v>
      </c>
      <c r="H84" s="522"/>
    </row>
    <row r="85" spans="1:8" s="440" customFormat="1">
      <c r="A85" s="521" t="s">
        <v>1253</v>
      </c>
      <c r="B85" s="422"/>
      <c r="C85" s="444">
        <v>2000</v>
      </c>
      <c r="D85" s="277" t="s">
        <v>1125</v>
      </c>
      <c r="E85" s="346"/>
      <c r="F85" s="346"/>
      <c r="G85" s="346"/>
      <c r="H85" s="522">
        <f>C85</f>
        <v>2000</v>
      </c>
    </row>
    <row r="86" spans="1:8" s="440" customFormat="1">
      <c r="A86" s="521" t="s">
        <v>1252</v>
      </c>
      <c r="B86" s="422"/>
      <c r="C86" s="444">
        <v>7500</v>
      </c>
      <c r="D86" s="277" t="s">
        <v>1125</v>
      </c>
      <c r="E86" s="346"/>
      <c r="F86" s="346"/>
      <c r="G86" s="346"/>
      <c r="H86" s="522">
        <f>C86</f>
        <v>7500</v>
      </c>
    </row>
    <row r="87" spans="1:8" s="440" customFormat="1">
      <c r="A87" s="521" t="s">
        <v>1254</v>
      </c>
      <c r="B87" s="422"/>
      <c r="C87" s="444">
        <v>700</v>
      </c>
      <c r="D87" s="277" t="s">
        <v>1125</v>
      </c>
      <c r="E87" s="346"/>
      <c r="F87" s="346"/>
      <c r="G87" s="346"/>
      <c r="H87" s="522">
        <f>C87</f>
        <v>700</v>
      </c>
    </row>
    <row r="88" spans="1:8" s="440" customFormat="1" ht="15.75" thickBot="1">
      <c r="A88" s="523" t="s">
        <v>1255</v>
      </c>
      <c r="B88" s="446"/>
      <c r="C88" s="447">
        <v>12000</v>
      </c>
      <c r="D88" s="448" t="s">
        <v>685</v>
      </c>
      <c r="E88" s="449"/>
      <c r="F88" s="449">
        <f>C88</f>
        <v>12000</v>
      </c>
      <c r="G88" s="449">
        <f>C88</f>
        <v>12000</v>
      </c>
      <c r="H88" s="524"/>
    </row>
    <row r="89" spans="1:8" s="440" customFormat="1" ht="15.75" thickBot="1">
      <c r="A89" s="72"/>
      <c r="B89" s="450" t="s">
        <v>1130</v>
      </c>
      <c r="C89" s="451">
        <f>SUM(C74:C88)</f>
        <v>911450</v>
      </c>
      <c r="D89" s="452"/>
      <c r="E89" s="451">
        <f>SUM(E74:E88)</f>
        <v>795000</v>
      </c>
      <c r="F89" s="451">
        <f>SUM(F74:F88)</f>
        <v>476250</v>
      </c>
      <c r="G89" s="451">
        <f>SUM(G74:G88)</f>
        <v>901250</v>
      </c>
      <c r="H89" s="451">
        <f>SUM(H74:H88)</f>
        <v>10200</v>
      </c>
    </row>
    <row r="90" spans="1:8" s="440" customFormat="1" ht="15.75" thickTop="1">
      <c r="B90" s="478"/>
      <c r="C90" s="479"/>
      <c r="D90" s="479"/>
      <c r="F90" s="478"/>
      <c r="G90" s="479"/>
      <c r="H90" s="479"/>
    </row>
    <row r="91" spans="1:8" s="440" customFormat="1" ht="15" customHeight="1">
      <c r="B91" s="924" t="s">
        <v>1104</v>
      </c>
      <c r="C91" s="922" t="s">
        <v>1127</v>
      </c>
      <c r="D91" s="923"/>
      <c r="F91" s="926" t="s">
        <v>1105</v>
      </c>
      <c r="G91" s="922" t="s">
        <v>1128</v>
      </c>
      <c r="H91" s="923"/>
    </row>
    <row r="92" spans="1:8" s="440" customFormat="1">
      <c r="B92" s="925"/>
      <c r="C92" s="922" t="s">
        <v>1128</v>
      </c>
      <c r="D92" s="923"/>
      <c r="F92" s="926"/>
      <c r="G92" s="922" t="s">
        <v>1129</v>
      </c>
      <c r="H92" s="923"/>
    </row>
    <row r="93" spans="1:8" s="440" customFormat="1">
      <c r="B93" s="478"/>
      <c r="C93" s="479"/>
      <c r="D93" s="479"/>
      <c r="F93" s="478"/>
      <c r="G93" s="479"/>
      <c r="H93" s="479"/>
    </row>
    <row r="94" spans="1:8">
      <c r="A94" s="146" t="s">
        <v>2171</v>
      </c>
      <c r="B94" s="284"/>
    </row>
    <row r="95" spans="1:8">
      <c r="A95" s="397" t="s">
        <v>1131</v>
      </c>
      <c r="B95" s="284"/>
    </row>
    <row r="96" spans="1:8">
      <c r="A96" s="397" t="s">
        <v>1132</v>
      </c>
    </row>
    <row r="97" spans="1:1">
      <c r="A97" s="397" t="s">
        <v>1133</v>
      </c>
    </row>
    <row r="98" spans="1:1">
      <c r="A98" s="397" t="s">
        <v>1134</v>
      </c>
    </row>
    <row r="99" spans="1:1">
      <c r="A99" s="397" t="s">
        <v>1135</v>
      </c>
    </row>
    <row r="100" spans="1:1">
      <c r="A100" s="397" t="s">
        <v>1136</v>
      </c>
    </row>
    <row r="101" spans="1:1">
      <c r="A101" s="397" t="s">
        <v>1137</v>
      </c>
    </row>
    <row r="102" spans="1:1">
      <c r="A102" s="397" t="s">
        <v>1138</v>
      </c>
    </row>
    <row r="103" spans="1:1">
      <c r="A103" s="397" t="s">
        <v>1139</v>
      </c>
    </row>
    <row r="104" spans="1:1">
      <c r="A104" s="397" t="s">
        <v>1140</v>
      </c>
    </row>
    <row r="106" spans="1:1" s="832" customFormat="1">
      <c r="A106" s="146" t="s">
        <v>2170</v>
      </c>
    </row>
    <row r="107" spans="1:1" s="832" customFormat="1">
      <c r="A107" s="397" t="s">
        <v>2119</v>
      </c>
    </row>
    <row r="108" spans="1:1" s="832" customFormat="1">
      <c r="A108" s="397" t="s">
        <v>2120</v>
      </c>
    </row>
    <row r="109" spans="1:1" s="832" customFormat="1">
      <c r="A109" s="397" t="s">
        <v>2121</v>
      </c>
    </row>
    <row r="110" spans="1:1" s="832" customFormat="1">
      <c r="A110" s="397" t="s">
        <v>2122</v>
      </c>
    </row>
    <row r="111" spans="1:1" s="832" customFormat="1">
      <c r="A111" s="397" t="s">
        <v>2123</v>
      </c>
    </row>
    <row r="112" spans="1:1" s="832" customFormat="1">
      <c r="A112" s="397" t="s">
        <v>2124</v>
      </c>
    </row>
    <row r="113" spans="1:7" s="832" customFormat="1">
      <c r="A113" s="397" t="s">
        <v>2125</v>
      </c>
    </row>
    <row r="114" spans="1:7" s="832" customFormat="1">
      <c r="A114" s="397" t="s">
        <v>2126</v>
      </c>
    </row>
    <row r="115" spans="1:7" s="832" customFormat="1">
      <c r="A115" s="397" t="s">
        <v>2127</v>
      </c>
    </row>
    <row r="116" spans="1:7" s="832" customFormat="1">
      <c r="A116" s="397" t="s">
        <v>2130</v>
      </c>
    </row>
    <row r="117" spans="1:7" s="832" customFormat="1">
      <c r="A117" s="397" t="s">
        <v>2128</v>
      </c>
    </row>
    <row r="118" spans="1:7" s="832" customFormat="1">
      <c r="A118" s="397" t="s">
        <v>2129</v>
      </c>
    </row>
    <row r="119" spans="1:7" s="832" customFormat="1"/>
    <row r="120" spans="1:7">
      <c r="A120" s="453" t="s">
        <v>2134</v>
      </c>
    </row>
    <row r="121" spans="1:7" s="439" customFormat="1">
      <c r="A121" s="455" t="s">
        <v>1151</v>
      </c>
      <c r="D121" s="149" t="s">
        <v>1152</v>
      </c>
    </row>
    <row r="122" spans="1:7">
      <c r="A122" s="2" t="s">
        <v>1141</v>
      </c>
      <c r="B122" s="43">
        <v>3000</v>
      </c>
      <c r="D122" s="2" t="s">
        <v>617</v>
      </c>
      <c r="E122" s="2"/>
      <c r="F122" s="2"/>
      <c r="G122" s="43">
        <v>150000</v>
      </c>
    </row>
    <row r="123" spans="1:7">
      <c r="A123" s="2" t="s">
        <v>1142</v>
      </c>
      <c r="B123" s="43">
        <v>22000</v>
      </c>
      <c r="D123" s="2" t="s">
        <v>1153</v>
      </c>
      <c r="E123" s="2"/>
      <c r="F123" s="2"/>
      <c r="G123" s="43">
        <f>-B134</f>
        <v>-85000</v>
      </c>
    </row>
    <row r="124" spans="1:7">
      <c r="A124" s="2" t="s">
        <v>1143</v>
      </c>
      <c r="B124" s="43">
        <v>-2000</v>
      </c>
      <c r="D124" s="1" t="s">
        <v>621</v>
      </c>
      <c r="E124" s="2"/>
      <c r="F124" s="2"/>
      <c r="G124" s="43">
        <f>G122+G123</f>
        <v>65000</v>
      </c>
    </row>
    <row r="125" spans="1:7" ht="15.75" thickBot="1">
      <c r="A125" s="1" t="s">
        <v>1146</v>
      </c>
      <c r="B125" s="457">
        <f>B122+B123+B124</f>
        <v>23000</v>
      </c>
      <c r="D125" s="2" t="s">
        <v>1154</v>
      </c>
      <c r="E125" s="2"/>
      <c r="F125" s="2"/>
      <c r="G125" s="43">
        <v>-15000</v>
      </c>
    </row>
    <row r="126" spans="1:7">
      <c r="A126" s="2" t="s">
        <v>1144</v>
      </c>
      <c r="B126" s="43">
        <v>18000</v>
      </c>
      <c r="D126" s="2" t="s">
        <v>1155</v>
      </c>
      <c r="E126" s="2"/>
      <c r="F126" s="2"/>
      <c r="G126" s="43">
        <v>-10000</v>
      </c>
    </row>
    <row r="127" spans="1:7">
      <c r="A127" s="2" t="s">
        <v>1145</v>
      </c>
      <c r="B127" s="43">
        <v>41500</v>
      </c>
      <c r="D127" s="2" t="s">
        <v>1156</v>
      </c>
      <c r="E127" s="2"/>
      <c r="F127" s="2"/>
      <c r="G127" s="43">
        <v>-10000</v>
      </c>
    </row>
    <row r="128" spans="1:7" ht="15.75" thickBot="1">
      <c r="A128" s="1" t="s">
        <v>1159</v>
      </c>
      <c r="B128" s="458">
        <f>B125+B126+B127</f>
        <v>82500</v>
      </c>
      <c r="D128" s="454" t="s">
        <v>628</v>
      </c>
      <c r="E128" s="456"/>
      <c r="F128" s="456"/>
      <c r="G128" s="458">
        <f>G124+G125+G126+G127</f>
        <v>30000</v>
      </c>
    </row>
    <row r="129" spans="1:6">
      <c r="A129" s="2" t="s">
        <v>1147</v>
      </c>
      <c r="B129" s="459">
        <v>14000</v>
      </c>
      <c r="D129" s="2"/>
      <c r="E129" s="2"/>
      <c r="F129" s="2"/>
    </row>
    <row r="130" spans="1:6">
      <c r="A130" s="2" t="s">
        <v>1148</v>
      </c>
      <c r="B130" s="43">
        <v>-13500</v>
      </c>
      <c r="D130" s="2"/>
      <c r="E130" s="2"/>
      <c r="F130" s="2"/>
    </row>
    <row r="131" spans="1:6" ht="15.75" thickBot="1">
      <c r="A131" s="1" t="s">
        <v>1149</v>
      </c>
      <c r="B131" s="457">
        <f>B128+B129+B130</f>
        <v>83000</v>
      </c>
      <c r="D131" s="2"/>
      <c r="E131" s="2"/>
      <c r="F131" s="2"/>
    </row>
    <row r="132" spans="1:6">
      <c r="A132" s="2" t="s">
        <v>1160</v>
      </c>
      <c r="B132" s="460">
        <v>6000</v>
      </c>
      <c r="D132" s="2"/>
      <c r="E132" s="2"/>
      <c r="F132" s="2"/>
    </row>
    <row r="133" spans="1:6">
      <c r="A133" s="2" t="s">
        <v>1161</v>
      </c>
      <c r="B133" s="460">
        <v>-4000</v>
      </c>
      <c r="D133" s="2"/>
      <c r="E133" s="2"/>
      <c r="F133" s="2"/>
    </row>
    <row r="134" spans="1:6" ht="15.75" thickBot="1">
      <c r="A134" s="1" t="s">
        <v>619</v>
      </c>
      <c r="B134" s="457">
        <f>B131+B132+B133</f>
        <v>85000</v>
      </c>
      <c r="D134" s="2"/>
      <c r="E134" s="2"/>
      <c r="F134" s="2"/>
    </row>
    <row r="136" spans="1:6" s="832" customFormat="1">
      <c r="A136" s="453" t="s">
        <v>2135</v>
      </c>
    </row>
    <row r="137" spans="1:6" s="832" customFormat="1">
      <c r="A137" s="2" t="s">
        <v>2137</v>
      </c>
      <c r="B137" s="831"/>
      <c r="C137" s="831"/>
      <c r="D137" s="831"/>
    </row>
    <row r="138" spans="1:6" s="832" customFormat="1">
      <c r="A138" s="2" t="s">
        <v>2138</v>
      </c>
      <c r="B138" s="831"/>
      <c r="C138" s="831"/>
      <c r="D138" s="831"/>
    </row>
    <row r="139" spans="1:6" s="832" customFormat="1">
      <c r="A139" s="2"/>
      <c r="B139" s="2"/>
      <c r="C139" s="831"/>
      <c r="D139" s="831"/>
    </row>
    <row r="140" spans="1:6" s="832" customFormat="1">
      <c r="A140" s="2" t="s">
        <v>2136</v>
      </c>
      <c r="B140" s="2"/>
      <c r="C140" s="831"/>
      <c r="D140" s="831"/>
    </row>
    <row r="141" spans="1:6" s="832" customFormat="1">
      <c r="A141" s="2" t="s">
        <v>2139</v>
      </c>
      <c r="B141" s="2"/>
      <c r="C141" s="831"/>
      <c r="D141" s="831"/>
    </row>
    <row r="142" spans="1:6" s="832" customFormat="1">
      <c r="A142" s="2"/>
      <c r="B142" s="2"/>
      <c r="C142" s="831"/>
      <c r="D142" s="831"/>
    </row>
    <row r="143" spans="1:6" s="832" customFormat="1">
      <c r="A143" s="2" t="s">
        <v>2140</v>
      </c>
      <c r="B143" s="2"/>
      <c r="C143" s="831"/>
      <c r="D143" s="831"/>
    </row>
    <row r="144" spans="1:6" s="832" customFormat="1">
      <c r="A144" s="2" t="s">
        <v>2141</v>
      </c>
      <c r="B144" s="2"/>
      <c r="C144" s="831"/>
      <c r="D144" s="831"/>
    </row>
    <row r="145" spans="1:4" s="832" customFormat="1">
      <c r="A145" s="2"/>
      <c r="B145" s="2"/>
      <c r="C145" s="831"/>
      <c r="D145" s="831"/>
    </row>
    <row r="146" spans="1:4" s="832" customFormat="1">
      <c r="A146" s="2" t="s">
        <v>2142</v>
      </c>
      <c r="B146" s="2"/>
      <c r="C146" s="831"/>
      <c r="D146" s="831"/>
    </row>
    <row r="147" spans="1:4" s="832" customFormat="1">
      <c r="A147" s="2" t="s">
        <v>2143</v>
      </c>
      <c r="B147" s="2"/>
      <c r="C147" s="831"/>
      <c r="D147" s="831"/>
    </row>
    <row r="148" spans="1:4" s="832" customFormat="1">
      <c r="A148" s="2"/>
      <c r="B148" s="2"/>
      <c r="C148" s="831"/>
      <c r="D148" s="831"/>
    </row>
    <row r="149" spans="1:4" s="832" customFormat="1">
      <c r="A149" s="18" t="s">
        <v>617</v>
      </c>
      <c r="B149" s="17">
        <v>200000</v>
      </c>
      <c r="C149" s="17"/>
      <c r="D149" s="17" t="s">
        <v>2144</v>
      </c>
    </row>
    <row r="150" spans="1:4" s="832" customFormat="1">
      <c r="A150" s="858" t="s">
        <v>1682</v>
      </c>
      <c r="B150" s="20">
        <v>140000</v>
      </c>
      <c r="C150" s="17"/>
      <c r="D150" s="17" t="s">
        <v>2150</v>
      </c>
    </row>
    <row r="151" spans="1:4" s="832" customFormat="1">
      <c r="A151" s="18" t="s">
        <v>2149</v>
      </c>
      <c r="B151" s="17">
        <v>60000</v>
      </c>
      <c r="C151" s="831"/>
      <c r="D151" s="17" t="s">
        <v>2151</v>
      </c>
    </row>
    <row r="152" spans="1:4" s="832" customFormat="1">
      <c r="A152" s="18" t="s">
        <v>2145</v>
      </c>
      <c r="B152" s="17">
        <v>24000</v>
      </c>
      <c r="C152" s="831"/>
      <c r="D152" s="17" t="s">
        <v>2152</v>
      </c>
    </row>
    <row r="153" spans="1:4" s="832" customFormat="1" ht="15.75" thickBot="1">
      <c r="A153" s="18" t="s">
        <v>2146</v>
      </c>
      <c r="B153" s="17">
        <v>6000</v>
      </c>
      <c r="C153" s="831"/>
      <c r="D153" s="17" t="s">
        <v>2153</v>
      </c>
    </row>
    <row r="154" spans="1:4" s="832" customFormat="1" ht="15.75" thickBot="1">
      <c r="A154" s="858" t="s">
        <v>2147</v>
      </c>
      <c r="B154" s="20">
        <v>10000</v>
      </c>
      <c r="C154" s="831"/>
      <c r="D154" s="859" t="s">
        <v>2154</v>
      </c>
    </row>
    <row r="155" spans="1:4" s="832" customFormat="1" ht="15.75" thickBot="1">
      <c r="A155" s="64" t="s">
        <v>2148</v>
      </c>
      <c r="B155" s="426">
        <v>20000</v>
      </c>
      <c r="C155" s="831"/>
      <c r="D155" s="17"/>
    </row>
    <row r="156" spans="1:4" s="832" customFormat="1" ht="15.75" thickTop="1">
      <c r="A156" s="368"/>
      <c r="B156" s="368"/>
    </row>
    <row r="157" spans="1:4" s="440" customFormat="1">
      <c r="A157" s="453" t="s">
        <v>2155</v>
      </c>
    </row>
    <row r="158" spans="1:4" s="466" customFormat="1">
      <c r="A158" s="455" t="s">
        <v>1162</v>
      </c>
    </row>
    <row r="159" spans="1:4" s="440" customFormat="1">
      <c r="A159" s="2" t="s">
        <v>1141</v>
      </c>
      <c r="B159" s="43">
        <v>28000</v>
      </c>
    </row>
    <row r="160" spans="1:4" s="440" customFormat="1">
      <c r="A160" s="2" t="s">
        <v>1142</v>
      </c>
      <c r="B160" s="43">
        <v>96000</v>
      </c>
    </row>
    <row r="161" spans="1:8" s="440" customFormat="1">
      <c r="A161" s="2" t="s">
        <v>1143</v>
      </c>
      <c r="B161" s="43">
        <v>-30000</v>
      </c>
    </row>
    <row r="162" spans="1:8" s="440" customFormat="1" ht="15.75" thickBot="1">
      <c r="A162" s="1" t="s">
        <v>1146</v>
      </c>
      <c r="B162" s="457">
        <f>B159+B160+B161</f>
        <v>94000</v>
      </c>
    </row>
    <row r="163" spans="1:8" s="440" customFormat="1">
      <c r="A163" s="2" t="s">
        <v>1144</v>
      </c>
      <c r="B163" s="43">
        <v>48000</v>
      </c>
      <c r="D163" s="927" t="s">
        <v>1289</v>
      </c>
      <c r="E163" s="927"/>
      <c r="F163" s="927"/>
      <c r="G163" s="927"/>
    </row>
    <row r="164" spans="1:8" s="440" customFormat="1">
      <c r="A164" s="2" t="s">
        <v>1145</v>
      </c>
      <c r="B164" s="43">
        <v>45000</v>
      </c>
      <c r="D164" s="2" t="s">
        <v>50</v>
      </c>
      <c r="E164" s="17">
        <v>1500</v>
      </c>
      <c r="F164" s="54">
        <f>G164/E164</f>
        <v>40</v>
      </c>
      <c r="G164" s="68">
        <f>B169</f>
        <v>60000</v>
      </c>
    </row>
    <row r="165" spans="1:8" s="440" customFormat="1" ht="15.75" thickBot="1">
      <c r="A165" s="1" t="s">
        <v>1159</v>
      </c>
      <c r="B165" s="458">
        <f>B162+B163+B164</f>
        <v>187000</v>
      </c>
      <c r="D165" s="2" t="s">
        <v>1290</v>
      </c>
      <c r="E165" s="17">
        <v>5000</v>
      </c>
      <c r="F165" s="54">
        <f>G165/E165</f>
        <v>34.200000000000003</v>
      </c>
      <c r="G165" s="68">
        <f>B168</f>
        <v>171000</v>
      </c>
    </row>
    <row r="166" spans="1:8" s="440" customFormat="1">
      <c r="A166" s="2" t="s">
        <v>1147</v>
      </c>
      <c r="B166" s="459">
        <v>36000</v>
      </c>
      <c r="D166" s="48" t="s">
        <v>1291</v>
      </c>
      <c r="E166" s="17">
        <f>E167-E165-E164</f>
        <v>-2500</v>
      </c>
      <c r="F166" s="531" t="s">
        <v>1293</v>
      </c>
      <c r="G166" s="68">
        <f>B170</f>
        <v>-94200</v>
      </c>
      <c r="H166" s="2" t="s">
        <v>1158</v>
      </c>
    </row>
    <row r="167" spans="1:8" s="440" customFormat="1" ht="15.75" thickBot="1">
      <c r="A167" s="2" t="s">
        <v>1148</v>
      </c>
      <c r="B167" s="43">
        <v>-52000</v>
      </c>
      <c r="D167" s="456" t="s">
        <v>1292</v>
      </c>
      <c r="E167" s="526">
        <v>4000</v>
      </c>
      <c r="F167" s="527">
        <f>F165</f>
        <v>34.200000000000003</v>
      </c>
      <c r="G167" s="528">
        <f>E167*F167</f>
        <v>136800</v>
      </c>
    </row>
    <row r="168" spans="1:8" s="440" customFormat="1" ht="15.75" thickBot="1">
      <c r="A168" s="1" t="s">
        <v>1149</v>
      </c>
      <c r="B168" s="458">
        <f>B165+B166+B167</f>
        <v>171000</v>
      </c>
      <c r="D168" s="14"/>
      <c r="E168" s="72"/>
      <c r="F168" s="529"/>
      <c r="G168" s="530"/>
    </row>
    <row r="169" spans="1:8" s="440" customFormat="1">
      <c r="A169" s="2" t="s">
        <v>1160</v>
      </c>
      <c r="B169" s="460">
        <v>60000</v>
      </c>
      <c r="D169" s="463" t="s">
        <v>1293</v>
      </c>
      <c r="E169" s="2">
        <v>1000</v>
      </c>
      <c r="F169" s="54">
        <f>F165</f>
        <v>34.200000000000003</v>
      </c>
      <c r="G169" s="54">
        <f>E169*F169</f>
        <v>34200</v>
      </c>
    </row>
    <row r="170" spans="1:8" s="440" customFormat="1">
      <c r="A170" s="2" t="s">
        <v>1161</v>
      </c>
      <c r="B170" s="460">
        <v>-94200</v>
      </c>
      <c r="E170" s="17">
        <f>E164</f>
        <v>1500</v>
      </c>
      <c r="F170" s="54">
        <f>F164</f>
        <v>40</v>
      </c>
      <c r="G170" s="54">
        <f>E170*F170</f>
        <v>60000</v>
      </c>
    </row>
    <row r="171" spans="1:8" s="440" customFormat="1" ht="15.75" thickBot="1">
      <c r="A171" s="1" t="s">
        <v>1150</v>
      </c>
      <c r="B171" s="458">
        <f>B168+B169+B170</f>
        <v>136800</v>
      </c>
      <c r="D171" s="456" t="s">
        <v>2045</v>
      </c>
      <c r="E171" s="532"/>
      <c r="F171" s="532"/>
      <c r="G171" s="527">
        <f>G169+G170</f>
        <v>94200</v>
      </c>
    </row>
    <row r="172" spans="1:8" s="466" customFormat="1">
      <c r="A172" s="1"/>
      <c r="B172" s="459"/>
    </row>
    <row r="173" spans="1:8" s="440" customFormat="1">
      <c r="A173" s="149" t="s">
        <v>2044</v>
      </c>
    </row>
    <row r="174" spans="1:8" s="440" customFormat="1" ht="15.75" thickBot="1">
      <c r="A174" s="455"/>
    </row>
    <row r="175" spans="1:8" s="466" customFormat="1" ht="15.75" thickBot="1">
      <c r="A175" s="467" t="s">
        <v>1163</v>
      </c>
      <c r="B175" s="445" t="s">
        <v>1164</v>
      </c>
      <c r="C175" s="462">
        <f>B168</f>
        <v>171000</v>
      </c>
      <c r="D175" s="445" t="s">
        <v>1164</v>
      </c>
      <c r="E175" s="533">
        <f>C175/C176</f>
        <v>34.200000000000003</v>
      </c>
    </row>
    <row r="176" spans="1:8" s="440" customFormat="1">
      <c r="A176" s="464" t="s">
        <v>1157</v>
      </c>
      <c r="B176" s="466"/>
      <c r="C176" s="461">
        <f>E165</f>
        <v>5000</v>
      </c>
      <c r="D176" s="466"/>
      <c r="E176" s="466"/>
    </row>
    <row r="177" spans="1:5" s="440" customFormat="1"/>
    <row r="178" spans="1:5" s="440" customFormat="1">
      <c r="A178" s="149" t="s">
        <v>1296</v>
      </c>
    </row>
    <row r="179" spans="1:5" s="440" customFormat="1" ht="15.75" thickBot="1"/>
    <row r="180" spans="1:5" s="440" customFormat="1" ht="15.75" thickBot="1">
      <c r="A180" s="467" t="s">
        <v>1294</v>
      </c>
      <c r="B180" s="445" t="s">
        <v>1164</v>
      </c>
      <c r="C180" s="462">
        <f>G167</f>
        <v>136800</v>
      </c>
      <c r="D180" s="445" t="s">
        <v>1164</v>
      </c>
      <c r="E180" s="533">
        <f>C180/C181</f>
        <v>34.200000000000003</v>
      </c>
    </row>
    <row r="181" spans="1:5" s="440" customFormat="1">
      <c r="A181" s="464" t="s">
        <v>1295</v>
      </c>
      <c r="C181" s="461">
        <f>E167</f>
        <v>4000</v>
      </c>
    </row>
    <row r="182" spans="1:5" s="440" customFormat="1"/>
    <row r="183" spans="1:5" s="440" customFormat="1">
      <c r="A183" s="149" t="s">
        <v>1297</v>
      </c>
      <c r="B183" s="466"/>
      <c r="C183" s="466"/>
      <c r="D183" s="466"/>
    </row>
    <row r="184" spans="1:5" s="440" customFormat="1">
      <c r="A184" s="2" t="s">
        <v>617</v>
      </c>
      <c r="B184" s="43">
        <f>200000</f>
        <v>200000</v>
      </c>
      <c r="C184" s="2"/>
    </row>
    <row r="185" spans="1:5" s="440" customFormat="1">
      <c r="A185" s="2" t="s">
        <v>1153</v>
      </c>
      <c r="B185" s="43">
        <f>-B171</f>
        <v>-136800</v>
      </c>
      <c r="C185" s="14"/>
    </row>
    <row r="186" spans="1:5" s="440" customFormat="1">
      <c r="A186" s="350" t="s">
        <v>621</v>
      </c>
      <c r="B186" s="535">
        <f>B184+B185</f>
        <v>63200</v>
      </c>
      <c r="C186" s="14"/>
    </row>
    <row r="187" spans="1:5" s="440" customFormat="1">
      <c r="A187" s="2" t="s">
        <v>1154</v>
      </c>
      <c r="B187" s="43">
        <f>-0.2*B184</f>
        <v>-40000</v>
      </c>
      <c r="C187" s="2"/>
    </row>
    <row r="188" spans="1:5" s="440" customFormat="1">
      <c r="A188" s="2" t="s">
        <v>1298</v>
      </c>
      <c r="B188" s="43">
        <f>-0.1*B184</f>
        <v>-20000</v>
      </c>
      <c r="C188" s="2"/>
    </row>
    <row r="189" spans="1:5" s="440" customFormat="1">
      <c r="A189" s="2" t="s">
        <v>1156</v>
      </c>
      <c r="B189" s="43">
        <f>-0.01*B184</f>
        <v>-2000</v>
      </c>
      <c r="C189" s="2"/>
    </row>
    <row r="190" spans="1:5" s="440" customFormat="1" ht="15.75" thickBot="1">
      <c r="A190" s="454" t="s">
        <v>628</v>
      </c>
      <c r="B190" s="458">
        <f>0.006*B184</f>
        <v>1200</v>
      </c>
      <c r="C190" s="14"/>
      <c r="E190" s="534"/>
    </row>
    <row r="191" spans="1:5" s="440" customFormat="1">
      <c r="C191" s="427"/>
    </row>
    <row r="192" spans="1:5" s="440" customFormat="1">
      <c r="A192" s="1" t="s">
        <v>2156</v>
      </c>
    </row>
    <row r="193" spans="1:4">
      <c r="A193" s="917" t="s">
        <v>434</v>
      </c>
      <c r="B193" s="918" t="s">
        <v>1165</v>
      </c>
      <c r="C193" s="918"/>
      <c r="D193" s="918"/>
    </row>
    <row r="194" spans="1:4">
      <c r="A194" s="917"/>
      <c r="B194" s="441" t="s">
        <v>1166</v>
      </c>
      <c r="C194" s="441" t="s">
        <v>1167</v>
      </c>
      <c r="D194" s="441" t="s">
        <v>1168</v>
      </c>
    </row>
    <row r="195" spans="1:4">
      <c r="A195" s="204" t="s">
        <v>1169</v>
      </c>
      <c r="B195" s="468" t="s">
        <v>1093</v>
      </c>
      <c r="C195" s="468"/>
      <c r="D195" s="468"/>
    </row>
    <row r="196" spans="1:4">
      <c r="A196" s="204" t="s">
        <v>1170</v>
      </c>
      <c r="B196" s="468" t="s">
        <v>1093</v>
      </c>
      <c r="C196" s="468"/>
      <c r="D196" s="468"/>
    </row>
    <row r="197" spans="1:4">
      <c r="A197" s="204" t="s">
        <v>1171</v>
      </c>
      <c r="B197" s="468" t="s">
        <v>1093</v>
      </c>
      <c r="C197" s="468"/>
      <c r="D197" s="468"/>
    </row>
    <row r="198" spans="1:4">
      <c r="A198" s="204" t="s">
        <v>435</v>
      </c>
      <c r="B198" s="468" t="s">
        <v>1093</v>
      </c>
      <c r="C198" s="468"/>
      <c r="D198" s="468"/>
    </row>
    <row r="199" spans="1:4">
      <c r="A199" s="204" t="s">
        <v>1172</v>
      </c>
      <c r="B199" s="468" t="s">
        <v>1093</v>
      </c>
      <c r="C199" s="468"/>
      <c r="D199" s="468"/>
    </row>
    <row r="200" spans="1:4">
      <c r="A200" s="204" t="s">
        <v>1550</v>
      </c>
      <c r="B200" s="468"/>
      <c r="C200" s="468"/>
      <c r="D200" s="468" t="s">
        <v>1093</v>
      </c>
    </row>
    <row r="201" spans="1:4">
      <c r="A201" s="204" t="s">
        <v>1549</v>
      </c>
      <c r="B201" s="468"/>
      <c r="C201" s="468" t="s">
        <v>1093</v>
      </c>
      <c r="D201" s="468"/>
    </row>
    <row r="202" spans="1:4">
      <c r="A202" s="204" t="s">
        <v>1173</v>
      </c>
      <c r="B202" s="468" t="s">
        <v>1093</v>
      </c>
      <c r="C202" s="468"/>
      <c r="D202" s="468"/>
    </row>
    <row r="203" spans="1:4">
      <c r="A203" s="204" t="s">
        <v>1174</v>
      </c>
      <c r="B203" s="468" t="s">
        <v>1093</v>
      </c>
      <c r="C203" s="468"/>
      <c r="D203" s="468"/>
    </row>
    <row r="204" spans="1:4">
      <c r="A204" s="204" t="s">
        <v>1551</v>
      </c>
      <c r="B204" s="468"/>
      <c r="C204" s="468" t="s">
        <v>1093</v>
      </c>
      <c r="D204" s="468"/>
    </row>
    <row r="205" spans="1:4">
      <c r="A205" s="204" t="s">
        <v>1101</v>
      </c>
      <c r="B205" s="468"/>
      <c r="C205" s="468"/>
      <c r="D205" s="468" t="s">
        <v>1093</v>
      </c>
    </row>
    <row r="206" spans="1:4">
      <c r="A206" s="204" t="s">
        <v>1175</v>
      </c>
      <c r="B206" s="468" t="s">
        <v>1093</v>
      </c>
      <c r="C206" s="468"/>
      <c r="D206" s="468"/>
    </row>
    <row r="207" spans="1:4">
      <c r="A207" s="204" t="s">
        <v>1176</v>
      </c>
      <c r="B207" s="468"/>
      <c r="C207" s="468"/>
      <c r="D207" s="468" t="s">
        <v>1093</v>
      </c>
    </row>
    <row r="208" spans="1:4">
      <c r="A208" s="204" t="s">
        <v>1177</v>
      </c>
      <c r="B208" s="468"/>
      <c r="C208" s="468" t="s">
        <v>1093</v>
      </c>
      <c r="D208" s="468"/>
    </row>
    <row r="209" spans="1:4">
      <c r="A209" s="2"/>
      <c r="B209" s="2"/>
      <c r="C209" s="2"/>
      <c r="D209" s="2"/>
    </row>
    <row r="210" spans="1:4">
      <c r="A210" s="2" t="s">
        <v>1178</v>
      </c>
      <c r="B210" s="2"/>
      <c r="C210" s="2"/>
      <c r="D210" s="2"/>
    </row>
    <row r="211" spans="1:4">
      <c r="A211" s="2" t="s">
        <v>678</v>
      </c>
      <c r="B211" s="2"/>
      <c r="C211" s="2"/>
      <c r="D211" s="2"/>
    </row>
    <row r="212" spans="1:4">
      <c r="A212" s="2" t="s">
        <v>1179</v>
      </c>
      <c r="B212" s="17">
        <v>250000</v>
      </c>
      <c r="C212" s="2"/>
      <c r="D212" s="2"/>
    </row>
    <row r="213" spans="1:4">
      <c r="A213" s="2" t="s">
        <v>1180</v>
      </c>
      <c r="B213" s="17">
        <v>590000</v>
      </c>
      <c r="C213" s="2"/>
      <c r="D213" s="2"/>
    </row>
    <row r="214" spans="1:4" ht="15.75" thickBot="1">
      <c r="A214" s="2" t="s">
        <v>1181</v>
      </c>
      <c r="B214" s="17">
        <v>-340000</v>
      </c>
      <c r="C214" s="2"/>
      <c r="D214" s="2"/>
    </row>
    <row r="215" spans="1:4" ht="15.75" thickBot="1">
      <c r="A215" s="15" t="s">
        <v>1182</v>
      </c>
      <c r="B215" s="469">
        <f>B212+B213+B214</f>
        <v>500000</v>
      </c>
      <c r="C215" s="2"/>
      <c r="D215" s="2"/>
    </row>
    <row r="216" spans="1:4">
      <c r="A216" s="2"/>
      <c r="B216" s="2"/>
      <c r="C216" s="2"/>
      <c r="D216" s="2"/>
    </row>
    <row r="217" spans="1:4">
      <c r="A217" s="2" t="s">
        <v>681</v>
      </c>
      <c r="B217" s="2"/>
      <c r="C217" s="2"/>
      <c r="D217" s="2"/>
    </row>
    <row r="218" spans="1:4">
      <c r="A218" s="2" t="s">
        <v>1170</v>
      </c>
      <c r="B218" s="17">
        <v>350000</v>
      </c>
      <c r="C218" s="2"/>
      <c r="D218" s="2"/>
    </row>
    <row r="219" spans="1:4" ht="15.75" thickBot="1">
      <c r="A219" s="2" t="s">
        <v>1183</v>
      </c>
      <c r="B219" s="17">
        <v>210000</v>
      </c>
      <c r="C219" s="2"/>
      <c r="D219" s="2"/>
    </row>
    <row r="220" spans="1:4" ht="15.75" thickBot="1">
      <c r="A220" s="15" t="s">
        <v>1184</v>
      </c>
      <c r="B220" s="469">
        <f>B218+B219</f>
        <v>560000</v>
      </c>
      <c r="C220" s="2"/>
      <c r="D220" s="2"/>
    </row>
    <row r="221" spans="1:4" ht="15.75" thickBot="1">
      <c r="A221" s="15" t="s">
        <v>1185</v>
      </c>
      <c r="B221" s="469">
        <f>B215+B220</f>
        <v>1060000</v>
      </c>
      <c r="C221" s="2"/>
      <c r="D221" s="2"/>
    </row>
    <row r="222" spans="1:4" ht="15.75" thickBot="1">
      <c r="A222" s="2" t="s">
        <v>1186</v>
      </c>
      <c r="B222" s="2"/>
      <c r="C222" s="2"/>
      <c r="D222" s="2"/>
    </row>
    <row r="223" spans="1:4" ht="15.75" thickBot="1">
      <c r="A223" s="2" t="s">
        <v>1187</v>
      </c>
      <c r="B223" s="470">
        <f>B221/40000</f>
        <v>26.5</v>
      </c>
      <c r="C223" s="2" t="s">
        <v>1188</v>
      </c>
      <c r="D223" s="2"/>
    </row>
    <row r="224" spans="1:4">
      <c r="A224" s="2"/>
      <c r="B224" s="2"/>
      <c r="C224" s="2"/>
      <c r="D224" s="2"/>
    </row>
    <row r="225" spans="1:4">
      <c r="A225" s="2" t="s">
        <v>1189</v>
      </c>
      <c r="B225" s="2"/>
      <c r="C225" s="2"/>
      <c r="D225" s="2"/>
    </row>
    <row r="226" spans="1:4">
      <c r="A226" s="2" t="s">
        <v>681</v>
      </c>
      <c r="B226" s="2"/>
      <c r="C226" s="2"/>
      <c r="D226" s="2"/>
    </row>
    <row r="227" spans="1:4">
      <c r="A227" s="2" t="s">
        <v>1170</v>
      </c>
      <c r="B227" s="17">
        <v>350000</v>
      </c>
      <c r="C227" s="2"/>
      <c r="D227" s="2"/>
    </row>
    <row r="228" spans="1:4" ht="15.75" thickBot="1">
      <c r="A228" s="2" t="s">
        <v>1183</v>
      </c>
      <c r="B228" s="17">
        <v>210000</v>
      </c>
      <c r="C228" s="2"/>
      <c r="D228" s="2"/>
    </row>
    <row r="229" spans="1:4" ht="15.75" thickBot="1">
      <c r="A229" s="15" t="s">
        <v>1184</v>
      </c>
      <c r="B229" s="469">
        <f>B227+B228</f>
        <v>560000</v>
      </c>
      <c r="C229" s="2"/>
      <c r="D229" s="2"/>
    </row>
    <row r="230" spans="1:4">
      <c r="A230" s="2" t="s">
        <v>685</v>
      </c>
      <c r="B230" s="2"/>
      <c r="C230" s="2"/>
      <c r="D230" s="2"/>
    </row>
    <row r="231" spans="1:4">
      <c r="A231" s="2" t="s">
        <v>435</v>
      </c>
      <c r="B231" s="17">
        <v>20000</v>
      </c>
      <c r="C231" s="2"/>
      <c r="D231" s="2"/>
    </row>
    <row r="232" spans="1:4">
      <c r="A232" s="2" t="s">
        <v>444</v>
      </c>
      <c r="B232" s="17">
        <v>35000</v>
      </c>
      <c r="C232" s="2"/>
      <c r="D232" s="2"/>
    </row>
    <row r="233" spans="1:4">
      <c r="A233" s="2" t="s">
        <v>1173</v>
      </c>
      <c r="B233" s="17">
        <v>150000</v>
      </c>
      <c r="C233" s="2"/>
      <c r="D233" s="2"/>
    </row>
    <row r="234" spans="1:4">
      <c r="A234" s="2" t="s">
        <v>1174</v>
      </c>
      <c r="B234" s="17">
        <v>90000</v>
      </c>
      <c r="C234" s="2"/>
      <c r="D234" s="2"/>
    </row>
    <row r="235" spans="1:4" ht="15.75" thickBot="1">
      <c r="A235" s="2" t="s">
        <v>1175</v>
      </c>
      <c r="B235" s="17">
        <v>5000</v>
      </c>
      <c r="C235" s="2"/>
      <c r="D235" s="2"/>
    </row>
    <row r="236" spans="1:4" ht="15.75" thickBot="1">
      <c r="A236" s="15" t="s">
        <v>1190</v>
      </c>
      <c r="B236" s="469">
        <f>SUM(B231:B235)</f>
        <v>300000</v>
      </c>
      <c r="C236" s="2"/>
      <c r="D236" s="2"/>
    </row>
    <row r="237" spans="1:4" ht="15.75" thickBot="1">
      <c r="A237" s="471" t="s">
        <v>1191</v>
      </c>
      <c r="B237" s="472">
        <f>B236+B229</f>
        <v>860000</v>
      </c>
      <c r="C237" s="2"/>
      <c r="D237" s="2"/>
    </row>
    <row r="238" spans="1:4" ht="15.75" thickBot="1">
      <c r="A238" s="2" t="s">
        <v>1192</v>
      </c>
      <c r="B238" s="17"/>
      <c r="C238" s="2"/>
      <c r="D238" s="2"/>
    </row>
    <row r="239" spans="1:4" ht="15.75" thickBot="1">
      <c r="A239" s="2" t="s">
        <v>1203</v>
      </c>
      <c r="B239" s="470">
        <f>B237/40000</f>
        <v>21.5</v>
      </c>
      <c r="C239" s="2" t="s">
        <v>1188</v>
      </c>
      <c r="D239" s="2"/>
    </row>
    <row r="240" spans="1:4">
      <c r="A240" s="2"/>
      <c r="B240" s="2"/>
      <c r="C240" s="2"/>
      <c r="D240" s="2"/>
    </row>
    <row r="241" spans="1:4">
      <c r="A241" s="2" t="s">
        <v>1193</v>
      </c>
      <c r="B241" s="2"/>
      <c r="C241" s="2"/>
      <c r="D241" s="2"/>
    </row>
    <row r="242" spans="1:4">
      <c r="A242" s="2" t="s">
        <v>1194</v>
      </c>
      <c r="B242" s="17">
        <f>B215</f>
        <v>500000</v>
      </c>
      <c r="C242" s="2"/>
      <c r="D242" s="2"/>
    </row>
    <row r="243" spans="1:4">
      <c r="A243" s="2" t="s">
        <v>286</v>
      </c>
      <c r="B243" s="17">
        <f>B220</f>
        <v>560000</v>
      </c>
      <c r="C243" s="2"/>
      <c r="D243" s="2"/>
    </row>
    <row r="244" spans="1:4" ht="15.75" thickBot="1">
      <c r="A244" s="2" t="s">
        <v>1195</v>
      </c>
      <c r="B244" s="17">
        <f>B236</f>
        <v>300000</v>
      </c>
      <c r="C244" s="2"/>
      <c r="D244" s="2"/>
    </row>
    <row r="245" spans="1:4" ht="15.75" thickBot="1">
      <c r="A245" s="475" t="s">
        <v>1196</v>
      </c>
      <c r="B245" s="473">
        <f>SUM(B242:B244)</f>
        <v>1360000</v>
      </c>
      <c r="C245" s="2"/>
      <c r="D245" s="2"/>
    </row>
    <row r="246" spans="1:4">
      <c r="A246" s="2"/>
      <c r="B246" s="2"/>
      <c r="C246" s="2"/>
      <c r="D246" s="2"/>
    </row>
    <row r="247" spans="1:4" ht="15.75" thickBot="1">
      <c r="A247" s="2" t="s">
        <v>1197</v>
      </c>
      <c r="B247" s="2"/>
      <c r="C247" s="2"/>
      <c r="D247" s="2"/>
    </row>
    <row r="248" spans="1:4" ht="15.75" thickBot="1">
      <c r="A248" s="2" t="s">
        <v>1198</v>
      </c>
      <c r="B248" s="474">
        <f>B245/40000</f>
        <v>34</v>
      </c>
      <c r="C248" s="2" t="s">
        <v>1188</v>
      </c>
      <c r="D248" s="2"/>
    </row>
    <row r="249" spans="1:4">
      <c r="A249" s="2"/>
      <c r="B249" s="2"/>
      <c r="C249" s="2"/>
      <c r="D249" s="2"/>
    </row>
    <row r="250" spans="1:4">
      <c r="A250" s="2" t="s">
        <v>1199</v>
      </c>
      <c r="B250" s="2"/>
      <c r="C250" s="2"/>
      <c r="D250" s="2"/>
    </row>
    <row r="251" spans="1:4">
      <c r="A251" s="2" t="s">
        <v>1200</v>
      </c>
      <c r="B251" s="17">
        <v>10000</v>
      </c>
      <c r="C251" s="2" t="s">
        <v>361</v>
      </c>
      <c r="D251" s="2"/>
    </row>
    <row r="252" spans="1:4">
      <c r="A252" s="2" t="s">
        <v>1201</v>
      </c>
      <c r="B252" s="20">
        <f>B248</f>
        <v>34</v>
      </c>
      <c r="C252" s="2" t="s">
        <v>1552</v>
      </c>
      <c r="D252" s="2"/>
    </row>
    <row r="253" spans="1:4">
      <c r="A253" s="2" t="s">
        <v>1202</v>
      </c>
      <c r="B253" s="17">
        <f>B251*B252</f>
        <v>340000</v>
      </c>
      <c r="C253" s="2" t="s">
        <v>62</v>
      </c>
      <c r="D253" s="2"/>
    </row>
    <row r="255" spans="1:4">
      <c r="A255" s="1" t="s">
        <v>2157</v>
      </c>
    </row>
    <row r="256" spans="1:4" s="832" customFormat="1">
      <c r="A256" s="1"/>
    </row>
    <row r="257" spans="1:4">
      <c r="A257" s="928" t="s">
        <v>434</v>
      </c>
      <c r="B257" s="928" t="s">
        <v>2158</v>
      </c>
      <c r="C257" s="929" t="s">
        <v>2159</v>
      </c>
      <c r="D257" s="929"/>
    </row>
    <row r="258" spans="1:4">
      <c r="A258" s="928"/>
      <c r="B258" s="928"/>
      <c r="C258" s="864" t="s">
        <v>1428</v>
      </c>
      <c r="D258" s="864" t="s">
        <v>2160</v>
      </c>
    </row>
    <row r="259" spans="1:4">
      <c r="A259" s="865" t="s">
        <v>2161</v>
      </c>
      <c r="B259" s="860"/>
      <c r="C259" s="860">
        <f>300000*0.12</f>
        <v>36000</v>
      </c>
      <c r="D259" s="860"/>
    </row>
    <row r="260" spans="1:4">
      <c r="A260" s="865" t="s">
        <v>2162</v>
      </c>
      <c r="B260" s="860"/>
      <c r="C260" s="860">
        <v>30000</v>
      </c>
      <c r="D260" s="860"/>
    </row>
    <row r="261" spans="1:4">
      <c r="A261" s="865" t="s">
        <v>2163</v>
      </c>
      <c r="B261" s="860">
        <f>52*500*3</f>
        <v>78000</v>
      </c>
      <c r="C261" s="860"/>
      <c r="D261" s="860"/>
    </row>
    <row r="262" spans="1:4">
      <c r="A262" s="865" t="s">
        <v>2164</v>
      </c>
      <c r="B262" s="860"/>
      <c r="C262" s="860">
        <f>52*500*0.2</f>
        <v>5200</v>
      </c>
      <c r="D262" s="860"/>
    </row>
    <row r="263" spans="1:4">
      <c r="A263" s="865" t="s">
        <v>2165</v>
      </c>
      <c r="B263" s="860"/>
      <c r="C263" s="860">
        <f>52*500*1</f>
        <v>26000</v>
      </c>
      <c r="D263" s="860"/>
    </row>
    <row r="264" spans="1:4">
      <c r="A264" s="865" t="s">
        <v>2166</v>
      </c>
      <c r="B264" s="860"/>
      <c r="C264" s="860">
        <v>12000</v>
      </c>
      <c r="D264" s="860"/>
    </row>
    <row r="265" spans="1:4">
      <c r="A265" s="865" t="s">
        <v>2167</v>
      </c>
      <c r="B265" s="860"/>
      <c r="C265" s="860">
        <v>10000</v>
      </c>
      <c r="D265" s="860"/>
    </row>
    <row r="266" spans="1:4">
      <c r="A266" s="865" t="s">
        <v>2168</v>
      </c>
      <c r="B266" s="860">
        <v>72000</v>
      </c>
      <c r="C266" s="860"/>
      <c r="D266" s="860"/>
    </row>
    <row r="267" spans="1:4">
      <c r="A267" s="865" t="s">
        <v>2160</v>
      </c>
      <c r="B267" s="860"/>
      <c r="C267" s="860"/>
      <c r="D267" s="860">
        <v>104000</v>
      </c>
    </row>
    <row r="268" spans="1:4">
      <c r="A268" s="501" t="s">
        <v>1130</v>
      </c>
      <c r="B268" s="866">
        <f>SUM(B259:B267)</f>
        <v>150000</v>
      </c>
      <c r="C268" s="866">
        <f>SUM(C259:C267)</f>
        <v>119200</v>
      </c>
      <c r="D268" s="866">
        <f>SUM(D259:D267)</f>
        <v>104000</v>
      </c>
    </row>
    <row r="269" spans="1:4">
      <c r="A269" s="861"/>
      <c r="B269" s="861"/>
      <c r="C269" s="861"/>
      <c r="D269" s="861"/>
    </row>
    <row r="270" spans="1:4">
      <c r="A270" s="862" t="s">
        <v>2169</v>
      </c>
      <c r="B270" s="863">
        <f>+C268-D268</f>
        <v>15200</v>
      </c>
      <c r="D270" s="861"/>
    </row>
  </sheetData>
  <mergeCells count="32">
    <mergeCell ref="A257:A258"/>
    <mergeCell ref="B257:B258"/>
    <mergeCell ref="C257:D257"/>
    <mergeCell ref="A1:I1"/>
    <mergeCell ref="F20:G20"/>
    <mergeCell ref="H20:J20"/>
    <mergeCell ref="H9:I9"/>
    <mergeCell ref="H11:I11"/>
    <mergeCell ref="H13:I13"/>
    <mergeCell ref="H15:I15"/>
    <mergeCell ref="H17:I17"/>
    <mergeCell ref="C91:D91"/>
    <mergeCell ref="C92:D92"/>
    <mergeCell ref="F91:F92"/>
    <mergeCell ref="G91:H91"/>
    <mergeCell ref="G92:H92"/>
    <mergeCell ref="M20:M21"/>
    <mergeCell ref="A193:A194"/>
    <mergeCell ref="B193:D193"/>
    <mergeCell ref="C20:E20"/>
    <mergeCell ref="B20:B21"/>
    <mergeCell ref="A20:A21"/>
    <mergeCell ref="A50:B50"/>
    <mergeCell ref="G69:H69"/>
    <mergeCell ref="G70:H70"/>
    <mergeCell ref="B69:B70"/>
    <mergeCell ref="C69:D69"/>
    <mergeCell ref="C70:D70"/>
    <mergeCell ref="F69:F70"/>
    <mergeCell ref="A73:B73"/>
    <mergeCell ref="D163:G163"/>
    <mergeCell ref="B91:B92"/>
  </mergeCells>
  <pageMargins left="0.70866141732283472" right="0.70866141732283472" top="0.74803149606299213" bottom="0.74803149606299213" header="0.31496062992125984" footer="0.31496062992125984"/>
  <pageSetup scale="56" orientation="landscape" r:id="rId1"/>
  <headerFooter>
    <oddHeader>&amp;L&amp;"+,Negrita"Resolución Guía de trabajos prácticos - Sistemas de Costos</oddHeader>
    <oddFooter>&amp;C&amp;"+,Normal"Departamento de Contabilidad e Impuestos
Universidad Argentina de la Empresa</oddFooter>
  </headerFooter>
  <rowBreaks count="4" manualBreakCount="4">
    <brk id="47" max="4" man="1"/>
    <brk id="104" max="4" man="1"/>
    <brk id="155" max="4" man="1"/>
    <brk id="216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314"/>
  <sheetViews>
    <sheetView showGridLines="0" view="pageBreakPreview" zoomScaleNormal="100" zoomScaleSheetLayoutView="100" workbookViewId="0">
      <selection activeCell="E23" sqref="E23"/>
    </sheetView>
  </sheetViews>
  <sheetFormatPr baseColWidth="10" defaultRowHeight="12.75"/>
  <cols>
    <col min="1" max="1" width="15.5703125" style="2" customWidth="1"/>
    <col min="2" max="2" width="11.85546875" style="2" bestFit="1" customWidth="1"/>
    <col min="3" max="3" width="11.42578125" style="2" customWidth="1"/>
    <col min="4" max="4" width="11.42578125" style="2"/>
    <col min="5" max="5" width="13.28515625" style="2" customWidth="1"/>
    <col min="6" max="6" width="12.7109375" style="2" customWidth="1"/>
    <col min="7" max="7" width="13.7109375" style="2" customWidth="1"/>
    <col min="8" max="8" width="11.85546875" style="2" bestFit="1" customWidth="1"/>
    <col min="9" max="14" width="11.42578125" style="2"/>
    <col min="15" max="16" width="12.42578125" style="2" customWidth="1"/>
    <col min="17" max="16384" width="11.42578125" style="2"/>
  </cols>
  <sheetData>
    <row r="1" spans="1:11" ht="20.25" customHeight="1">
      <c r="A1" s="949" t="s">
        <v>2091</v>
      </c>
      <c r="B1" s="949"/>
      <c r="C1" s="949"/>
      <c r="D1" s="949"/>
      <c r="E1" s="949"/>
      <c r="F1" s="949"/>
      <c r="G1" s="949"/>
      <c r="H1" s="949"/>
      <c r="I1" s="949"/>
    </row>
    <row r="2" spans="1:11" ht="12.75" customHeight="1">
      <c r="A2" s="1"/>
      <c r="B2" s="1"/>
      <c r="C2" s="1"/>
      <c r="D2" s="1"/>
      <c r="E2" s="1"/>
      <c r="F2" s="1"/>
      <c r="G2" s="1"/>
      <c r="H2" s="1"/>
      <c r="I2" s="661"/>
    </row>
    <row r="3" spans="1:11" ht="12.75" customHeight="1">
      <c r="A3" s="1" t="s">
        <v>2173</v>
      </c>
      <c r="B3" s="1"/>
      <c r="C3" s="1"/>
      <c r="D3" s="1"/>
      <c r="E3" s="1"/>
      <c r="F3" s="1"/>
      <c r="G3" s="1"/>
      <c r="H3" s="1"/>
      <c r="I3" s="1"/>
    </row>
    <row r="4" spans="1:11" ht="12.75" customHeight="1">
      <c r="A4" s="3" t="s">
        <v>1310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2.75" customHeight="1">
      <c r="A5" s="3" t="s">
        <v>1421</v>
      </c>
      <c r="B5" s="3"/>
      <c r="C5" s="3"/>
      <c r="D5" s="3"/>
      <c r="E5" s="3"/>
      <c r="F5" s="3"/>
      <c r="G5" s="3"/>
      <c r="H5" s="61" t="s">
        <v>948</v>
      </c>
      <c r="I5" s="3"/>
      <c r="J5" s="3"/>
      <c r="K5" s="3"/>
    </row>
    <row r="6" spans="1:11" ht="12.75" customHeight="1">
      <c r="A6" s="944" t="s">
        <v>1422</v>
      </c>
      <c r="B6" s="944" t="s">
        <v>434</v>
      </c>
      <c r="C6" s="946" t="s">
        <v>1425</v>
      </c>
      <c r="D6" s="946"/>
      <c r="E6" s="946"/>
      <c r="F6" s="946" t="s">
        <v>1426</v>
      </c>
      <c r="G6" s="946"/>
      <c r="H6" s="946"/>
      <c r="I6" s="3"/>
      <c r="J6" s="3"/>
      <c r="K6" s="3"/>
    </row>
    <row r="7" spans="1:11" ht="12.75" customHeight="1">
      <c r="A7" s="944"/>
      <c r="B7" s="944"/>
      <c r="C7" s="468" t="s">
        <v>1423</v>
      </c>
      <c r="D7" s="468" t="s">
        <v>1424</v>
      </c>
      <c r="E7" s="468" t="s">
        <v>183</v>
      </c>
      <c r="F7" s="468" t="s">
        <v>1423</v>
      </c>
      <c r="G7" s="468" t="s">
        <v>1424</v>
      </c>
      <c r="H7" s="468" t="s">
        <v>183</v>
      </c>
      <c r="I7" s="3"/>
      <c r="J7" s="3"/>
      <c r="K7" s="3"/>
    </row>
    <row r="8" spans="1:11" ht="12.75" customHeight="1">
      <c r="A8" s="328">
        <v>42826</v>
      </c>
      <c r="B8" s="572" t="s">
        <v>1427</v>
      </c>
      <c r="C8" s="611"/>
      <c r="D8" s="611"/>
      <c r="E8" s="611"/>
      <c r="F8" s="572">
        <v>150</v>
      </c>
      <c r="G8" s="644">
        <v>40</v>
      </c>
      <c r="H8" s="624">
        <f>F8*G8</f>
        <v>6000</v>
      </c>
      <c r="I8" s="3"/>
      <c r="J8" s="3"/>
      <c r="K8" s="3"/>
    </row>
    <row r="9" spans="1:11" ht="12.75" customHeight="1">
      <c r="A9" s="621">
        <v>42829</v>
      </c>
      <c r="B9" s="622" t="s">
        <v>1428</v>
      </c>
      <c r="C9" s="681">
        <v>100</v>
      </c>
      <c r="D9" s="676">
        <v>45</v>
      </c>
      <c r="E9" s="686">
        <f>C9*D9</f>
        <v>4500</v>
      </c>
      <c r="F9" s="681">
        <v>150</v>
      </c>
      <c r="G9" s="676">
        <v>40</v>
      </c>
      <c r="H9" s="681"/>
      <c r="I9" s="3"/>
      <c r="J9" s="3"/>
      <c r="K9" s="3"/>
    </row>
    <row r="10" spans="1:11" ht="12.75" customHeight="1">
      <c r="A10" s="617"/>
      <c r="B10" s="246"/>
      <c r="C10" s="682"/>
      <c r="D10" s="682"/>
      <c r="E10" s="682"/>
      <c r="F10" s="682">
        <v>100</v>
      </c>
      <c r="G10" s="678">
        <v>45</v>
      </c>
      <c r="H10" s="687">
        <f>F9*G9+F10*G10</f>
        <v>10500</v>
      </c>
      <c r="I10" s="3"/>
      <c r="J10" s="3"/>
      <c r="K10" s="3"/>
    </row>
    <row r="11" spans="1:11" ht="12.75" customHeight="1">
      <c r="A11" s="630">
        <v>42833</v>
      </c>
      <c r="B11" s="194" t="s">
        <v>845</v>
      </c>
      <c r="C11" s="192">
        <v>-100</v>
      </c>
      <c r="D11" s="677">
        <v>40</v>
      </c>
      <c r="E11" s="688">
        <f>C11*D11</f>
        <v>-4000</v>
      </c>
      <c r="F11" s="192">
        <v>50</v>
      </c>
      <c r="G11" s="676">
        <v>40</v>
      </c>
      <c r="H11" s="192"/>
      <c r="I11" s="3"/>
      <c r="J11" s="3"/>
      <c r="K11" s="3"/>
    </row>
    <row r="12" spans="1:11" ht="12.75" customHeight="1">
      <c r="A12" s="617"/>
      <c r="B12" s="246"/>
      <c r="C12" s="682"/>
      <c r="D12" s="682"/>
      <c r="E12" s="682"/>
      <c r="F12" s="682">
        <v>100</v>
      </c>
      <c r="G12" s="678">
        <v>45</v>
      </c>
      <c r="H12" s="689">
        <f>F11*G11+F12*G12</f>
        <v>6500</v>
      </c>
      <c r="I12" s="3"/>
      <c r="J12" s="3"/>
      <c r="K12" s="3"/>
    </row>
    <row r="13" spans="1:11" ht="12.75" customHeight="1">
      <c r="A13" s="621">
        <v>42840</v>
      </c>
      <c r="B13" s="622" t="s">
        <v>1428</v>
      </c>
      <c r="C13" s="681">
        <v>250</v>
      </c>
      <c r="D13" s="676">
        <v>50</v>
      </c>
      <c r="E13" s="686">
        <f>C13*D13</f>
        <v>12500</v>
      </c>
      <c r="F13" s="681">
        <v>50</v>
      </c>
      <c r="G13" s="676">
        <v>40</v>
      </c>
      <c r="H13" s="681"/>
      <c r="I13" s="3"/>
      <c r="J13" s="3"/>
      <c r="K13" s="3"/>
    </row>
    <row r="14" spans="1:11" ht="12.75" customHeight="1">
      <c r="A14" s="616"/>
      <c r="B14" s="194"/>
      <c r="C14" s="192"/>
      <c r="D14" s="192"/>
      <c r="E14" s="192"/>
      <c r="F14" s="192">
        <v>100</v>
      </c>
      <c r="G14" s="677">
        <v>45</v>
      </c>
      <c r="H14" s="192"/>
      <c r="I14" s="3"/>
      <c r="J14" s="3"/>
      <c r="K14" s="3"/>
    </row>
    <row r="15" spans="1:11" ht="12.75" customHeight="1">
      <c r="A15" s="617"/>
      <c r="B15" s="246"/>
      <c r="C15" s="682"/>
      <c r="D15" s="682"/>
      <c r="E15" s="682"/>
      <c r="F15" s="682">
        <v>250</v>
      </c>
      <c r="G15" s="678">
        <v>50</v>
      </c>
      <c r="H15" s="689">
        <f>F13*G13+F14*G14+F15*G15</f>
        <v>19000</v>
      </c>
      <c r="I15" s="3"/>
      <c r="J15" s="3"/>
      <c r="K15" s="3"/>
    </row>
    <row r="16" spans="1:11" ht="12.75" customHeight="1">
      <c r="A16" s="621">
        <v>42842</v>
      </c>
      <c r="B16" s="622" t="s">
        <v>845</v>
      </c>
      <c r="C16" s="681">
        <v>-50</v>
      </c>
      <c r="D16" s="683">
        <v>40</v>
      </c>
      <c r="E16" s="681"/>
      <c r="F16" s="681"/>
      <c r="G16" s="676"/>
      <c r="H16" s="681"/>
      <c r="I16" s="3"/>
      <c r="J16" s="3"/>
      <c r="K16" s="3"/>
    </row>
    <row r="17" spans="1:11" ht="12.75" customHeight="1">
      <c r="A17" s="617"/>
      <c r="B17" s="246"/>
      <c r="C17" s="682">
        <v>-100</v>
      </c>
      <c r="D17" s="684">
        <v>45</v>
      </c>
      <c r="E17" s="690">
        <f>C16*D16+C17*D17</f>
        <v>-6500</v>
      </c>
      <c r="F17" s="682">
        <v>250</v>
      </c>
      <c r="G17" s="678">
        <v>50</v>
      </c>
      <c r="H17" s="691">
        <f>F17*G17</f>
        <v>12500</v>
      </c>
      <c r="I17" s="3"/>
      <c r="J17" s="3"/>
      <c r="K17" s="3"/>
    </row>
    <row r="18" spans="1:11" ht="12.75" customHeight="1">
      <c r="A18" s="630">
        <v>42849</v>
      </c>
      <c r="B18" s="194" t="s">
        <v>1428</v>
      </c>
      <c r="C18" s="192">
        <v>50</v>
      </c>
      <c r="D18" s="420">
        <v>55</v>
      </c>
      <c r="E18" s="692">
        <f>C18*D18</f>
        <v>2750</v>
      </c>
      <c r="F18" s="192">
        <v>250</v>
      </c>
      <c r="G18" s="677">
        <v>50</v>
      </c>
      <c r="H18" s="693"/>
      <c r="I18" s="3"/>
      <c r="J18" s="3"/>
      <c r="K18" s="3"/>
    </row>
    <row r="19" spans="1:11" ht="12.75" customHeight="1">
      <c r="A19" s="630"/>
      <c r="B19" s="194"/>
      <c r="C19" s="192"/>
      <c r="D19" s="819"/>
      <c r="E19" s="690"/>
      <c r="F19" s="682">
        <v>50</v>
      </c>
      <c r="G19" s="678">
        <v>55</v>
      </c>
      <c r="H19" s="691">
        <f>F18*G18+F19*G19</f>
        <v>15250</v>
      </c>
      <c r="I19" s="3"/>
      <c r="J19" s="3"/>
      <c r="K19" s="3"/>
    </row>
    <row r="20" spans="1:11" ht="12.75" customHeight="1">
      <c r="A20" s="621">
        <v>42855</v>
      </c>
      <c r="B20" s="622" t="s">
        <v>845</v>
      </c>
      <c r="C20" s="681">
        <v>-150</v>
      </c>
      <c r="D20" s="818">
        <v>50</v>
      </c>
      <c r="E20" s="692">
        <f>C20*D20+C21*D21</f>
        <v>-7500</v>
      </c>
      <c r="F20" s="681">
        <v>100</v>
      </c>
      <c r="G20" s="676">
        <v>50</v>
      </c>
      <c r="H20" s="694"/>
      <c r="I20" s="3"/>
      <c r="J20" s="3"/>
      <c r="K20" s="3"/>
    </row>
    <row r="21" spans="1:11" ht="12.75" customHeight="1">
      <c r="A21" s="657"/>
      <c r="B21" s="246"/>
      <c r="C21" s="682"/>
      <c r="D21" s="675"/>
      <c r="E21" s="245"/>
      <c r="F21" s="682">
        <v>50</v>
      </c>
      <c r="G21" s="678">
        <v>55</v>
      </c>
      <c r="H21" s="687">
        <f>F20*G20+F21*G21</f>
        <v>7750</v>
      </c>
      <c r="I21" s="3"/>
      <c r="J21" s="3"/>
      <c r="K21" s="3"/>
    </row>
    <row r="22" spans="1:11" ht="12.75" customHeight="1">
      <c r="A22" s="634"/>
      <c r="B22" s="573"/>
      <c r="C22" s="573"/>
      <c r="D22" s="633"/>
      <c r="E22" s="649"/>
      <c r="F22" s="573"/>
      <c r="G22" s="650"/>
      <c r="H22" s="651"/>
      <c r="I22" s="3"/>
      <c r="J22" s="3"/>
      <c r="K22" s="3"/>
    </row>
    <row r="23" spans="1:11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 ht="12.75" customHeight="1">
      <c r="A24" s="3" t="s">
        <v>1421</v>
      </c>
      <c r="B24" s="3"/>
      <c r="C24" s="3"/>
      <c r="D24" s="3"/>
      <c r="E24" s="3"/>
      <c r="F24" s="3"/>
      <c r="G24" s="3"/>
      <c r="H24" s="61" t="s">
        <v>598</v>
      </c>
      <c r="I24" s="3"/>
      <c r="J24" s="3"/>
      <c r="K24" s="3"/>
    </row>
    <row r="25" spans="1:11" ht="12.75" customHeight="1">
      <c r="A25" s="944" t="s">
        <v>1422</v>
      </c>
      <c r="B25" s="944" t="s">
        <v>434</v>
      </c>
      <c r="C25" s="946" t="s">
        <v>1425</v>
      </c>
      <c r="D25" s="946"/>
      <c r="E25" s="946"/>
      <c r="F25" s="946" t="s">
        <v>1426</v>
      </c>
      <c r="G25" s="946"/>
      <c r="H25" s="946"/>
      <c r="I25" s="3"/>
      <c r="J25" s="3"/>
      <c r="K25" s="3"/>
    </row>
    <row r="26" spans="1:11" ht="12.75" customHeight="1">
      <c r="A26" s="944"/>
      <c r="B26" s="944"/>
      <c r="C26" s="468" t="s">
        <v>1423</v>
      </c>
      <c r="D26" s="468" t="s">
        <v>1424</v>
      </c>
      <c r="E26" s="468" t="s">
        <v>183</v>
      </c>
      <c r="F26" s="468" t="s">
        <v>1423</v>
      </c>
      <c r="G26" s="468" t="s">
        <v>1424</v>
      </c>
      <c r="H26" s="468" t="s">
        <v>183</v>
      </c>
      <c r="I26" s="3"/>
      <c r="J26" s="3"/>
      <c r="K26" s="3"/>
    </row>
    <row r="27" spans="1:11" ht="12.75" customHeight="1">
      <c r="A27" s="328">
        <v>42826</v>
      </c>
      <c r="B27" s="572" t="s">
        <v>1427</v>
      </c>
      <c r="C27" s="611"/>
      <c r="D27" s="611"/>
      <c r="E27" s="611"/>
      <c r="F27" s="572">
        <v>150</v>
      </c>
      <c r="G27" s="644">
        <v>40</v>
      </c>
      <c r="H27" s="624">
        <f>F27*G27</f>
        <v>6000</v>
      </c>
      <c r="I27" s="3"/>
      <c r="J27" s="3"/>
      <c r="K27" s="3"/>
    </row>
    <row r="28" spans="1:11" ht="12.75" customHeight="1">
      <c r="A28" s="621">
        <v>42829</v>
      </c>
      <c r="B28" s="622" t="s">
        <v>1428</v>
      </c>
      <c r="C28" s="622">
        <v>100</v>
      </c>
      <c r="D28" s="614">
        <v>45</v>
      </c>
      <c r="E28" s="620">
        <f>C28*D28</f>
        <v>4500</v>
      </c>
      <c r="F28" s="622">
        <v>150</v>
      </c>
      <c r="G28" s="431">
        <v>40</v>
      </c>
      <c r="H28" s="618"/>
      <c r="I28" s="3"/>
      <c r="J28" s="3"/>
      <c r="K28" s="3"/>
    </row>
    <row r="29" spans="1:11" ht="12.75" customHeight="1">
      <c r="A29" s="617"/>
      <c r="B29" s="246"/>
      <c r="C29" s="246"/>
      <c r="D29" s="617"/>
      <c r="E29" s="617"/>
      <c r="F29" s="246">
        <v>100</v>
      </c>
      <c r="G29" s="645">
        <v>45</v>
      </c>
      <c r="H29" s="623">
        <f>F28*G28+F29*G29</f>
        <v>10500</v>
      </c>
      <c r="I29" s="3"/>
      <c r="J29" s="3"/>
      <c r="K29" s="3"/>
    </row>
    <row r="30" spans="1:11" ht="12.75" customHeight="1">
      <c r="A30" s="630">
        <v>42833</v>
      </c>
      <c r="B30" s="194" t="s">
        <v>845</v>
      </c>
      <c r="C30" s="194">
        <v>-100</v>
      </c>
      <c r="D30" s="625">
        <v>45</v>
      </c>
      <c r="E30" s="626">
        <f>C30*D30</f>
        <v>-4500</v>
      </c>
      <c r="F30" s="194">
        <v>150</v>
      </c>
      <c r="G30" s="431">
        <v>40</v>
      </c>
      <c r="H30" s="629">
        <f>F30*G30</f>
        <v>6000</v>
      </c>
      <c r="I30" s="3"/>
      <c r="J30" s="3"/>
      <c r="K30" s="3"/>
    </row>
    <row r="31" spans="1:11" ht="12.75" customHeight="1">
      <c r="A31" s="621">
        <v>42840</v>
      </c>
      <c r="B31" s="622" t="s">
        <v>1428</v>
      </c>
      <c r="C31" s="622">
        <v>250</v>
      </c>
      <c r="D31" s="614">
        <v>50</v>
      </c>
      <c r="E31" s="620">
        <f>C31*D31</f>
        <v>12500</v>
      </c>
      <c r="F31" s="622">
        <v>150</v>
      </c>
      <c r="G31" s="431">
        <v>40</v>
      </c>
      <c r="H31" s="618"/>
      <c r="I31" s="3"/>
      <c r="J31" s="3"/>
      <c r="K31" s="3"/>
    </row>
    <row r="32" spans="1:11" ht="12.75" customHeight="1">
      <c r="A32" s="617"/>
      <c r="B32" s="246"/>
      <c r="C32" s="246"/>
      <c r="D32" s="617"/>
      <c r="E32" s="617"/>
      <c r="F32" s="246">
        <v>250</v>
      </c>
      <c r="G32" s="645">
        <v>50</v>
      </c>
      <c r="H32" s="629">
        <f>F31*G31+F32*G32</f>
        <v>18500</v>
      </c>
      <c r="I32" s="3"/>
      <c r="J32" s="3"/>
      <c r="K32" s="3"/>
    </row>
    <row r="33" spans="1:11" ht="12.75" customHeight="1">
      <c r="A33" s="621">
        <v>42842</v>
      </c>
      <c r="B33" s="622" t="s">
        <v>845</v>
      </c>
      <c r="C33" s="622">
        <v>-150</v>
      </c>
      <c r="D33" s="647">
        <v>50</v>
      </c>
      <c r="E33" s="648">
        <f>C33*D33</f>
        <v>-7500</v>
      </c>
      <c r="F33" s="622">
        <v>150</v>
      </c>
      <c r="G33" s="431">
        <v>40</v>
      </c>
      <c r="H33" s="280"/>
      <c r="I33" s="3"/>
      <c r="J33" s="3"/>
      <c r="K33" s="3"/>
    </row>
    <row r="34" spans="1:11" ht="12.75" customHeight="1">
      <c r="A34" s="617"/>
      <c r="B34" s="246"/>
      <c r="C34" s="246"/>
      <c r="D34" s="639"/>
      <c r="E34" s="619"/>
      <c r="F34" s="246">
        <v>100</v>
      </c>
      <c r="G34" s="645">
        <v>50</v>
      </c>
      <c r="H34" s="635">
        <f>F33*G33+F34*G34</f>
        <v>11000</v>
      </c>
      <c r="I34" s="3"/>
      <c r="J34" s="3"/>
      <c r="K34" s="3"/>
    </row>
    <row r="35" spans="1:11" ht="12.75" customHeight="1">
      <c r="A35" s="630">
        <v>42849</v>
      </c>
      <c r="B35" s="194" t="s">
        <v>1428</v>
      </c>
      <c r="C35" s="194">
        <v>50</v>
      </c>
      <c r="D35" s="576">
        <v>55</v>
      </c>
      <c r="E35" s="631">
        <f>C35*D35</f>
        <v>2750</v>
      </c>
      <c r="F35" s="194">
        <v>150</v>
      </c>
      <c r="G35" s="646">
        <v>40</v>
      </c>
      <c r="H35" s="638"/>
      <c r="I35" s="3"/>
      <c r="J35" s="3"/>
      <c r="K35" s="3"/>
    </row>
    <row r="36" spans="1:11" ht="12.75" customHeight="1">
      <c r="A36" s="630"/>
      <c r="B36" s="194"/>
      <c r="C36" s="194"/>
      <c r="D36" s="576"/>
      <c r="E36" s="631"/>
      <c r="F36" s="194">
        <v>100</v>
      </c>
      <c r="G36" s="646">
        <v>50</v>
      </c>
      <c r="H36" s="638"/>
      <c r="I36" s="3"/>
      <c r="J36" s="3"/>
      <c r="K36" s="3"/>
    </row>
    <row r="37" spans="1:11" ht="12.75" customHeight="1">
      <c r="A37" s="617"/>
      <c r="B37" s="246"/>
      <c r="C37" s="246"/>
      <c r="D37" s="574"/>
      <c r="E37" s="628"/>
      <c r="F37" s="246">
        <v>50</v>
      </c>
      <c r="G37" s="645">
        <v>55</v>
      </c>
      <c r="H37" s="635">
        <f>F35*G35+F36*G36+F37*G37</f>
        <v>13750</v>
      </c>
      <c r="I37" s="3"/>
      <c r="J37" s="3"/>
      <c r="K37" s="3"/>
    </row>
    <row r="38" spans="1:11" ht="12.75" customHeight="1">
      <c r="A38" s="621">
        <v>42855</v>
      </c>
      <c r="B38" s="622" t="s">
        <v>845</v>
      </c>
      <c r="C38" s="622">
        <v>-50</v>
      </c>
      <c r="D38" s="614">
        <v>55</v>
      </c>
      <c r="E38" s="620"/>
      <c r="F38" s="280"/>
      <c r="G38" s="280"/>
      <c r="H38" s="280"/>
      <c r="I38" s="3"/>
      <c r="J38" s="3"/>
      <c r="K38" s="3"/>
    </row>
    <row r="39" spans="1:11" ht="12.75" customHeight="1">
      <c r="A39" s="617"/>
      <c r="B39" s="617"/>
      <c r="C39" s="246">
        <v>-100</v>
      </c>
      <c r="D39" s="615">
        <v>50</v>
      </c>
      <c r="E39" s="627">
        <f>C38*D38+C39*D39</f>
        <v>-7750</v>
      </c>
      <c r="F39" s="246">
        <v>150</v>
      </c>
      <c r="G39" s="645">
        <v>40</v>
      </c>
      <c r="H39" s="623">
        <f>F39*G39</f>
        <v>6000</v>
      </c>
      <c r="I39" s="3"/>
      <c r="J39" s="3"/>
      <c r="K39" s="3"/>
    </row>
    <row r="40" spans="1:11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ht="12.75" customHeight="1">
      <c r="A41" s="3" t="s">
        <v>1421</v>
      </c>
      <c r="B41" s="3"/>
      <c r="C41" s="3"/>
      <c r="D41" s="3"/>
      <c r="E41" s="3"/>
      <c r="F41" s="3"/>
      <c r="G41" s="3"/>
      <c r="H41" s="61" t="s">
        <v>1429</v>
      </c>
      <c r="I41" s="3"/>
      <c r="J41" s="3"/>
      <c r="K41" s="3"/>
    </row>
    <row r="42" spans="1:11" ht="12.75" customHeight="1">
      <c r="A42" s="944" t="s">
        <v>1422</v>
      </c>
      <c r="B42" s="944" t="s">
        <v>434</v>
      </c>
      <c r="C42" s="946" t="s">
        <v>1425</v>
      </c>
      <c r="D42" s="946"/>
      <c r="E42" s="946"/>
      <c r="F42" s="946" t="s">
        <v>1426</v>
      </c>
      <c r="G42" s="946"/>
      <c r="H42" s="946"/>
      <c r="I42" s="3"/>
      <c r="J42" s="3"/>
      <c r="K42" s="3"/>
    </row>
    <row r="43" spans="1:11" ht="12.75" customHeight="1">
      <c r="A43" s="944"/>
      <c r="B43" s="944"/>
      <c r="C43" s="468" t="s">
        <v>1423</v>
      </c>
      <c r="D43" s="468" t="s">
        <v>1424</v>
      </c>
      <c r="E43" s="468" t="s">
        <v>183</v>
      </c>
      <c r="F43" s="468" t="s">
        <v>1423</v>
      </c>
      <c r="G43" s="468" t="s">
        <v>1424</v>
      </c>
      <c r="H43" s="468" t="s">
        <v>183</v>
      </c>
      <c r="I43" s="3"/>
      <c r="J43" s="3"/>
      <c r="K43" s="3"/>
    </row>
    <row r="44" spans="1:11" ht="12.75" customHeight="1">
      <c r="A44" s="328">
        <v>42826</v>
      </c>
      <c r="B44" s="572" t="s">
        <v>1427</v>
      </c>
      <c r="C44" s="611"/>
      <c r="D44" s="611"/>
      <c r="E44" s="611"/>
      <c r="F44" s="572">
        <v>150</v>
      </c>
      <c r="G44" s="644">
        <v>40</v>
      </c>
      <c r="H44" s="624">
        <f>F44*G44</f>
        <v>6000</v>
      </c>
      <c r="I44" s="3"/>
      <c r="J44" s="3"/>
      <c r="K44" s="3"/>
    </row>
    <row r="45" spans="1:11" ht="12.75" customHeight="1">
      <c r="A45" s="328">
        <v>42829</v>
      </c>
      <c r="B45" s="572" t="s">
        <v>1428</v>
      </c>
      <c r="C45" s="572">
        <v>100</v>
      </c>
      <c r="D45" s="612">
        <v>45</v>
      </c>
      <c r="E45" s="613">
        <f t="shared" ref="E45:E50" si="0">C45*D45</f>
        <v>4500</v>
      </c>
      <c r="F45" s="572">
        <f t="shared" ref="F45:F50" si="1">F44+C45</f>
        <v>250</v>
      </c>
      <c r="G45" s="644">
        <f>H45/F45</f>
        <v>42</v>
      </c>
      <c r="H45" s="637">
        <f>H44+E45</f>
        <v>10500</v>
      </c>
      <c r="I45" s="3"/>
      <c r="J45" s="3"/>
      <c r="K45" s="3"/>
    </row>
    <row r="46" spans="1:11" ht="12.75" customHeight="1">
      <c r="A46" s="630">
        <v>42833</v>
      </c>
      <c r="B46" s="194" t="s">
        <v>845</v>
      </c>
      <c r="C46" s="194">
        <v>-100</v>
      </c>
      <c r="D46" s="625">
        <f>G45</f>
        <v>42</v>
      </c>
      <c r="E46" s="626">
        <f t="shared" si="0"/>
        <v>-4200</v>
      </c>
      <c r="F46" s="194">
        <f t="shared" si="1"/>
        <v>150</v>
      </c>
      <c r="G46" s="646">
        <f>G45</f>
        <v>42</v>
      </c>
      <c r="H46" s="632">
        <f>F46*G46</f>
        <v>6300</v>
      </c>
      <c r="I46" s="3"/>
      <c r="J46" s="3"/>
      <c r="K46" s="3"/>
    </row>
    <row r="47" spans="1:11" ht="12.75" customHeight="1">
      <c r="A47" s="621">
        <v>42840</v>
      </c>
      <c r="B47" s="622" t="s">
        <v>1428</v>
      </c>
      <c r="C47" s="622">
        <v>250</v>
      </c>
      <c r="D47" s="614">
        <v>50</v>
      </c>
      <c r="E47" s="620">
        <f t="shared" si="0"/>
        <v>12500</v>
      </c>
      <c r="F47" s="622">
        <f t="shared" si="1"/>
        <v>400</v>
      </c>
      <c r="G47" s="431">
        <f>H47/F47</f>
        <v>47</v>
      </c>
      <c r="H47" s="636">
        <f>H46+E47</f>
        <v>18800</v>
      </c>
      <c r="I47" s="3"/>
      <c r="J47" s="3"/>
      <c r="K47" s="3"/>
    </row>
    <row r="48" spans="1:11" ht="12.75" customHeight="1">
      <c r="A48" s="328">
        <v>42842</v>
      </c>
      <c r="B48" s="572" t="s">
        <v>845</v>
      </c>
      <c r="C48" s="572">
        <v>-150</v>
      </c>
      <c r="D48" s="653">
        <f>G47</f>
        <v>47</v>
      </c>
      <c r="E48" s="652">
        <f t="shared" si="0"/>
        <v>-7050</v>
      </c>
      <c r="F48" s="572">
        <f t="shared" si="1"/>
        <v>250</v>
      </c>
      <c r="G48" s="654">
        <f>G47</f>
        <v>47</v>
      </c>
      <c r="H48" s="283">
        <f>F48*G48</f>
        <v>11750</v>
      </c>
      <c r="I48" s="3"/>
      <c r="J48" s="3"/>
      <c r="K48" s="3"/>
    </row>
    <row r="49" spans="1:11" ht="12.75" customHeight="1">
      <c r="A49" s="630">
        <v>42849</v>
      </c>
      <c r="B49" s="194" t="s">
        <v>1428</v>
      </c>
      <c r="C49" s="194">
        <v>50</v>
      </c>
      <c r="D49" s="576">
        <v>50</v>
      </c>
      <c r="E49" s="631">
        <f t="shared" si="0"/>
        <v>2500</v>
      </c>
      <c r="F49" s="194">
        <f t="shared" si="1"/>
        <v>300</v>
      </c>
      <c r="G49" s="656">
        <f>H49/F49</f>
        <v>47.5</v>
      </c>
      <c r="H49" s="640">
        <f>H48+E49</f>
        <v>14250</v>
      </c>
      <c r="I49" s="3"/>
      <c r="J49" s="3"/>
      <c r="K49" s="3"/>
    </row>
    <row r="50" spans="1:11" ht="12.75" customHeight="1">
      <c r="A50" s="328">
        <v>42855</v>
      </c>
      <c r="B50" s="575" t="s">
        <v>845</v>
      </c>
      <c r="C50" s="575">
        <v>-150</v>
      </c>
      <c r="D50" s="641">
        <f>G49</f>
        <v>47.5</v>
      </c>
      <c r="E50" s="642">
        <f t="shared" si="0"/>
        <v>-7125</v>
      </c>
      <c r="F50" s="575">
        <f t="shared" si="1"/>
        <v>150</v>
      </c>
      <c r="G50" s="655">
        <f>G49</f>
        <v>47.5</v>
      </c>
      <c r="H50" s="643">
        <f>F50*G50</f>
        <v>7125</v>
      </c>
      <c r="I50" s="3"/>
      <c r="J50" s="3"/>
      <c r="K50" s="3"/>
    </row>
    <row r="51" spans="1:11" ht="12.75" customHeight="1">
      <c r="A51" s="658" t="s">
        <v>1311</v>
      </c>
      <c r="B51" s="573"/>
      <c r="C51" s="573"/>
      <c r="D51" s="633"/>
      <c r="E51" s="649"/>
      <c r="F51" s="573"/>
      <c r="G51" s="650"/>
      <c r="H51" s="651"/>
      <c r="I51" s="3"/>
      <c r="J51" s="3"/>
      <c r="K51" s="3"/>
    </row>
    <row r="52" spans="1:11" ht="12.75" customHeight="1">
      <c r="B52" s="659" t="s">
        <v>1430</v>
      </c>
      <c r="C52" s="573"/>
      <c r="E52" s="649"/>
      <c r="F52" s="660" t="s">
        <v>1435</v>
      </c>
      <c r="G52" s="650"/>
      <c r="H52" s="651"/>
      <c r="I52" s="3"/>
      <c r="J52" s="3"/>
      <c r="K52" s="3"/>
    </row>
    <row r="53" spans="1:11" ht="12.75" customHeight="1">
      <c r="B53" s="634" t="s">
        <v>1431</v>
      </c>
      <c r="C53" s="573"/>
      <c r="E53" s="592"/>
      <c r="F53" s="576" t="s">
        <v>1436</v>
      </c>
      <c r="G53" s="650"/>
      <c r="H53" s="651"/>
      <c r="I53" s="3"/>
      <c r="J53" s="3"/>
      <c r="K53" s="3"/>
    </row>
    <row r="54" spans="1:11" ht="12.75" customHeight="1">
      <c r="B54" s="634" t="s">
        <v>1432</v>
      </c>
      <c r="C54" s="573"/>
      <c r="E54" s="592"/>
      <c r="F54" s="576" t="s">
        <v>1437</v>
      </c>
      <c r="G54" s="650"/>
      <c r="H54" s="651"/>
      <c r="I54" s="3"/>
      <c r="J54" s="3"/>
      <c r="K54" s="3"/>
    </row>
    <row r="55" spans="1:11" ht="12.75" customHeight="1">
      <c r="B55" s="634" t="s">
        <v>1433</v>
      </c>
      <c r="C55" s="573"/>
      <c r="E55" s="592"/>
      <c r="F55" s="576" t="s">
        <v>1438</v>
      </c>
      <c r="G55" s="650"/>
      <c r="H55" s="651"/>
      <c r="I55" s="3"/>
      <c r="J55" s="3"/>
      <c r="K55" s="3"/>
    </row>
    <row r="56" spans="1:11" ht="12.75" customHeight="1">
      <c r="B56" s="634" t="s">
        <v>1434</v>
      </c>
      <c r="C56" s="573"/>
      <c r="E56" s="592"/>
      <c r="F56" s="576" t="s">
        <v>1439</v>
      </c>
      <c r="G56" s="650"/>
      <c r="H56" s="651"/>
      <c r="I56" s="3"/>
      <c r="J56" s="3"/>
      <c r="K56" s="3"/>
    </row>
    <row r="57" spans="1:11" ht="12.75" customHeight="1">
      <c r="A57" s="634"/>
      <c r="B57" s="573"/>
      <c r="C57" s="573"/>
      <c r="D57" s="633"/>
      <c r="E57" s="649"/>
      <c r="F57" s="573"/>
      <c r="G57" s="650"/>
      <c r="H57" s="651"/>
      <c r="I57" s="3"/>
      <c r="J57" s="3"/>
      <c r="K57" s="3"/>
    </row>
    <row r="58" spans="1:11" ht="12.75" customHeight="1">
      <c r="A58" s="1" t="s">
        <v>2174</v>
      </c>
      <c r="J58" s="3"/>
      <c r="K58" s="3"/>
    </row>
    <row r="59" spans="1:11" ht="12.75" customHeight="1">
      <c r="C59" s="109" t="s">
        <v>97</v>
      </c>
      <c r="D59" s="109" t="s">
        <v>98</v>
      </c>
      <c r="J59" s="3"/>
      <c r="K59" s="3"/>
    </row>
    <row r="60" spans="1:11" ht="12.75" customHeight="1">
      <c r="A60" s="2" t="s">
        <v>93</v>
      </c>
      <c r="C60" s="17">
        <v>2000</v>
      </c>
      <c r="D60" s="17">
        <v>1280</v>
      </c>
      <c r="E60" s="2" t="s">
        <v>99</v>
      </c>
      <c r="J60" s="3"/>
      <c r="K60" s="3"/>
    </row>
    <row r="61" spans="1:11" ht="12.75" customHeight="1">
      <c r="A61" s="2" t="s">
        <v>96</v>
      </c>
      <c r="C61" s="43">
        <v>30</v>
      </c>
      <c r="D61" s="43">
        <v>35</v>
      </c>
      <c r="J61" s="3"/>
      <c r="K61" s="3"/>
    </row>
    <row r="62" spans="1:11" ht="12.75" customHeight="1">
      <c r="A62" s="2" t="s">
        <v>94</v>
      </c>
      <c r="C62" s="43">
        <v>40</v>
      </c>
      <c r="D62" s="43">
        <v>47</v>
      </c>
      <c r="J62" s="3"/>
      <c r="K62" s="3"/>
    </row>
    <row r="63" spans="1:11" ht="12.75" customHeight="1">
      <c r="A63" s="2" t="s">
        <v>95</v>
      </c>
      <c r="C63" s="42">
        <v>0.3</v>
      </c>
      <c r="D63" s="42">
        <v>0.3</v>
      </c>
      <c r="J63" s="3"/>
      <c r="K63" s="3"/>
    </row>
    <row r="64" spans="1:11" ht="12.75" customHeight="1">
      <c r="A64" s="1" t="s">
        <v>362</v>
      </c>
      <c r="B64" s="1"/>
      <c r="C64" s="1"/>
      <c r="D64" s="1"/>
      <c r="J64" s="3"/>
      <c r="K64" s="3"/>
    </row>
    <row r="65" spans="1:11" ht="12.75" customHeight="1">
      <c r="A65" s="28" t="s">
        <v>100</v>
      </c>
      <c r="E65" s="28" t="s">
        <v>102</v>
      </c>
      <c r="J65" s="3"/>
      <c r="K65" s="3"/>
    </row>
    <row r="66" spans="1:11" ht="12.75" customHeight="1">
      <c r="J66" s="3"/>
      <c r="K66" s="3"/>
    </row>
    <row r="67" spans="1:11" ht="12.75" customHeight="1">
      <c r="J67" s="3"/>
      <c r="K67" s="3"/>
    </row>
    <row r="68" spans="1:11" ht="12.75" customHeight="1">
      <c r="J68" s="3"/>
      <c r="K68" s="3"/>
    </row>
    <row r="69" spans="1:11" ht="12.75" customHeight="1">
      <c r="J69" s="3"/>
      <c r="K69" s="3"/>
    </row>
    <row r="70" spans="1:11" ht="12.75" customHeight="1">
      <c r="J70" s="3"/>
      <c r="K70" s="3"/>
    </row>
    <row r="71" spans="1:11" ht="12.75" customHeight="1">
      <c r="A71" s="826" t="s">
        <v>31</v>
      </c>
      <c r="B71" s="7">
        <f>POWER((2*C60*C61)/(C62*C63),0.5)</f>
        <v>100</v>
      </c>
      <c r="C71" s="8" t="s">
        <v>101</v>
      </c>
      <c r="E71" s="826" t="s">
        <v>31</v>
      </c>
      <c r="F71" s="41">
        <f>POWER((2*D60*D61)/(D63*D62),0.5)</f>
        <v>79.715807272322181</v>
      </c>
      <c r="G71" s="8" t="s">
        <v>101</v>
      </c>
      <c r="J71" s="3"/>
      <c r="K71" s="3"/>
    </row>
    <row r="72" spans="1:11" ht="12.75" customHeight="1">
      <c r="J72" s="3"/>
      <c r="K72" s="3"/>
    </row>
    <row r="73" spans="1:11" ht="12.75" customHeight="1">
      <c r="A73" s="1" t="s">
        <v>103</v>
      </c>
      <c r="B73" s="1"/>
      <c r="C73" s="1"/>
      <c r="D73" s="1"/>
      <c r="E73" s="1"/>
      <c r="F73" s="1"/>
      <c r="G73" s="1"/>
      <c r="J73" s="3"/>
      <c r="K73" s="3"/>
    </row>
    <row r="74" spans="1:11" ht="12.75" customHeight="1">
      <c r="A74" s="28" t="s">
        <v>100</v>
      </c>
      <c r="J74" s="3"/>
      <c r="K74" s="3"/>
    </row>
    <row r="75" spans="1:11" ht="12.75" customHeight="1">
      <c r="A75" s="108" t="s">
        <v>351</v>
      </c>
      <c r="B75" s="110" t="s">
        <v>23</v>
      </c>
      <c r="C75" s="2" t="s">
        <v>32</v>
      </c>
      <c r="E75" s="108" t="s">
        <v>353</v>
      </c>
      <c r="F75" s="108" t="s">
        <v>34</v>
      </c>
      <c r="G75" s="110" t="s">
        <v>24</v>
      </c>
      <c r="H75" s="18" t="s">
        <v>35</v>
      </c>
      <c r="J75" s="3"/>
      <c r="K75" s="3"/>
    </row>
    <row r="76" spans="1:11" ht="12.75" customHeight="1">
      <c r="B76" s="109" t="s">
        <v>24</v>
      </c>
      <c r="F76" s="109"/>
      <c r="G76" s="109">
        <v>2</v>
      </c>
      <c r="H76" s="109"/>
      <c r="J76" s="3"/>
      <c r="K76" s="3"/>
    </row>
    <row r="77" spans="1:11" ht="12.75" customHeight="1">
      <c r="A77" s="108" t="s">
        <v>352</v>
      </c>
      <c r="B77" s="29">
        <f>C60</f>
        <v>2000</v>
      </c>
      <c r="C77" s="2" t="s">
        <v>364</v>
      </c>
      <c r="E77" s="108" t="s">
        <v>353</v>
      </c>
      <c r="F77" s="108" t="s">
        <v>365</v>
      </c>
      <c r="G77" s="11">
        <f>B71</f>
        <v>100</v>
      </c>
      <c r="H77" s="18" t="s">
        <v>368</v>
      </c>
      <c r="J77" s="3"/>
      <c r="K77" s="3"/>
    </row>
    <row r="78" spans="1:11" ht="12.75" customHeight="1">
      <c r="B78" s="10">
        <f>B71</f>
        <v>100</v>
      </c>
      <c r="F78" s="109"/>
      <c r="G78" s="109">
        <v>2</v>
      </c>
      <c r="H78" s="109"/>
      <c r="J78" s="3"/>
      <c r="K78" s="3"/>
    </row>
    <row r="79" spans="1:11" ht="12.75" customHeight="1">
      <c r="A79" s="19" t="s">
        <v>352</v>
      </c>
      <c r="B79" s="163">
        <f>(C60/B71)*C61</f>
        <v>600</v>
      </c>
      <c r="C79" s="14"/>
      <c r="E79" s="19" t="s">
        <v>353</v>
      </c>
      <c r="F79" s="164">
        <f>C63*(B71/2)*C62</f>
        <v>600</v>
      </c>
      <c r="J79" s="3"/>
      <c r="K79" s="3"/>
    </row>
    <row r="80" spans="1:11" ht="12.75" customHeight="1">
      <c r="J80" s="3"/>
      <c r="K80" s="3"/>
    </row>
    <row r="81" spans="1:11" ht="12.75" customHeight="1">
      <c r="A81" s="108" t="s">
        <v>38</v>
      </c>
      <c r="B81" s="2" t="s">
        <v>39</v>
      </c>
      <c r="J81" s="3"/>
      <c r="K81" s="3"/>
    </row>
    <row r="82" spans="1:11" ht="12.75" customHeight="1">
      <c r="A82" s="108" t="s">
        <v>40</v>
      </c>
      <c r="B82" s="2" t="s">
        <v>367</v>
      </c>
      <c r="J82" s="3"/>
      <c r="K82" s="3"/>
    </row>
    <row r="83" spans="1:11" ht="12.75" customHeight="1">
      <c r="A83" s="19" t="s">
        <v>40</v>
      </c>
      <c r="B83" s="165">
        <f>B79+F79</f>
        <v>1200</v>
      </c>
      <c r="J83" s="3"/>
      <c r="K83" s="3"/>
    </row>
    <row r="84" spans="1:11" ht="12.75" customHeight="1">
      <c r="J84" s="3"/>
      <c r="K84" s="3"/>
    </row>
    <row r="85" spans="1:11" ht="12.75" customHeight="1">
      <c r="A85" s="28" t="s">
        <v>102</v>
      </c>
      <c r="J85" s="3"/>
      <c r="K85" s="3"/>
    </row>
    <row r="86" spans="1:11" ht="12.75" customHeight="1">
      <c r="A86" s="108" t="s">
        <v>351</v>
      </c>
      <c r="B86" s="110" t="s">
        <v>23</v>
      </c>
      <c r="C86" s="2" t="s">
        <v>32</v>
      </c>
      <c r="E86" s="108" t="s">
        <v>353</v>
      </c>
      <c r="F86" s="108" t="s">
        <v>34</v>
      </c>
      <c r="G86" s="110" t="s">
        <v>24</v>
      </c>
      <c r="H86" s="18" t="s">
        <v>35</v>
      </c>
      <c r="J86" s="3"/>
      <c r="K86" s="3"/>
    </row>
    <row r="87" spans="1:11" ht="12.75" customHeight="1">
      <c r="B87" s="109" t="s">
        <v>24</v>
      </c>
      <c r="D87" s="54"/>
      <c r="F87" s="109"/>
      <c r="G87" s="109">
        <v>2</v>
      </c>
      <c r="H87" s="109"/>
      <c r="J87" s="3"/>
      <c r="K87" s="3"/>
    </row>
    <row r="88" spans="1:11" ht="12.75" customHeight="1">
      <c r="A88" s="108" t="s">
        <v>351</v>
      </c>
      <c r="B88" s="29">
        <f>D60</f>
        <v>1280</v>
      </c>
      <c r="C88" s="2" t="s">
        <v>369</v>
      </c>
      <c r="D88" s="54"/>
      <c r="E88" s="108" t="s">
        <v>353</v>
      </c>
      <c r="F88" s="108" t="s">
        <v>365</v>
      </c>
      <c r="G88" s="176">
        <f>F71</f>
        <v>79.715807272322181</v>
      </c>
      <c r="H88" s="18" t="s">
        <v>366</v>
      </c>
      <c r="J88" s="3"/>
      <c r="K88" s="3"/>
    </row>
    <row r="89" spans="1:11" ht="12.75" customHeight="1">
      <c r="B89" s="47">
        <f>F71</f>
        <v>79.715807272322181</v>
      </c>
      <c r="D89" s="54"/>
      <c r="F89" s="109"/>
      <c r="G89" s="109">
        <v>2</v>
      </c>
      <c r="H89" s="109"/>
      <c r="J89" s="3"/>
      <c r="K89" s="3"/>
    </row>
    <row r="90" spans="1:11" ht="12.75" customHeight="1">
      <c r="A90" s="19" t="s">
        <v>352</v>
      </c>
      <c r="B90" s="172">
        <f>(D60/F71)*D61</f>
        <v>561.99644126987141</v>
      </c>
      <c r="C90" s="14"/>
      <c r="E90" s="19" t="s">
        <v>353</v>
      </c>
      <c r="F90" s="173">
        <f>D63*(F71/2)*D62</f>
        <v>561.9964412698713</v>
      </c>
      <c r="J90" s="3"/>
      <c r="K90" s="3"/>
    </row>
    <row r="91" spans="1:11" ht="12.75" customHeight="1">
      <c r="J91" s="3"/>
      <c r="K91" s="3"/>
    </row>
    <row r="92" spans="1:11" ht="12.75" customHeight="1">
      <c r="A92" s="108" t="s">
        <v>38</v>
      </c>
      <c r="B92" s="2" t="s">
        <v>39</v>
      </c>
      <c r="J92" s="3"/>
      <c r="K92" s="3"/>
    </row>
    <row r="93" spans="1:11" ht="12.75" customHeight="1">
      <c r="A93" s="108" t="s">
        <v>40</v>
      </c>
      <c r="B93" s="2" t="s">
        <v>370</v>
      </c>
      <c r="J93" s="3"/>
      <c r="K93" s="3"/>
    </row>
    <row r="94" spans="1:11" ht="12.75" customHeight="1">
      <c r="A94" s="19" t="s">
        <v>40</v>
      </c>
      <c r="B94" s="174">
        <f>B90+F90</f>
        <v>1123.9928825397428</v>
      </c>
      <c r="J94" s="3"/>
      <c r="K94" s="3"/>
    </row>
    <row r="95" spans="1:11" ht="12.75" customHeight="1">
      <c r="J95" s="3"/>
      <c r="K95" s="3"/>
    </row>
    <row r="96" spans="1:11" ht="12.75" customHeight="1">
      <c r="A96" s="1" t="s">
        <v>363</v>
      </c>
      <c r="B96" s="1"/>
      <c r="C96" s="1"/>
      <c r="D96" s="1"/>
      <c r="E96" s="1"/>
      <c r="J96" s="3"/>
      <c r="K96" s="3"/>
    </row>
    <row r="97" spans="1:11" ht="12.75" customHeight="1">
      <c r="A97" s="28" t="s">
        <v>100</v>
      </c>
      <c r="E97" s="28" t="s">
        <v>102</v>
      </c>
      <c r="J97" s="3"/>
      <c r="K97" s="3"/>
    </row>
    <row r="98" spans="1:11" ht="12.75" customHeight="1">
      <c r="A98" s="947" t="s">
        <v>104</v>
      </c>
      <c r="B98" s="947"/>
      <c r="C98" s="110" t="s">
        <v>23</v>
      </c>
      <c r="E98" s="941" t="s">
        <v>104</v>
      </c>
      <c r="F98" s="941"/>
      <c r="G98" s="110" t="s">
        <v>23</v>
      </c>
      <c r="J98" s="3"/>
      <c r="K98" s="3"/>
    </row>
    <row r="99" spans="1:11" ht="12.75" customHeight="1">
      <c r="A99" s="947"/>
      <c r="B99" s="947"/>
      <c r="C99" s="109" t="s">
        <v>24</v>
      </c>
      <c r="E99" s="941"/>
      <c r="F99" s="941"/>
      <c r="G99" s="109" t="s">
        <v>24</v>
      </c>
      <c r="J99" s="3"/>
      <c r="K99" s="3"/>
    </row>
    <row r="100" spans="1:11" ht="12.75" customHeight="1">
      <c r="J100" s="3"/>
      <c r="K100" s="3"/>
    </row>
    <row r="101" spans="1:11" ht="12.75" customHeight="1">
      <c r="A101" s="948" t="s">
        <v>105</v>
      </c>
      <c r="B101" s="948"/>
      <c r="C101" s="29">
        <f>C60</f>
        <v>2000</v>
      </c>
      <c r="E101" s="936" t="s">
        <v>105</v>
      </c>
      <c r="F101" s="936"/>
      <c r="G101" s="29">
        <f>D60</f>
        <v>1280</v>
      </c>
      <c r="J101" s="3"/>
      <c r="K101" s="3"/>
    </row>
    <row r="102" spans="1:11" ht="12.75" customHeight="1">
      <c r="A102" s="948"/>
      <c r="B102" s="948"/>
      <c r="C102" s="30">
        <f>B71</f>
        <v>100</v>
      </c>
      <c r="E102" s="936"/>
      <c r="F102" s="936"/>
      <c r="G102" s="175">
        <f>F71</f>
        <v>79.715807272322181</v>
      </c>
      <c r="J102" s="3"/>
      <c r="K102" s="3"/>
    </row>
    <row r="103" spans="1:11" ht="12.75" customHeight="1">
      <c r="J103" s="3"/>
      <c r="K103" s="3"/>
    </row>
    <row r="104" spans="1:11" ht="12.75" customHeight="1">
      <c r="A104" s="937" t="s">
        <v>1025</v>
      </c>
      <c r="B104" s="938"/>
      <c r="C104" s="118">
        <f>C101/C102</f>
        <v>20</v>
      </c>
      <c r="D104" s="100" t="s">
        <v>27</v>
      </c>
      <c r="E104" s="939" t="s">
        <v>105</v>
      </c>
      <c r="F104" s="939"/>
      <c r="G104" s="115">
        <f>G101/G102</f>
        <v>16.057041179139183</v>
      </c>
      <c r="H104" s="100" t="s">
        <v>27</v>
      </c>
      <c r="J104" s="3"/>
      <c r="K104" s="3"/>
    </row>
    <row r="105" spans="1:11" ht="12.75" customHeight="1">
      <c r="J105" s="3"/>
      <c r="K105" s="3"/>
    </row>
    <row r="106" spans="1:11" ht="12.75" customHeight="1">
      <c r="A106" s="634"/>
      <c r="B106" s="696"/>
      <c r="C106" s="696"/>
      <c r="D106" s="633"/>
      <c r="E106" s="649"/>
      <c r="F106" s="696"/>
      <c r="G106" s="650"/>
      <c r="H106" s="651"/>
      <c r="I106" s="3"/>
      <c r="J106" s="3"/>
      <c r="K106" s="3"/>
    </row>
    <row r="107" spans="1:11" ht="12.75" customHeight="1">
      <c r="A107" s="1" t="s">
        <v>2175</v>
      </c>
      <c r="H107" s="651"/>
      <c r="I107" s="3"/>
      <c r="J107" s="3"/>
      <c r="K107" s="3"/>
    </row>
    <row r="108" spans="1:11" ht="12.75" customHeight="1">
      <c r="A108" s="2" t="s">
        <v>1</v>
      </c>
      <c r="H108" s="651"/>
      <c r="I108" s="3"/>
      <c r="J108" s="3"/>
      <c r="K108" s="3"/>
    </row>
    <row r="109" spans="1:11" ht="12.75" customHeight="1">
      <c r="A109" s="942" t="s">
        <v>82</v>
      </c>
      <c r="B109" s="942"/>
      <c r="C109" s="942"/>
      <c r="D109" s="25">
        <v>26000</v>
      </c>
      <c r="E109" s="4" t="s">
        <v>345</v>
      </c>
      <c r="G109" s="3"/>
      <c r="H109" s="651"/>
      <c r="I109" s="3"/>
      <c r="J109" s="3"/>
      <c r="K109" s="3"/>
    </row>
    <row r="110" spans="1:11" ht="12.75" customHeight="1">
      <c r="A110" s="942" t="s">
        <v>360</v>
      </c>
      <c r="B110" s="942"/>
      <c r="C110" s="942"/>
      <c r="D110" s="31">
        <v>10.4</v>
      </c>
      <c r="E110" s="4" t="s">
        <v>346</v>
      </c>
      <c r="G110" s="3"/>
      <c r="H110" s="651"/>
      <c r="I110" s="3"/>
      <c r="J110" s="3"/>
      <c r="K110" s="3"/>
    </row>
    <row r="111" spans="1:11" ht="12.75" customHeight="1">
      <c r="A111" s="942" t="s">
        <v>12</v>
      </c>
      <c r="B111" s="942"/>
      <c r="C111" s="942"/>
      <c r="D111" s="4">
        <v>104</v>
      </c>
      <c r="E111" s="4" t="s">
        <v>347</v>
      </c>
      <c r="G111" s="3"/>
      <c r="H111" s="651"/>
      <c r="I111" s="3"/>
      <c r="J111" s="3"/>
      <c r="K111" s="3"/>
    </row>
    <row r="112" spans="1:11" ht="12.75" customHeight="1">
      <c r="A112" s="942" t="s">
        <v>80</v>
      </c>
      <c r="B112" s="942"/>
      <c r="C112" s="942"/>
      <c r="D112" s="25">
        <v>72</v>
      </c>
      <c r="E112" s="26" t="s">
        <v>81</v>
      </c>
      <c r="G112" s="3"/>
      <c r="H112" s="651"/>
      <c r="I112" s="3"/>
      <c r="J112" s="3"/>
      <c r="K112" s="3"/>
    </row>
    <row r="113" spans="1:11" ht="12.75" customHeight="1">
      <c r="A113" s="3"/>
      <c r="B113" s="3"/>
      <c r="C113" s="3"/>
      <c r="D113" s="4"/>
      <c r="E113" s="4"/>
      <c r="H113" s="651"/>
      <c r="I113" s="3"/>
      <c r="J113" s="3"/>
      <c r="K113" s="3"/>
    </row>
    <row r="114" spans="1:11" ht="12.75" customHeight="1">
      <c r="A114" s="950" t="s">
        <v>1024</v>
      </c>
      <c r="B114" s="950"/>
      <c r="C114" s="950"/>
      <c r="D114" s="950"/>
      <c r="E114" s="950"/>
      <c r="F114" s="950"/>
      <c r="G114" s="950"/>
      <c r="H114" s="651"/>
      <c r="I114" s="3"/>
      <c r="J114" s="3"/>
      <c r="K114" s="3"/>
    </row>
    <row r="115" spans="1:11" ht="12.75" customHeight="1" thickBot="1">
      <c r="A115" s="950"/>
      <c r="B115" s="950"/>
      <c r="C115" s="950"/>
      <c r="D115" s="950"/>
      <c r="E115" s="950"/>
      <c r="F115" s="950"/>
      <c r="G115" s="950"/>
      <c r="H115" s="651"/>
      <c r="I115" s="3"/>
      <c r="J115" s="3"/>
      <c r="K115" s="3"/>
    </row>
    <row r="116" spans="1:11" ht="12.75" customHeight="1" thickBot="1">
      <c r="A116" s="37" t="s">
        <v>24</v>
      </c>
      <c r="B116" s="34">
        <v>300</v>
      </c>
      <c r="C116" s="34">
        <v>500</v>
      </c>
      <c r="D116" s="34">
        <v>600</v>
      </c>
      <c r="E116" s="34">
        <v>700</v>
      </c>
      <c r="F116" s="35">
        <v>900</v>
      </c>
      <c r="H116" s="651"/>
      <c r="I116" s="3"/>
      <c r="J116" s="3"/>
      <c r="K116" s="3"/>
    </row>
    <row r="117" spans="1:11" ht="12.75" customHeight="1">
      <c r="A117" s="36" t="s">
        <v>23</v>
      </c>
      <c r="B117" s="38">
        <f>D109</f>
        <v>26000</v>
      </c>
      <c r="C117" s="38">
        <f>D109</f>
        <v>26000</v>
      </c>
      <c r="D117" s="38">
        <f>D109</f>
        <v>26000</v>
      </c>
      <c r="E117" s="38">
        <f>D109</f>
        <v>26000</v>
      </c>
      <c r="F117" s="38">
        <f>D109</f>
        <v>26000</v>
      </c>
      <c r="H117" s="651"/>
      <c r="I117" s="3"/>
      <c r="J117" s="3"/>
      <c r="K117" s="3"/>
    </row>
    <row r="118" spans="1:11" ht="12.75" customHeight="1">
      <c r="A118" s="32" t="s">
        <v>83</v>
      </c>
      <c r="B118" s="39">
        <f>B116/2</f>
        <v>150</v>
      </c>
      <c r="C118" s="39">
        <f>C116/2</f>
        <v>250</v>
      </c>
      <c r="D118" s="39">
        <f>D116/2</f>
        <v>300</v>
      </c>
      <c r="E118" s="39">
        <f>E116/2</f>
        <v>350</v>
      </c>
      <c r="F118" s="39">
        <f>F116/2</f>
        <v>450</v>
      </c>
      <c r="H118" s="651"/>
      <c r="I118" s="3"/>
      <c r="J118" s="3"/>
      <c r="K118" s="3"/>
    </row>
    <row r="119" spans="1:11" ht="12.75" customHeight="1">
      <c r="A119" s="32" t="s">
        <v>84</v>
      </c>
      <c r="B119" s="39">
        <f>B117/B116</f>
        <v>86.666666666666671</v>
      </c>
      <c r="C119" s="39">
        <f>C117/C116</f>
        <v>52</v>
      </c>
      <c r="D119" s="39">
        <f>D117/D116</f>
        <v>43.333333333333336</v>
      </c>
      <c r="E119" s="39">
        <f>E117/E116</f>
        <v>37.142857142857146</v>
      </c>
      <c r="F119" s="39">
        <f>F117/F116</f>
        <v>28.888888888888889</v>
      </c>
      <c r="H119" s="651"/>
      <c r="I119" s="3"/>
      <c r="J119" s="3"/>
      <c r="K119" s="3"/>
    </row>
    <row r="120" spans="1:11" ht="12.75" customHeight="1">
      <c r="A120" s="32" t="s">
        <v>88</v>
      </c>
      <c r="B120" s="39">
        <f>D112</f>
        <v>72</v>
      </c>
      <c r="C120" s="39">
        <f>D112</f>
        <v>72</v>
      </c>
      <c r="D120" s="39">
        <f>D112</f>
        <v>72</v>
      </c>
      <c r="E120" s="39">
        <f>D112</f>
        <v>72</v>
      </c>
      <c r="F120" s="39">
        <f>D112</f>
        <v>72</v>
      </c>
      <c r="H120" s="651"/>
      <c r="I120" s="3"/>
      <c r="J120" s="3"/>
      <c r="K120" s="3"/>
    </row>
    <row r="121" spans="1:11" ht="12.75" customHeight="1">
      <c r="A121" s="32" t="s">
        <v>89</v>
      </c>
      <c r="B121" s="39">
        <f>B119*B120</f>
        <v>6240</v>
      </c>
      <c r="C121" s="39">
        <f>C119*C120</f>
        <v>3744</v>
      </c>
      <c r="D121" s="827">
        <f>D119*D120</f>
        <v>3120</v>
      </c>
      <c r="E121" s="39">
        <f>E119*E120</f>
        <v>2674.2857142857147</v>
      </c>
      <c r="F121" s="39">
        <f>F119*F120</f>
        <v>2080</v>
      </c>
      <c r="H121" s="651"/>
      <c r="I121" s="3"/>
      <c r="J121" s="3"/>
      <c r="K121" s="3"/>
    </row>
    <row r="122" spans="1:11" ht="12.75" customHeight="1">
      <c r="A122" s="32" t="s">
        <v>85</v>
      </c>
      <c r="B122" s="39">
        <f>D111</f>
        <v>104</v>
      </c>
      <c r="C122" s="39">
        <f>D111</f>
        <v>104</v>
      </c>
      <c r="D122" s="39">
        <f>D111</f>
        <v>104</v>
      </c>
      <c r="E122" s="39">
        <f>D111</f>
        <v>104</v>
      </c>
      <c r="F122" s="39">
        <f>D111</f>
        <v>104</v>
      </c>
      <c r="H122" s="651"/>
      <c r="I122" s="3"/>
      <c r="J122" s="3"/>
      <c r="K122" s="3"/>
    </row>
    <row r="123" spans="1:11" ht="12.75" customHeight="1">
      <c r="A123" s="32" t="s">
        <v>86</v>
      </c>
      <c r="B123" s="39">
        <f>D110/D111</f>
        <v>0.1</v>
      </c>
      <c r="C123" s="39">
        <f>D110/D111</f>
        <v>0.1</v>
      </c>
      <c r="D123" s="39">
        <f>D110/D111</f>
        <v>0.1</v>
      </c>
      <c r="E123" s="39">
        <f>D110/D111</f>
        <v>0.1</v>
      </c>
      <c r="F123" s="39">
        <f>D110/D111</f>
        <v>0.1</v>
      </c>
      <c r="H123" s="651"/>
      <c r="I123" s="3"/>
      <c r="J123" s="3"/>
      <c r="K123" s="3"/>
    </row>
    <row r="124" spans="1:11" ht="12.75" customHeight="1">
      <c r="A124" s="32" t="s">
        <v>87</v>
      </c>
      <c r="B124" s="39">
        <f>D110</f>
        <v>10.4</v>
      </c>
      <c r="C124" s="39">
        <f>D110</f>
        <v>10.4</v>
      </c>
      <c r="D124" s="39">
        <f>D123*D122</f>
        <v>10.4</v>
      </c>
      <c r="E124" s="39">
        <f>D110</f>
        <v>10.4</v>
      </c>
      <c r="F124" s="39">
        <f>D110</f>
        <v>10.4</v>
      </c>
      <c r="H124" s="651"/>
      <c r="I124" s="3"/>
      <c r="J124" s="3"/>
      <c r="K124" s="3"/>
    </row>
    <row r="125" spans="1:11" ht="12.75" customHeight="1">
      <c r="A125" s="32" t="s">
        <v>91</v>
      </c>
      <c r="B125" s="39">
        <f>B118*B124</f>
        <v>1560</v>
      </c>
      <c r="C125" s="39">
        <f>C118*C124</f>
        <v>2600</v>
      </c>
      <c r="D125" s="827">
        <f>D118*D124</f>
        <v>3120</v>
      </c>
      <c r="E125" s="39">
        <f>E118*E124</f>
        <v>3640</v>
      </c>
      <c r="F125" s="39">
        <f>F118*F124</f>
        <v>4680</v>
      </c>
      <c r="H125" s="651"/>
      <c r="I125" s="3"/>
      <c r="J125" s="3"/>
      <c r="K125" s="3"/>
    </row>
    <row r="126" spans="1:11" ht="12.75" customHeight="1" thickBot="1">
      <c r="A126" s="33" t="s">
        <v>90</v>
      </c>
      <c r="B126" s="40">
        <f>B121+B125</f>
        <v>7800</v>
      </c>
      <c r="C126" s="40">
        <f>C121+C125</f>
        <v>6344</v>
      </c>
      <c r="D126" s="828">
        <f>D121+D125</f>
        <v>6240</v>
      </c>
      <c r="E126" s="40">
        <f>E121+E125</f>
        <v>6314.2857142857147</v>
      </c>
      <c r="F126" s="40">
        <f>F121+F125</f>
        <v>6760</v>
      </c>
      <c r="H126" s="651"/>
      <c r="I126" s="3"/>
      <c r="J126" s="3"/>
      <c r="K126" s="3"/>
    </row>
    <row r="127" spans="1:11" ht="12.75" customHeight="1">
      <c r="A127" s="3"/>
      <c r="H127" s="651"/>
      <c r="I127" s="3"/>
      <c r="J127" s="3"/>
      <c r="K127" s="3"/>
    </row>
    <row r="128" spans="1:11" ht="12.75" customHeight="1">
      <c r="A128" s="27" t="s">
        <v>92</v>
      </c>
      <c r="H128" s="651"/>
      <c r="I128" s="3"/>
      <c r="J128" s="3"/>
      <c r="K128" s="3"/>
    </row>
    <row r="129" spans="1:11" ht="12.75" customHeight="1">
      <c r="H129" s="651"/>
      <c r="I129" s="3"/>
      <c r="J129" s="3"/>
      <c r="K129" s="3"/>
    </row>
    <row r="130" spans="1:11" ht="12.75" customHeight="1">
      <c r="H130" s="651"/>
      <c r="I130" s="3"/>
      <c r="J130" s="3"/>
      <c r="K130" s="3"/>
    </row>
    <row r="131" spans="1:11" ht="12.75" customHeight="1">
      <c r="H131" s="651"/>
      <c r="I131" s="3"/>
      <c r="J131" s="3"/>
      <c r="K131" s="3"/>
    </row>
    <row r="132" spans="1:11" ht="12.75" customHeight="1">
      <c r="H132" s="651"/>
      <c r="I132" s="3"/>
      <c r="J132" s="3"/>
      <c r="K132" s="3"/>
    </row>
    <row r="133" spans="1:11" ht="12.75" customHeight="1">
      <c r="H133" s="651"/>
      <c r="I133" s="3"/>
      <c r="J133" s="3"/>
      <c r="K133" s="3"/>
    </row>
    <row r="134" spans="1:11" ht="16.5" customHeight="1">
      <c r="A134" s="6" t="s">
        <v>31</v>
      </c>
      <c r="B134" s="7">
        <f>POWER((2*D109*D112)/(D110),0.5)</f>
        <v>600</v>
      </c>
      <c r="C134" s="8" t="s">
        <v>361</v>
      </c>
      <c r="H134" s="651"/>
      <c r="I134" s="3"/>
      <c r="J134" s="3"/>
      <c r="K134" s="3"/>
    </row>
    <row r="135" spans="1:11" ht="12.75" customHeight="1">
      <c r="A135" s="634"/>
      <c r="B135" s="696"/>
      <c r="C135" s="696"/>
      <c r="D135" s="633"/>
      <c r="E135" s="649"/>
      <c r="F135" s="696"/>
      <c r="G135" s="650"/>
      <c r="H135" s="651"/>
      <c r="I135" s="3"/>
      <c r="J135" s="3"/>
      <c r="K135" s="3"/>
    </row>
    <row r="136" spans="1:11">
      <c r="A136" s="1" t="s">
        <v>2176</v>
      </c>
    </row>
    <row r="137" spans="1:11">
      <c r="A137" s="2" t="s">
        <v>1</v>
      </c>
    </row>
    <row r="138" spans="1:11">
      <c r="A138" s="942" t="s">
        <v>60</v>
      </c>
      <c r="B138" s="942"/>
      <c r="C138" s="942"/>
      <c r="D138" s="25">
        <v>4000</v>
      </c>
      <c r="E138" s="4" t="s">
        <v>61</v>
      </c>
    </row>
    <row r="139" spans="1:11">
      <c r="A139" s="942" t="s">
        <v>11</v>
      </c>
      <c r="B139" s="942"/>
      <c r="C139" s="942"/>
      <c r="D139" s="5">
        <v>20</v>
      </c>
      <c r="E139" s="4" t="s">
        <v>62</v>
      </c>
    </row>
    <row r="140" spans="1:11">
      <c r="A140" s="942" t="s">
        <v>12</v>
      </c>
      <c r="B140" s="942"/>
      <c r="C140" s="942"/>
      <c r="D140" s="4">
        <v>52</v>
      </c>
      <c r="E140" s="4" t="s">
        <v>63</v>
      </c>
    </row>
    <row r="141" spans="1:11">
      <c r="A141" s="942" t="s">
        <v>64</v>
      </c>
      <c r="B141" s="942"/>
      <c r="C141" s="942"/>
      <c r="D141" s="25">
        <v>20000</v>
      </c>
      <c r="E141" s="26" t="s">
        <v>65</v>
      </c>
    </row>
    <row r="142" spans="1:11">
      <c r="A142" s="942" t="s">
        <v>66</v>
      </c>
      <c r="B142" s="942"/>
      <c r="C142" s="942"/>
      <c r="D142" s="4">
        <v>500</v>
      </c>
      <c r="E142" s="4" t="s">
        <v>65</v>
      </c>
    </row>
    <row r="143" spans="1:11">
      <c r="A143" s="942" t="s">
        <v>6</v>
      </c>
      <c r="B143" s="942"/>
      <c r="C143" s="942"/>
      <c r="D143" s="4">
        <v>12</v>
      </c>
      <c r="E143" s="4" t="s">
        <v>13</v>
      </c>
    </row>
    <row r="144" spans="1:11">
      <c r="A144" s="942" t="s">
        <v>7</v>
      </c>
      <c r="B144" s="942"/>
      <c r="C144" s="942"/>
      <c r="D144" s="4">
        <v>16</v>
      </c>
      <c r="E144" s="4" t="s">
        <v>13</v>
      </c>
    </row>
    <row r="145" spans="1:16">
      <c r="A145" s="942"/>
      <c r="B145" s="942"/>
      <c r="C145" s="942"/>
      <c r="D145" s="4"/>
      <c r="E145" s="4"/>
    </row>
    <row r="146" spans="1:16">
      <c r="A146" s="27" t="s">
        <v>348</v>
      </c>
      <c r="B146" s="27"/>
      <c r="C146" s="27"/>
      <c r="D146" s="28"/>
      <c r="E146" s="28"/>
      <c r="L146" s="942"/>
      <c r="M146" s="942"/>
      <c r="N146" s="942"/>
    </row>
    <row r="147" spans="1:16">
      <c r="A147" s="3"/>
      <c r="B147" s="3"/>
      <c r="C147" s="3"/>
      <c r="D147" s="4"/>
      <c r="E147" s="4"/>
      <c r="L147" s="177"/>
      <c r="M147" s="177"/>
      <c r="N147" s="177"/>
    </row>
    <row r="149" spans="1:16">
      <c r="L149" s="942"/>
      <c r="M149" s="942"/>
      <c r="N149" s="942"/>
      <c r="O149" s="945"/>
      <c r="P149" s="945"/>
    </row>
    <row r="150" spans="1:16">
      <c r="O150" s="945"/>
      <c r="P150" s="945"/>
    </row>
    <row r="151" spans="1:16" ht="14.25">
      <c r="A151" s="2" t="s">
        <v>350</v>
      </c>
      <c r="B151" s="2" t="s">
        <v>79</v>
      </c>
      <c r="L151" s="177"/>
      <c r="M151" s="177"/>
      <c r="N151" s="177"/>
      <c r="O151" s="945"/>
      <c r="P151" s="945"/>
    </row>
    <row r="152" spans="1:16">
      <c r="O152" s="945"/>
      <c r="P152" s="945"/>
    </row>
    <row r="153" spans="1:16">
      <c r="A153" s="19" t="s">
        <v>2</v>
      </c>
      <c r="B153" s="162">
        <f>(2*D141*52*D139)/(D140*POWER(D138,2))</f>
        <v>0.05</v>
      </c>
    </row>
    <row r="155" spans="1:16">
      <c r="A155" s="1" t="s">
        <v>349</v>
      </c>
      <c r="B155" s="1"/>
      <c r="C155" s="1"/>
      <c r="D155" s="1"/>
    </row>
    <row r="157" spans="1:16">
      <c r="A157" s="108" t="s">
        <v>351</v>
      </c>
      <c r="B157" s="110" t="s">
        <v>23</v>
      </c>
      <c r="C157" s="2" t="s">
        <v>32</v>
      </c>
      <c r="E157" s="108" t="s">
        <v>353</v>
      </c>
      <c r="F157" s="108" t="s">
        <v>34</v>
      </c>
      <c r="G157" s="110" t="s">
        <v>24</v>
      </c>
      <c r="H157" s="18" t="s">
        <v>35</v>
      </c>
    </row>
    <row r="158" spans="1:16">
      <c r="B158" s="109" t="s">
        <v>24</v>
      </c>
      <c r="F158" s="109"/>
      <c r="G158" s="109">
        <v>2</v>
      </c>
      <c r="H158" s="109"/>
    </row>
    <row r="159" spans="1:16">
      <c r="A159" s="108" t="s">
        <v>352</v>
      </c>
      <c r="B159" s="29">
        <v>1040000</v>
      </c>
      <c r="C159" s="2" t="s">
        <v>67</v>
      </c>
      <c r="E159" s="108" t="s">
        <v>353</v>
      </c>
      <c r="F159" s="108" t="s">
        <v>357</v>
      </c>
      <c r="G159" s="110">
        <v>4000</v>
      </c>
      <c r="H159" s="18" t="s">
        <v>68</v>
      </c>
    </row>
    <row r="160" spans="1:16">
      <c r="A160" s="108"/>
      <c r="B160" s="30">
        <v>4000</v>
      </c>
      <c r="F160" s="109"/>
      <c r="G160" s="109">
        <v>2</v>
      </c>
      <c r="H160" s="109"/>
    </row>
    <row r="161" spans="1:6">
      <c r="A161" s="19" t="s">
        <v>352</v>
      </c>
      <c r="B161" s="163">
        <f>((D141*52)/D138)*D139</f>
        <v>5200</v>
      </c>
      <c r="C161" s="14"/>
      <c r="E161" s="19" t="s">
        <v>353</v>
      </c>
      <c r="F161" s="164">
        <f>B153*(D138/2)*D140</f>
        <v>5200</v>
      </c>
    </row>
    <row r="162" spans="1:6">
      <c r="A162" s="19"/>
      <c r="B162" s="592"/>
      <c r="C162" s="14"/>
      <c r="E162" s="19"/>
      <c r="F162" s="459"/>
    </row>
    <row r="164" spans="1:6">
      <c r="A164" s="108" t="s">
        <v>38</v>
      </c>
      <c r="B164" s="2" t="s">
        <v>39</v>
      </c>
    </row>
    <row r="165" spans="1:6">
      <c r="A165" s="108" t="s">
        <v>40</v>
      </c>
      <c r="B165" s="17" t="s">
        <v>358</v>
      </c>
    </row>
    <row r="166" spans="1:6">
      <c r="A166" s="19" t="s">
        <v>40</v>
      </c>
      <c r="B166" s="165">
        <f>B161+F161</f>
        <v>10400</v>
      </c>
    </row>
    <row r="168" spans="1:6">
      <c r="A168" s="1" t="s">
        <v>1553</v>
      </c>
      <c r="B168" s="1"/>
      <c r="C168" s="1"/>
      <c r="D168" s="1"/>
      <c r="E168" s="1"/>
    </row>
    <row r="191" spans="1:8">
      <c r="A191" s="1" t="s">
        <v>354</v>
      </c>
      <c r="B191" s="1"/>
      <c r="C191" s="1"/>
      <c r="D191" s="1"/>
    </row>
    <row r="192" spans="1:8">
      <c r="A192" s="941" t="s">
        <v>25</v>
      </c>
      <c r="B192" s="941"/>
      <c r="C192" s="110" t="s">
        <v>23</v>
      </c>
      <c r="E192" s="936" t="s">
        <v>69</v>
      </c>
      <c r="F192" s="936"/>
      <c r="G192" s="110">
        <v>365</v>
      </c>
      <c r="H192" s="3"/>
    </row>
    <row r="193" spans="1:8" ht="12.75" customHeight="1">
      <c r="A193" s="941"/>
      <c r="B193" s="941"/>
      <c r="C193" s="109" t="s">
        <v>24</v>
      </c>
      <c r="E193" s="936"/>
      <c r="F193" s="936"/>
      <c r="G193" s="109" t="s">
        <v>29</v>
      </c>
    </row>
    <row r="195" spans="1:8">
      <c r="A195" s="936" t="s">
        <v>25</v>
      </c>
      <c r="B195" s="936"/>
      <c r="C195" s="29">
        <f>D141*52</f>
        <v>1040000</v>
      </c>
      <c r="E195" s="936" t="s">
        <v>69</v>
      </c>
      <c r="F195" s="936"/>
      <c r="G195" s="110">
        <v>365</v>
      </c>
    </row>
    <row r="196" spans="1:8">
      <c r="A196" s="936"/>
      <c r="B196" s="936"/>
      <c r="C196" s="30">
        <f>D138</f>
        <v>4000</v>
      </c>
      <c r="E196" s="936"/>
      <c r="F196" s="936"/>
      <c r="G196" s="10">
        <f>C198</f>
        <v>260</v>
      </c>
    </row>
    <row r="198" spans="1:8">
      <c r="A198" s="939" t="s">
        <v>26</v>
      </c>
      <c r="B198" s="939"/>
      <c r="C198" s="118">
        <f>C195/C196</f>
        <v>260</v>
      </c>
      <c r="D198" s="100" t="s">
        <v>27</v>
      </c>
      <c r="E198" s="943" t="s">
        <v>69</v>
      </c>
      <c r="F198" s="943"/>
      <c r="G198" s="166">
        <f>G195/G196</f>
        <v>1.4038461538461537</v>
      </c>
      <c r="H198" s="100" t="s">
        <v>70</v>
      </c>
    </row>
    <row r="200" spans="1:8">
      <c r="A200" s="1" t="s">
        <v>355</v>
      </c>
    </row>
    <row r="202" spans="1:8" ht="15.75">
      <c r="A202" s="108" t="s">
        <v>72</v>
      </c>
      <c r="B202" s="2" t="s">
        <v>73</v>
      </c>
      <c r="E202" s="2" t="s">
        <v>74</v>
      </c>
      <c r="G202" s="29">
        <f>D141</f>
        <v>20000</v>
      </c>
    </row>
    <row r="203" spans="1:8">
      <c r="G203" s="109">
        <v>7</v>
      </c>
    </row>
    <row r="204" spans="1:8" ht="15.75">
      <c r="A204" s="108" t="s">
        <v>43</v>
      </c>
      <c r="B204" s="2" t="s">
        <v>76</v>
      </c>
      <c r="E204" s="2" t="s">
        <v>74</v>
      </c>
      <c r="G204" s="171">
        <f>G202/G203</f>
        <v>2857.1428571428573</v>
      </c>
      <c r="H204" s="100" t="s">
        <v>356</v>
      </c>
    </row>
    <row r="206" spans="1:8" ht="15.75">
      <c r="A206" s="19" t="s">
        <v>43</v>
      </c>
      <c r="B206" s="167">
        <f>G204*12</f>
        <v>34285.71428571429</v>
      </c>
      <c r="C206" s="100" t="s">
        <v>77</v>
      </c>
    </row>
    <row r="208" spans="1:8">
      <c r="A208" s="1" t="s">
        <v>2177</v>
      </c>
    </row>
    <row r="209" spans="1:5">
      <c r="A209" s="2" t="s">
        <v>1</v>
      </c>
    </row>
    <row r="210" spans="1:5">
      <c r="A210" s="942" t="s">
        <v>8</v>
      </c>
      <c r="B210" s="942"/>
      <c r="C210" s="942"/>
      <c r="D210" s="25">
        <v>31250</v>
      </c>
      <c r="E210" s="4" t="s">
        <v>5</v>
      </c>
    </row>
    <row r="211" spans="1:5">
      <c r="A211" s="942" t="s">
        <v>11</v>
      </c>
      <c r="B211" s="942"/>
      <c r="C211" s="942"/>
      <c r="D211" s="5">
        <v>500</v>
      </c>
      <c r="E211" s="4" t="s">
        <v>62</v>
      </c>
    </row>
    <row r="212" spans="1:5">
      <c r="A212" s="942" t="s">
        <v>9</v>
      </c>
      <c r="B212" s="942"/>
      <c r="C212" s="942"/>
      <c r="D212" s="4">
        <v>0.2</v>
      </c>
      <c r="E212" s="4"/>
    </row>
    <row r="213" spans="1:5">
      <c r="A213" s="942" t="s">
        <v>10</v>
      </c>
      <c r="B213" s="942"/>
      <c r="C213" s="942"/>
      <c r="D213" s="940" t="s">
        <v>3</v>
      </c>
      <c r="E213" s="940"/>
    </row>
    <row r="214" spans="1:5">
      <c r="A214" s="942" t="s">
        <v>12</v>
      </c>
      <c r="B214" s="942"/>
      <c r="C214" s="942"/>
      <c r="D214" s="4">
        <v>100</v>
      </c>
      <c r="E214" s="4" t="s">
        <v>4</v>
      </c>
    </row>
    <row r="215" spans="1:5">
      <c r="A215" s="942" t="s">
        <v>6</v>
      </c>
      <c r="B215" s="942"/>
      <c r="C215" s="942"/>
      <c r="D215" s="4">
        <v>10</v>
      </c>
      <c r="E215" s="4" t="s">
        <v>13</v>
      </c>
    </row>
    <row r="216" spans="1:5">
      <c r="A216" s="942" t="s">
        <v>7</v>
      </c>
      <c r="B216" s="942"/>
      <c r="C216" s="942"/>
      <c r="D216" s="4">
        <v>2</v>
      </c>
      <c r="E216" s="4" t="s">
        <v>14</v>
      </c>
    </row>
    <row r="217" spans="1:5">
      <c r="A217" s="942" t="s">
        <v>1026</v>
      </c>
      <c r="B217" s="942"/>
      <c r="C217" s="942"/>
      <c r="D217" s="4">
        <v>25</v>
      </c>
      <c r="E217" s="4" t="s">
        <v>15</v>
      </c>
    </row>
    <row r="218" spans="1:5">
      <c r="A218" s="942" t="s">
        <v>359</v>
      </c>
      <c r="B218" s="942"/>
      <c r="C218" s="942"/>
      <c r="D218" s="4">
        <v>840</v>
      </c>
      <c r="E218" s="4" t="s">
        <v>16</v>
      </c>
    </row>
    <row r="219" spans="1:5">
      <c r="A219" s="942" t="s">
        <v>17</v>
      </c>
      <c r="B219" s="942"/>
      <c r="C219" s="942"/>
      <c r="D219" s="4">
        <v>3</v>
      </c>
      <c r="E219" s="4" t="s">
        <v>18</v>
      </c>
    </row>
    <row r="220" spans="1:5">
      <c r="A220" s="2" t="s">
        <v>19</v>
      </c>
    </row>
    <row r="222" spans="1:5">
      <c r="A222" s="1" t="s">
        <v>20</v>
      </c>
      <c r="B222" s="1"/>
    </row>
    <row r="229" spans="1:8" ht="14.25">
      <c r="A229" s="76" t="s">
        <v>184</v>
      </c>
      <c r="B229" s="7">
        <f>POWER((2*D210*D211)/(D212*D214),0.5)</f>
        <v>1250</v>
      </c>
      <c r="C229" s="8" t="s">
        <v>21</v>
      </c>
    </row>
    <row r="231" spans="1:8">
      <c r="A231" s="1" t="s">
        <v>22</v>
      </c>
      <c r="B231" s="1"/>
      <c r="C231" s="1"/>
    </row>
    <row r="232" spans="1:8">
      <c r="A232" s="1"/>
      <c r="B232" s="1"/>
      <c r="C232" s="1"/>
    </row>
    <row r="233" spans="1:8" ht="12.75" customHeight="1">
      <c r="A233" s="941" t="s">
        <v>25</v>
      </c>
      <c r="B233" s="941"/>
      <c r="C233" s="110" t="s">
        <v>23</v>
      </c>
      <c r="E233" s="936" t="s">
        <v>28</v>
      </c>
      <c r="F233" s="936"/>
      <c r="G233" s="110" t="s">
        <v>29</v>
      </c>
      <c r="H233" s="3"/>
    </row>
    <row r="234" spans="1:8">
      <c r="A234" s="941"/>
      <c r="B234" s="941"/>
      <c r="C234" s="109" t="s">
        <v>24</v>
      </c>
      <c r="E234" s="936"/>
      <c r="F234" s="936"/>
      <c r="G234" s="109">
        <v>12</v>
      </c>
    </row>
    <row r="236" spans="1:8">
      <c r="A236" s="936" t="s">
        <v>25</v>
      </c>
      <c r="B236" s="936"/>
      <c r="C236" s="29">
        <f>D210</f>
        <v>31250</v>
      </c>
      <c r="E236" s="936" t="s">
        <v>28</v>
      </c>
      <c r="F236" s="936"/>
      <c r="G236" s="110">
        <f>C239</f>
        <v>25</v>
      </c>
    </row>
    <row r="237" spans="1:8">
      <c r="A237" s="936"/>
      <c r="B237" s="936"/>
      <c r="C237" s="10">
        <f>B229</f>
        <v>1250</v>
      </c>
      <c r="E237" s="936"/>
      <c r="F237" s="936"/>
      <c r="G237" s="109">
        <v>12</v>
      </c>
    </row>
    <row r="239" spans="1:8">
      <c r="A239" s="939" t="s">
        <v>26</v>
      </c>
      <c r="B239" s="939"/>
      <c r="C239" s="150">
        <f>C236/C237</f>
        <v>25</v>
      </c>
      <c r="D239" s="100" t="s">
        <v>27</v>
      </c>
      <c r="E239" s="943" t="s">
        <v>28</v>
      </c>
      <c r="F239" s="943"/>
      <c r="G239" s="166">
        <f>G236/G237</f>
        <v>2.0833333333333335</v>
      </c>
      <c r="H239" s="100" t="s">
        <v>71</v>
      </c>
    </row>
    <row r="240" spans="1:8">
      <c r="A240" s="12"/>
      <c r="B240" s="12"/>
    </row>
    <row r="241" spans="1:8">
      <c r="A241" s="1" t="s">
        <v>30</v>
      </c>
      <c r="B241" s="1"/>
      <c r="C241" s="1"/>
      <c r="D241" s="1"/>
    </row>
    <row r="242" spans="1:8">
      <c r="A242" s="1"/>
      <c r="B242" s="1"/>
      <c r="C242" s="1"/>
      <c r="D242" s="1"/>
    </row>
    <row r="243" spans="1:8">
      <c r="A243" s="108" t="s">
        <v>351</v>
      </c>
      <c r="B243" s="110" t="s">
        <v>23</v>
      </c>
      <c r="C243" s="2" t="s">
        <v>32</v>
      </c>
      <c r="E243" s="108" t="s">
        <v>353</v>
      </c>
      <c r="F243" s="108" t="s">
        <v>34</v>
      </c>
      <c r="G243" s="110" t="s">
        <v>24</v>
      </c>
      <c r="H243" s="18" t="s">
        <v>35</v>
      </c>
    </row>
    <row r="244" spans="1:8">
      <c r="B244" s="109" t="s">
        <v>24</v>
      </c>
      <c r="F244" s="109"/>
      <c r="G244" s="109">
        <v>2</v>
      </c>
      <c r="H244" s="109"/>
    </row>
    <row r="245" spans="1:8">
      <c r="A245" s="108" t="s">
        <v>352</v>
      </c>
      <c r="B245" s="11">
        <v>31250</v>
      </c>
      <c r="C245" s="2" t="s">
        <v>33</v>
      </c>
      <c r="E245" s="108" t="s">
        <v>353</v>
      </c>
      <c r="F245" s="108" t="s">
        <v>36</v>
      </c>
      <c r="G245" s="110">
        <v>1250</v>
      </c>
      <c r="H245" s="2" t="s">
        <v>37</v>
      </c>
    </row>
    <row r="246" spans="1:8">
      <c r="B246" s="109">
        <v>1250</v>
      </c>
      <c r="G246" s="109">
        <v>2</v>
      </c>
    </row>
    <row r="247" spans="1:8">
      <c r="A247" s="19" t="s">
        <v>352</v>
      </c>
      <c r="B247" s="163">
        <f>(B245/B246)*500</f>
        <v>12500</v>
      </c>
      <c r="C247" s="14"/>
      <c r="E247" s="19" t="s">
        <v>353</v>
      </c>
      <c r="F247" s="164">
        <f>D212*(B229/2)*D214</f>
        <v>12500</v>
      </c>
    </row>
    <row r="249" spans="1:8">
      <c r="A249" s="108" t="s">
        <v>38</v>
      </c>
      <c r="B249" s="2" t="s">
        <v>39</v>
      </c>
    </row>
    <row r="250" spans="1:8">
      <c r="A250" s="108" t="s">
        <v>40</v>
      </c>
      <c r="B250" s="2" t="s">
        <v>41</v>
      </c>
    </row>
    <row r="251" spans="1:8">
      <c r="A251" s="19" t="s">
        <v>40</v>
      </c>
      <c r="B251" s="165">
        <f>B247+F247</f>
        <v>25000</v>
      </c>
    </row>
    <row r="253" spans="1:8">
      <c r="A253" s="1" t="s">
        <v>42</v>
      </c>
    </row>
    <row r="254" spans="1:8">
      <c r="A254" s="1"/>
    </row>
    <row r="255" spans="1:8" ht="15.75">
      <c r="A255" s="108" t="s">
        <v>43</v>
      </c>
      <c r="B255" s="2" t="s">
        <v>44</v>
      </c>
      <c r="E255" s="2" t="s">
        <v>45</v>
      </c>
      <c r="F255" s="110" t="s">
        <v>2083</v>
      </c>
      <c r="G255" s="2" t="s">
        <v>2082</v>
      </c>
    </row>
    <row r="256" spans="1:8">
      <c r="F256" s="109" t="s">
        <v>2084</v>
      </c>
    </row>
    <row r="257" spans="1:8" ht="15.75">
      <c r="A257" s="108" t="s">
        <v>43</v>
      </c>
      <c r="B257" s="2" t="s">
        <v>47</v>
      </c>
      <c r="E257" s="2" t="s">
        <v>45</v>
      </c>
      <c r="F257" s="168">
        <f>(D218/30)*D219</f>
        <v>84</v>
      </c>
      <c r="G257" s="100" t="s">
        <v>46</v>
      </c>
    </row>
    <row r="259" spans="1:8" ht="15.75">
      <c r="A259" s="19" t="s">
        <v>43</v>
      </c>
      <c r="B259" s="85">
        <f>F257*14</f>
        <v>1176</v>
      </c>
      <c r="C259" s="100" t="s">
        <v>48</v>
      </c>
    </row>
    <row r="261" spans="1:8">
      <c r="A261" s="1" t="s">
        <v>49</v>
      </c>
      <c r="B261" s="1"/>
      <c r="C261" s="1"/>
      <c r="D261" s="1"/>
      <c r="E261" s="1"/>
    </row>
    <row r="263" spans="1:8">
      <c r="A263" s="108" t="s">
        <v>50</v>
      </c>
      <c r="B263" s="17">
        <v>926</v>
      </c>
      <c r="C263" s="17">
        <v>100</v>
      </c>
      <c r="D263" s="17">
        <f>B263*C263</f>
        <v>92600</v>
      </c>
      <c r="F263" s="2" t="s">
        <v>55</v>
      </c>
      <c r="G263" s="2" t="s">
        <v>54</v>
      </c>
    </row>
    <row r="264" spans="1:8">
      <c r="A264" s="111" t="s">
        <v>51</v>
      </c>
      <c r="B264" s="17">
        <f>ROUND(G239,0)*B229</f>
        <v>2500</v>
      </c>
      <c r="C264" s="17">
        <f>D214</f>
        <v>100</v>
      </c>
      <c r="D264" s="17">
        <f>B264*C264</f>
        <v>250000</v>
      </c>
      <c r="F264" s="2" t="s">
        <v>55</v>
      </c>
      <c r="G264" s="108" t="s">
        <v>2085</v>
      </c>
      <c r="H264" s="2" t="s">
        <v>1849</v>
      </c>
    </row>
    <row r="265" spans="1:8">
      <c r="A265" s="21" t="s">
        <v>52</v>
      </c>
      <c r="B265" s="20">
        <f>-(B259)</f>
        <v>-1176</v>
      </c>
      <c r="C265" s="20">
        <f>C263</f>
        <v>100</v>
      </c>
      <c r="D265" s="20">
        <f>B265*C265</f>
        <v>-117600</v>
      </c>
      <c r="F265" s="85" t="s">
        <v>55</v>
      </c>
      <c r="G265" s="169">
        <v>2500</v>
      </c>
      <c r="H265" s="100" t="s">
        <v>56</v>
      </c>
    </row>
    <row r="266" spans="1:8">
      <c r="A266" s="22" t="s">
        <v>53</v>
      </c>
      <c r="B266" s="23">
        <f>SUM(B263:B265)</f>
        <v>2250</v>
      </c>
      <c r="C266" s="23">
        <f>C263</f>
        <v>100</v>
      </c>
      <c r="D266" s="23">
        <f>SUM(D263:D265)</f>
        <v>225000</v>
      </c>
    </row>
    <row r="268" spans="1:8">
      <c r="A268" s="1" t="s">
        <v>1023</v>
      </c>
      <c r="B268" s="1"/>
      <c r="C268" s="1"/>
      <c r="D268" s="1"/>
      <c r="E268" s="1"/>
    </row>
    <row r="269" spans="1:8">
      <c r="A269" s="1"/>
      <c r="B269" s="1"/>
      <c r="C269" s="1"/>
      <c r="D269" s="1"/>
      <c r="E269" s="1"/>
    </row>
    <row r="270" spans="1:8">
      <c r="A270" s="942" t="s">
        <v>57</v>
      </c>
      <c r="B270" s="942"/>
      <c r="C270" s="942"/>
      <c r="D270" s="108" t="s">
        <v>53</v>
      </c>
    </row>
    <row r="271" spans="1:8">
      <c r="A271" s="942" t="s">
        <v>58</v>
      </c>
      <c r="B271" s="942"/>
      <c r="C271" s="942"/>
      <c r="D271" s="24">
        <v>2250</v>
      </c>
    </row>
    <row r="272" spans="1:8">
      <c r="A272" s="24"/>
      <c r="B272" s="3"/>
      <c r="C272" s="105" t="s">
        <v>59</v>
      </c>
      <c r="D272" s="170">
        <v>2250</v>
      </c>
    </row>
    <row r="274" spans="1:4">
      <c r="A274" s="1" t="s">
        <v>2178</v>
      </c>
    </row>
    <row r="275" spans="1:4">
      <c r="A275" s="1"/>
    </row>
    <row r="276" spans="1:4">
      <c r="A276" s="1" t="s">
        <v>2088</v>
      </c>
    </row>
    <row r="277" spans="1:4">
      <c r="A277" s="1"/>
    </row>
    <row r="278" spans="1:4">
      <c r="A278" s="698" t="s">
        <v>2087</v>
      </c>
      <c r="B278" s="698"/>
      <c r="C278" s="698"/>
      <c r="D278" s="698"/>
    </row>
    <row r="279" spans="1:4">
      <c r="A279" s="698" t="s">
        <v>1607</v>
      </c>
      <c r="B279" s="698"/>
      <c r="C279" s="698"/>
      <c r="D279" s="698"/>
    </row>
    <row r="281" spans="1:4">
      <c r="A281" s="1" t="s">
        <v>2089</v>
      </c>
    </row>
    <row r="282" spans="1:4">
      <c r="A282" s="1"/>
    </row>
    <row r="283" spans="1:4">
      <c r="A283" s="699" t="s">
        <v>1608</v>
      </c>
    </row>
    <row r="284" spans="1:4">
      <c r="A284" s="698" t="s">
        <v>1609</v>
      </c>
      <c r="B284" s="2" t="s">
        <v>1610</v>
      </c>
    </row>
    <row r="285" spans="1:4">
      <c r="A285" s="698" t="s">
        <v>1611</v>
      </c>
      <c r="B285" s="2" t="s">
        <v>1612</v>
      </c>
    </row>
    <row r="286" spans="1:4">
      <c r="A286" s="698"/>
    </row>
    <row r="287" spans="1:4">
      <c r="A287" s="699" t="s">
        <v>1613</v>
      </c>
    </row>
    <row r="288" spans="1:4" ht="14.25">
      <c r="A288" s="698" t="s">
        <v>2086</v>
      </c>
    </row>
    <row r="289" spans="1:2">
      <c r="A289" s="700"/>
    </row>
    <row r="290" spans="1:2">
      <c r="A290" s="699" t="s">
        <v>1614</v>
      </c>
    </row>
    <row r="291" spans="1:2">
      <c r="A291" s="698" t="s">
        <v>1615</v>
      </c>
      <c r="B291" s="2" t="s">
        <v>1616</v>
      </c>
    </row>
    <row r="292" spans="1:2">
      <c r="A292" s="698" t="s">
        <v>1617</v>
      </c>
      <c r="B292" s="2" t="s">
        <v>1618</v>
      </c>
    </row>
    <row r="293" spans="1:2">
      <c r="A293" s="701"/>
    </row>
    <row r="294" spans="1:2">
      <c r="A294" s="699" t="s">
        <v>1619</v>
      </c>
    </row>
    <row r="295" spans="1:2">
      <c r="A295" s="698" t="s">
        <v>1620</v>
      </c>
    </row>
    <row r="296" spans="1:2">
      <c r="A296" s="700"/>
    </row>
    <row r="297" spans="1:2">
      <c r="A297" s="699" t="s">
        <v>1621</v>
      </c>
    </row>
    <row r="298" spans="1:2">
      <c r="A298" s="699"/>
    </row>
    <row r="299" spans="1:2">
      <c r="A299" s="829" t="s">
        <v>2090</v>
      </c>
    </row>
    <row r="300" spans="1:2">
      <c r="A300" s="12"/>
    </row>
    <row r="305" spans="1:6" ht="14.25">
      <c r="A305" s="76" t="s">
        <v>184</v>
      </c>
      <c r="B305" s="702">
        <f>POWER((2*1000*0.5)/(0.05*17.11),0.5)</f>
        <v>34.189282997567894</v>
      </c>
      <c r="C305" s="703" t="s">
        <v>1622</v>
      </c>
      <c r="D305" s="951"/>
      <c r="E305" s="951"/>
      <c r="F305" s="952"/>
    </row>
    <row r="306" spans="1:6">
      <c r="B306" s="465"/>
      <c r="C306" s="704"/>
      <c r="D306" s="951"/>
      <c r="E306" s="951"/>
      <c r="F306" s="952"/>
    </row>
    <row r="314" spans="1:6" ht="12.75" customHeight="1"/>
  </sheetData>
  <mergeCells count="65">
    <mergeCell ref="D305:E306"/>
    <mergeCell ref="F305:F306"/>
    <mergeCell ref="A239:B239"/>
    <mergeCell ref="E239:F239"/>
    <mergeCell ref="A270:C270"/>
    <mergeCell ref="A271:C271"/>
    <mergeCell ref="A109:C109"/>
    <mergeCell ref="A112:C112"/>
    <mergeCell ref="A114:G115"/>
    <mergeCell ref="A110:C110"/>
    <mergeCell ref="A212:C212"/>
    <mergeCell ref="A213:C213"/>
    <mergeCell ref="A211:C211"/>
    <mergeCell ref="A218:C218"/>
    <mergeCell ref="A219:C219"/>
    <mergeCell ref="A233:B234"/>
    <mergeCell ref="A214:C214"/>
    <mergeCell ref="A236:B237"/>
    <mergeCell ref="A1:I1"/>
    <mergeCell ref="A138:C138"/>
    <mergeCell ref="A140:C140"/>
    <mergeCell ref="A141:C141"/>
    <mergeCell ref="A139:C139"/>
    <mergeCell ref="A111:C111"/>
    <mergeCell ref="C6:E6"/>
    <mergeCell ref="F6:H6"/>
    <mergeCell ref="A6:A7"/>
    <mergeCell ref="B6:B7"/>
    <mergeCell ref="A42:A43"/>
    <mergeCell ref="B42:B43"/>
    <mergeCell ref="C42:E42"/>
    <mergeCell ref="F42:H42"/>
    <mergeCell ref="A25:A26"/>
    <mergeCell ref="B25:B26"/>
    <mergeCell ref="O152:P152"/>
    <mergeCell ref="L146:N146"/>
    <mergeCell ref="L149:N149"/>
    <mergeCell ref="O150:P150"/>
    <mergeCell ref="O149:P149"/>
    <mergeCell ref="O151:P151"/>
    <mergeCell ref="C25:E25"/>
    <mergeCell ref="F25:H25"/>
    <mergeCell ref="A142:C142"/>
    <mergeCell ref="A143:C143"/>
    <mergeCell ref="A144:C144"/>
    <mergeCell ref="A145:C145"/>
    <mergeCell ref="A98:B99"/>
    <mergeCell ref="E98:F99"/>
    <mergeCell ref="A101:B102"/>
    <mergeCell ref="E101:F102"/>
    <mergeCell ref="A104:B104"/>
    <mergeCell ref="E104:F104"/>
    <mergeCell ref="E236:F237"/>
    <mergeCell ref="D213:E213"/>
    <mergeCell ref="A192:B193"/>
    <mergeCell ref="E192:F193"/>
    <mergeCell ref="A195:B196"/>
    <mergeCell ref="E195:F196"/>
    <mergeCell ref="A198:B198"/>
    <mergeCell ref="E233:F234"/>
    <mergeCell ref="A217:C217"/>
    <mergeCell ref="E198:F198"/>
    <mergeCell ref="A210:C210"/>
    <mergeCell ref="A215:C215"/>
    <mergeCell ref="A216:C216"/>
  </mergeCells>
  <pageMargins left="0.70866141732283472" right="0.70866141732283472" top="0.74803149606299213" bottom="0.74803149606299213" header="0.31496062992125984" footer="0.31496062992125984"/>
  <pageSetup paperSize="9" scale="73" orientation="portrait" r:id="rId1"/>
  <headerFooter>
    <oddHeader>&amp;L&amp;"+,Negrita"Resolución Guía de trabajos prácticos - Sistemas de Costos</oddHeader>
    <oddFooter>&amp;C&amp;"+,Normal"Departamento de Contabilidad e Impuetos
Universidad Argentina de la Empresa</oddFooter>
  </headerFooter>
  <rowBreaks count="4" manualBreakCount="4">
    <brk id="57" max="8" man="1"/>
    <brk id="135" max="8" man="1"/>
    <brk id="207" max="16383" man="1"/>
    <brk id="273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27"/>
  <sheetViews>
    <sheetView showGridLines="0" view="pageBreakPreview" zoomScaleNormal="100" zoomScaleSheetLayoutView="100" workbookViewId="0">
      <selection sqref="A1:H1"/>
    </sheetView>
  </sheetViews>
  <sheetFormatPr baseColWidth="10" defaultRowHeight="12.75"/>
  <cols>
    <col min="1" max="1" width="17.140625" style="2" customWidth="1"/>
    <col min="2" max="2" width="14.5703125" style="2" customWidth="1"/>
    <col min="3" max="3" width="13.140625" style="2" customWidth="1"/>
    <col min="4" max="4" width="11.42578125" style="2"/>
    <col min="5" max="5" width="13.85546875" style="2" bestFit="1" customWidth="1"/>
    <col min="6" max="6" width="14.5703125" style="2" customWidth="1"/>
    <col min="7" max="7" width="12.85546875" style="2" customWidth="1"/>
    <col min="8" max="8" width="11.85546875" style="2" bestFit="1" customWidth="1"/>
    <col min="9" max="12" width="11.42578125" style="2"/>
    <col min="13" max="13" width="13.42578125" style="2" customWidth="1"/>
    <col min="14" max="16384" width="11.42578125" style="2"/>
  </cols>
  <sheetData>
    <row r="1" spans="1:10" ht="18">
      <c r="A1" s="930" t="s">
        <v>2092</v>
      </c>
      <c r="B1" s="930"/>
      <c r="C1" s="930"/>
      <c r="D1" s="930"/>
      <c r="E1" s="930"/>
      <c r="F1" s="930"/>
      <c r="G1" s="930"/>
      <c r="H1" s="930"/>
      <c r="I1" s="867"/>
      <c r="J1" s="74"/>
    </row>
    <row r="3" spans="1:10">
      <c r="A3" s="1" t="s">
        <v>0</v>
      </c>
    </row>
    <row r="5" spans="1:10">
      <c r="A5" s="1" t="s">
        <v>1027</v>
      </c>
      <c r="B5" s="1"/>
      <c r="C5" s="1"/>
    </row>
    <row r="7" spans="1:10">
      <c r="A7" s="60" t="s">
        <v>134</v>
      </c>
      <c r="B7" s="18"/>
      <c r="C7" s="17">
        <f>40*25*7.5</f>
        <v>7500</v>
      </c>
      <c r="D7" s="2" t="s">
        <v>108</v>
      </c>
      <c r="E7" s="2" t="s">
        <v>162</v>
      </c>
    </row>
    <row r="8" spans="1:10">
      <c r="A8" s="59" t="s">
        <v>131</v>
      </c>
      <c r="B8" s="18"/>
      <c r="C8" s="17">
        <f>-9*14*7.5</f>
        <v>-945</v>
      </c>
      <c r="D8" s="2" t="s">
        <v>108</v>
      </c>
      <c r="E8" s="2" t="s">
        <v>163</v>
      </c>
    </row>
    <row r="9" spans="1:10">
      <c r="A9" s="59" t="s">
        <v>132</v>
      </c>
      <c r="B9" s="18"/>
      <c r="C9" s="17">
        <v>-55</v>
      </c>
      <c r="D9" s="2" t="s">
        <v>108</v>
      </c>
      <c r="E9" s="2" t="s">
        <v>164</v>
      </c>
    </row>
    <row r="10" spans="1:10">
      <c r="A10" s="62" t="s">
        <v>133</v>
      </c>
      <c r="B10" s="63"/>
      <c r="C10" s="66">
        <f>SUM(C7:C9)</f>
        <v>6500</v>
      </c>
      <c r="D10" s="57" t="s">
        <v>108</v>
      </c>
    </row>
    <row r="11" spans="1:10">
      <c r="A11" s="59" t="s">
        <v>135</v>
      </c>
      <c r="B11" s="18"/>
      <c r="C11" s="17">
        <v>-500</v>
      </c>
      <c r="D11" s="2" t="s">
        <v>108</v>
      </c>
      <c r="E11" s="2" t="s">
        <v>164</v>
      </c>
    </row>
    <row r="12" spans="1:10">
      <c r="A12" s="62" t="s">
        <v>136</v>
      </c>
      <c r="B12" s="63"/>
      <c r="C12" s="66">
        <f>C10+C11</f>
        <v>6000</v>
      </c>
      <c r="D12" s="57" t="s">
        <v>108</v>
      </c>
    </row>
    <row r="13" spans="1:10">
      <c r="A13" s="59" t="s">
        <v>137</v>
      </c>
      <c r="B13" s="18"/>
      <c r="C13" s="17">
        <v>0</v>
      </c>
      <c r="D13" s="2" t="s">
        <v>108</v>
      </c>
      <c r="E13" s="956" t="s">
        <v>165</v>
      </c>
      <c r="F13" s="956"/>
      <c r="G13" s="956"/>
      <c r="H13" s="956"/>
      <c r="I13" s="79"/>
    </row>
    <row r="14" spans="1:10" ht="13.5" thickBot="1">
      <c r="A14" s="64" t="s">
        <v>138</v>
      </c>
      <c r="B14" s="65"/>
      <c r="C14" s="67">
        <f>C12+C13</f>
        <v>6000</v>
      </c>
      <c r="D14" s="55" t="s">
        <v>108</v>
      </c>
      <c r="E14" s="956"/>
      <c r="F14" s="956"/>
      <c r="G14" s="956"/>
      <c r="H14" s="956"/>
      <c r="I14" s="79"/>
    </row>
    <row r="15" spans="1:10" ht="13.5" thickTop="1"/>
    <row r="16" spans="1:10">
      <c r="A16" s="1" t="s">
        <v>1028</v>
      </c>
    </row>
    <row r="18" spans="1:3">
      <c r="A18" s="2" t="s">
        <v>115</v>
      </c>
    </row>
    <row r="20" spans="1:3">
      <c r="A20" s="77" t="s">
        <v>110</v>
      </c>
      <c r="B20" s="9" t="s">
        <v>117</v>
      </c>
    </row>
    <row r="21" spans="1:3">
      <c r="A21" s="77"/>
      <c r="B21" s="45" t="s">
        <v>166</v>
      </c>
    </row>
    <row r="22" spans="1:3">
      <c r="A22" s="77"/>
    </row>
    <row r="23" spans="1:3">
      <c r="A23" s="77" t="s">
        <v>167</v>
      </c>
      <c r="B23" s="29">
        <f>C14</f>
        <v>6000</v>
      </c>
    </row>
    <row r="24" spans="1:3">
      <c r="A24" s="77"/>
      <c r="B24" s="30">
        <v>12000</v>
      </c>
    </row>
    <row r="25" spans="1:3">
      <c r="A25" s="105" t="s">
        <v>167</v>
      </c>
      <c r="B25" s="106">
        <f>B23/B24</f>
        <v>0.5</v>
      </c>
      <c r="C25" s="100" t="s">
        <v>113</v>
      </c>
    </row>
    <row r="27" spans="1:3">
      <c r="A27" s="1" t="s">
        <v>1029</v>
      </c>
    </row>
    <row r="29" spans="1:3">
      <c r="A29" s="3" t="s">
        <v>238</v>
      </c>
      <c r="B29" s="3"/>
      <c r="C29" s="3" t="s">
        <v>239</v>
      </c>
    </row>
    <row r="31" spans="1:3">
      <c r="A31" s="101" t="s">
        <v>114</v>
      </c>
      <c r="B31" s="102"/>
      <c r="C31" s="103">
        <f>((1+0.04+0.05+0.01)*(1.0833)*(1.239)+(0.0135+0.01008))-1</f>
        <v>0.50000957000000001</v>
      </c>
    </row>
    <row r="33" spans="1:6">
      <c r="A33" s="1" t="s">
        <v>1030</v>
      </c>
      <c r="B33" s="1"/>
      <c r="C33" s="1"/>
    </row>
    <row r="35" spans="1:6">
      <c r="A35" s="2" t="s">
        <v>119</v>
      </c>
    </row>
    <row r="37" spans="1:6">
      <c r="A37" s="2" t="s">
        <v>176</v>
      </c>
    </row>
    <row r="39" spans="1:6">
      <c r="A39" s="85" t="s">
        <v>125</v>
      </c>
      <c r="B39" s="86"/>
      <c r="C39" s="104">
        <f>6000*(5*(1+C31))</f>
        <v>45000.287100000001</v>
      </c>
    </row>
    <row r="41" spans="1:6">
      <c r="A41" s="1" t="s">
        <v>1031</v>
      </c>
      <c r="B41" s="1"/>
      <c r="C41" s="1"/>
    </row>
    <row r="43" spans="1:6">
      <c r="A43" s="2" t="s">
        <v>240</v>
      </c>
      <c r="E43" s="78">
        <f>(C10-C8)</f>
        <v>7445</v>
      </c>
      <c r="F43" s="2" t="s">
        <v>108</v>
      </c>
    </row>
    <row r="44" spans="1:6">
      <c r="A44" s="2" t="s">
        <v>122</v>
      </c>
      <c r="E44" s="53">
        <f>5</f>
        <v>5</v>
      </c>
      <c r="F44" s="2" t="s">
        <v>129</v>
      </c>
    </row>
    <row r="45" spans="1:6">
      <c r="A45" s="57" t="s">
        <v>127</v>
      </c>
      <c r="B45" s="57"/>
      <c r="C45" s="57"/>
      <c r="D45" s="57"/>
      <c r="E45" s="58">
        <f>E43*E44</f>
        <v>37225</v>
      </c>
    </row>
    <row r="46" spans="1:6">
      <c r="A46" s="2" t="s">
        <v>241</v>
      </c>
      <c r="E46" s="54">
        <f>E45*0.17</f>
        <v>6328.25</v>
      </c>
    </row>
    <row r="47" spans="1:6" ht="13.5" thickBot="1">
      <c r="A47" s="55" t="s">
        <v>242</v>
      </c>
      <c r="B47" s="55"/>
      <c r="C47" s="55"/>
      <c r="D47" s="55"/>
      <c r="E47" s="56">
        <f>E45-E46</f>
        <v>30896.75</v>
      </c>
    </row>
    <row r="48" spans="1:6" ht="13.5" thickTop="1"/>
    <row r="49" spans="1:8">
      <c r="A49" s="81" t="s">
        <v>168</v>
      </c>
      <c r="B49" s="57"/>
      <c r="C49" s="57"/>
      <c r="D49" s="57"/>
      <c r="E49" s="82"/>
    </row>
    <row r="50" spans="1:8">
      <c r="A50" s="83" t="s">
        <v>243</v>
      </c>
      <c r="B50" s="46"/>
      <c r="C50" s="46"/>
      <c r="D50" s="46"/>
      <c r="E50" s="107">
        <f>E45*0.239</f>
        <v>8896.7749999999996</v>
      </c>
    </row>
    <row r="52" spans="1:8">
      <c r="A52" s="1" t="s">
        <v>150</v>
      </c>
    </row>
    <row r="54" spans="1:8">
      <c r="A54" s="1" t="s">
        <v>1032</v>
      </c>
    </row>
    <row r="55" spans="1:8">
      <c r="A55" s="2" t="s">
        <v>1</v>
      </c>
    </row>
    <row r="56" spans="1:8">
      <c r="A56" s="2" t="s">
        <v>151</v>
      </c>
    </row>
    <row r="57" spans="1:8">
      <c r="A57" s="2" t="s">
        <v>152</v>
      </c>
    </row>
    <row r="58" spans="1:8">
      <c r="A58" s="2" t="s">
        <v>153</v>
      </c>
    </row>
    <row r="59" spans="1:8">
      <c r="A59" s="2" t="s">
        <v>107</v>
      </c>
    </row>
    <row r="60" spans="1:8">
      <c r="A60" s="967" t="s">
        <v>154</v>
      </c>
      <c r="B60" s="967"/>
      <c r="C60" s="967"/>
      <c r="D60" s="967"/>
      <c r="E60" s="967"/>
      <c r="F60" s="967"/>
      <c r="G60" s="967"/>
      <c r="H60" s="967"/>
    </row>
    <row r="61" spans="1:8">
      <c r="A61" s="967"/>
      <c r="B61" s="967"/>
      <c r="C61" s="967"/>
      <c r="D61" s="967"/>
      <c r="E61" s="967"/>
      <c r="F61" s="967"/>
      <c r="G61" s="967"/>
      <c r="H61" s="967"/>
    </row>
    <row r="63" spans="1:8">
      <c r="A63" s="2" t="s">
        <v>155</v>
      </c>
      <c r="B63" s="2" t="s">
        <v>1554</v>
      </c>
    </row>
    <row r="64" spans="1:8">
      <c r="A64" s="2" t="s">
        <v>155</v>
      </c>
      <c r="B64" s="2" t="s">
        <v>2093</v>
      </c>
    </row>
    <row r="65" spans="1:3">
      <c r="A65" s="85" t="s">
        <v>155</v>
      </c>
      <c r="B65" s="86">
        <f>12*26*8</f>
        <v>2496</v>
      </c>
      <c r="C65" s="100" t="s">
        <v>108</v>
      </c>
    </row>
    <row r="67" spans="1:3">
      <c r="A67" s="1" t="s">
        <v>1033</v>
      </c>
    </row>
    <row r="69" spans="1:3">
      <c r="A69" s="14" t="s">
        <v>109</v>
      </c>
    </row>
    <row r="71" spans="1:3">
      <c r="A71" s="44" t="s">
        <v>110</v>
      </c>
      <c r="B71" s="9" t="s">
        <v>111</v>
      </c>
    </row>
    <row r="72" spans="1:3">
      <c r="A72" s="44"/>
      <c r="B72" s="2" t="s">
        <v>112</v>
      </c>
    </row>
    <row r="74" spans="1:3">
      <c r="A74" s="44" t="s">
        <v>110</v>
      </c>
      <c r="B74" s="29">
        <f>B65</f>
        <v>2496</v>
      </c>
    </row>
    <row r="75" spans="1:3">
      <c r="B75" s="30">
        <v>1188</v>
      </c>
    </row>
    <row r="77" spans="1:3">
      <c r="A77" s="44" t="s">
        <v>110</v>
      </c>
      <c r="B77" s="112">
        <f>B74/B75</f>
        <v>2.1010101010101012</v>
      </c>
      <c r="C77" s="100" t="s">
        <v>113</v>
      </c>
    </row>
    <row r="79" spans="1:3">
      <c r="A79" s="1" t="s">
        <v>1555</v>
      </c>
    </row>
    <row r="81" spans="1:3" ht="15" customHeight="1">
      <c r="A81" s="3" t="s">
        <v>263</v>
      </c>
      <c r="B81" s="3"/>
      <c r="C81" s="3"/>
    </row>
    <row r="83" spans="1:3">
      <c r="A83" s="101" t="s">
        <v>114</v>
      </c>
      <c r="B83" s="102"/>
      <c r="C83" s="103">
        <f>((1+0.02+0.05+0.08)*(1.0833)*(1.239)+(0.02+0.01646))-1</f>
        <v>0.58000000500000004</v>
      </c>
    </row>
    <row r="85" spans="1:3">
      <c r="A85" s="1" t="s">
        <v>1035</v>
      </c>
    </row>
    <row r="87" spans="1:3">
      <c r="A87" s="2" t="s">
        <v>115</v>
      </c>
    </row>
    <row r="89" spans="1:3">
      <c r="A89" s="18" t="s">
        <v>116</v>
      </c>
      <c r="B89" s="98" t="s">
        <v>117</v>
      </c>
    </row>
    <row r="90" spans="1:3">
      <c r="A90" s="18"/>
      <c r="B90" s="97" t="s">
        <v>118</v>
      </c>
    </row>
    <row r="91" spans="1:3">
      <c r="A91" s="18"/>
      <c r="B91" s="97"/>
    </row>
    <row r="92" spans="1:3">
      <c r="A92" s="18" t="s">
        <v>116</v>
      </c>
      <c r="B92" s="29">
        <v>1600</v>
      </c>
    </row>
    <row r="93" spans="1:3">
      <c r="A93" s="18"/>
      <c r="B93" s="69">
        <f>B77</f>
        <v>2.1010101010101012</v>
      </c>
    </row>
    <row r="94" spans="1:3">
      <c r="A94" s="18"/>
      <c r="B94" s="69"/>
    </row>
    <row r="95" spans="1:3">
      <c r="A95" s="113" t="s">
        <v>116</v>
      </c>
      <c r="B95" s="114">
        <f>B92/B93</f>
        <v>761.53846153846143</v>
      </c>
    </row>
    <row r="97" spans="1:7">
      <c r="A97" s="1" t="s">
        <v>1036</v>
      </c>
      <c r="B97" s="1"/>
      <c r="C97" s="1"/>
    </row>
    <row r="98" spans="1:7">
      <c r="F98" s="45" t="s">
        <v>121</v>
      </c>
      <c r="G98" s="2" t="s">
        <v>120</v>
      </c>
    </row>
    <row r="99" spans="1:7">
      <c r="A99" s="2" t="s">
        <v>119</v>
      </c>
    </row>
    <row r="100" spans="1:7">
      <c r="F100" s="9">
        <v>7.9</v>
      </c>
      <c r="G100" s="48" t="s">
        <v>123</v>
      </c>
    </row>
    <row r="101" spans="1:7">
      <c r="A101" s="2" t="s">
        <v>124</v>
      </c>
      <c r="F101" s="47">
        <f>1+C83</f>
        <v>1.580000005</v>
      </c>
    </row>
    <row r="102" spans="1:7">
      <c r="F102" s="47"/>
    </row>
    <row r="103" spans="1:7">
      <c r="A103" s="85" t="s">
        <v>125</v>
      </c>
      <c r="B103" s="86"/>
      <c r="C103" s="104">
        <f>1600*7.9</f>
        <v>12640</v>
      </c>
      <c r="F103" s="115">
        <f>F100/F101</f>
        <v>4.9999999841772151</v>
      </c>
      <c r="G103" s="116" t="s">
        <v>123</v>
      </c>
    </row>
    <row r="105" spans="1:7">
      <c r="A105" s="1" t="s">
        <v>1037</v>
      </c>
      <c r="B105" s="1"/>
      <c r="C105" s="1"/>
    </row>
    <row r="107" spans="1:7">
      <c r="A107" s="2" t="s">
        <v>258</v>
      </c>
      <c r="E107" s="52">
        <f>C119-C117</f>
        <v>2472</v>
      </c>
      <c r="F107" s="2" t="s">
        <v>108</v>
      </c>
    </row>
    <row r="108" spans="1:7">
      <c r="A108" s="2" t="s">
        <v>122</v>
      </c>
      <c r="E108" s="53">
        <f>F103</f>
        <v>4.9999999841772151</v>
      </c>
      <c r="F108" s="2" t="s">
        <v>129</v>
      </c>
    </row>
    <row r="109" spans="1:7">
      <c r="A109" s="2" t="s">
        <v>126</v>
      </c>
      <c r="E109" s="50">
        <v>4000</v>
      </c>
    </row>
    <row r="110" spans="1:7">
      <c r="A110" s="57" t="s">
        <v>127</v>
      </c>
      <c r="B110" s="57"/>
      <c r="C110" s="57"/>
      <c r="D110" s="57"/>
      <c r="E110" s="58">
        <f>E107*E108+E109</f>
        <v>16359.999960886076</v>
      </c>
    </row>
    <row r="111" spans="1:7">
      <c r="A111" s="2" t="s">
        <v>128</v>
      </c>
      <c r="E111" s="54">
        <f>E110*0.17</f>
        <v>2781.1999933506331</v>
      </c>
    </row>
    <row r="112" spans="1:7" ht="13.5" thickBot="1">
      <c r="A112" s="55" t="s">
        <v>130</v>
      </c>
      <c r="B112" s="55"/>
      <c r="C112" s="55"/>
      <c r="D112" s="55"/>
      <c r="E112" s="56">
        <f>E110-E111</f>
        <v>13578.799967535444</v>
      </c>
    </row>
    <row r="113" spans="1:7" ht="13.5" thickTop="1"/>
    <row r="114" spans="1:7">
      <c r="A114" s="1" t="s">
        <v>1038</v>
      </c>
    </row>
    <row r="116" spans="1:7">
      <c r="A116" s="60" t="s">
        <v>134</v>
      </c>
      <c r="B116" s="18"/>
      <c r="C116" s="17">
        <f>B65</f>
        <v>2496</v>
      </c>
      <c r="D116" s="2" t="s">
        <v>108</v>
      </c>
      <c r="F116" s="2" t="s">
        <v>156</v>
      </c>
    </row>
    <row r="117" spans="1:7">
      <c r="A117" s="59" t="s">
        <v>131</v>
      </c>
      <c r="B117" s="18"/>
      <c r="C117" s="17">
        <f>-F118</f>
        <v>-496</v>
      </c>
      <c r="D117" s="2" t="s">
        <v>108</v>
      </c>
      <c r="F117" s="2" t="s">
        <v>157</v>
      </c>
    </row>
    <row r="118" spans="1:7">
      <c r="A118" s="59" t="s">
        <v>132</v>
      </c>
      <c r="B118" s="18"/>
      <c r="C118" s="17">
        <f>-F121</f>
        <v>-24</v>
      </c>
      <c r="D118" s="2" t="s">
        <v>108</v>
      </c>
      <c r="F118" s="70">
        <f>(5*10*8)+(12*1*8)</f>
        <v>496</v>
      </c>
      <c r="G118" s="57" t="s">
        <v>108</v>
      </c>
    </row>
    <row r="119" spans="1:7">
      <c r="A119" s="62" t="s">
        <v>133</v>
      </c>
      <c r="B119" s="63"/>
      <c r="C119" s="66">
        <f>SUM(C116:C118)</f>
        <v>1976</v>
      </c>
      <c r="D119" s="57" t="s">
        <v>108</v>
      </c>
    </row>
    <row r="120" spans="1:7">
      <c r="A120" s="59" t="s">
        <v>135</v>
      </c>
      <c r="B120" s="18"/>
      <c r="C120" s="17">
        <f>C121-C119</f>
        <v>-286</v>
      </c>
      <c r="D120" s="2" t="s">
        <v>108</v>
      </c>
      <c r="F120" s="2" t="s">
        <v>158</v>
      </c>
    </row>
    <row r="121" spans="1:7">
      <c r="A121" s="62" t="s">
        <v>136</v>
      </c>
      <c r="B121" s="63"/>
      <c r="C121" s="66">
        <v>1690</v>
      </c>
      <c r="D121" s="57" t="s">
        <v>108</v>
      </c>
      <c r="F121" s="70">
        <f>1*3*8</f>
        <v>24</v>
      </c>
      <c r="G121" s="57" t="s">
        <v>108</v>
      </c>
    </row>
    <row r="122" spans="1:7">
      <c r="A122" s="59" t="s">
        <v>137</v>
      </c>
      <c r="B122" s="18"/>
      <c r="C122" s="17">
        <f>C123-C121</f>
        <v>-90</v>
      </c>
      <c r="D122" s="2" t="s">
        <v>108</v>
      </c>
    </row>
    <row r="123" spans="1:7" ht="13.5" thickBot="1">
      <c r="A123" s="64" t="s">
        <v>138</v>
      </c>
      <c r="B123" s="65"/>
      <c r="C123" s="67">
        <v>1600</v>
      </c>
      <c r="D123" s="55" t="s">
        <v>108</v>
      </c>
    </row>
    <row r="124" spans="1:7" ht="13.5" thickTop="1"/>
    <row r="125" spans="1:7">
      <c r="A125" s="1" t="s">
        <v>139</v>
      </c>
    </row>
    <row r="126" spans="1:7">
      <c r="A126" s="2" t="s">
        <v>140</v>
      </c>
      <c r="B126" s="17">
        <f>-C120</f>
        <v>286</v>
      </c>
      <c r="C126" s="2" t="s">
        <v>108</v>
      </c>
    </row>
    <row r="127" spans="1:7">
      <c r="A127" s="2" t="s">
        <v>141</v>
      </c>
      <c r="B127" s="17">
        <f>-C122</f>
        <v>90</v>
      </c>
      <c r="C127" s="2" t="s">
        <v>108</v>
      </c>
    </row>
    <row r="129" spans="1:6">
      <c r="A129" s="1" t="s">
        <v>1039</v>
      </c>
    </row>
    <row r="130" spans="1:6">
      <c r="A130" s="46"/>
      <c r="B130" s="46"/>
      <c r="C130" s="46"/>
      <c r="D130" s="46"/>
      <c r="E130" s="61" t="s">
        <v>142</v>
      </c>
      <c r="F130" s="61" t="s">
        <v>143</v>
      </c>
    </row>
    <row r="131" spans="1:6">
      <c r="A131" s="2" t="s">
        <v>144</v>
      </c>
      <c r="E131" s="68">
        <f>C103</f>
        <v>12640</v>
      </c>
    </row>
    <row r="132" spans="1:6">
      <c r="A132" s="2" t="s">
        <v>259</v>
      </c>
    </row>
    <row r="133" spans="1:6">
      <c r="A133" s="2" t="s">
        <v>139</v>
      </c>
      <c r="E133" s="54">
        <f>-(C120+C122)*F100</f>
        <v>2970.4</v>
      </c>
    </row>
    <row r="134" spans="1:6">
      <c r="A134" s="2" t="s">
        <v>260</v>
      </c>
    </row>
    <row r="135" spans="1:6">
      <c r="A135" s="2" t="s">
        <v>145</v>
      </c>
      <c r="E135" s="54">
        <f>-C117*F103*1.239+E109*1.239</f>
        <v>8028.7199902762022</v>
      </c>
    </row>
    <row r="136" spans="1:6">
      <c r="A136" s="2" t="s">
        <v>161</v>
      </c>
    </row>
    <row r="138" spans="1:6">
      <c r="B138" s="2" t="s">
        <v>146</v>
      </c>
      <c r="F138" s="49">
        <f>(E107*E108+E109)*0.83</f>
        <v>13578.799967535442</v>
      </c>
    </row>
    <row r="139" spans="1:6">
      <c r="B139" s="2" t="s">
        <v>261</v>
      </c>
    </row>
    <row r="140" spans="1:6">
      <c r="B140" s="2" t="s">
        <v>147</v>
      </c>
      <c r="F140" s="49">
        <f>(E107*E108+E109)*0.17</f>
        <v>2781.1999933506331</v>
      </c>
    </row>
    <row r="141" spans="1:6">
      <c r="B141" s="2" t="s">
        <v>159</v>
      </c>
    </row>
    <row r="142" spans="1:6">
      <c r="B142" s="2" t="s">
        <v>148</v>
      </c>
      <c r="F142" s="49">
        <f>(E107*E108+E109)*0.239</f>
        <v>3910.0399906517719</v>
      </c>
    </row>
    <row r="143" spans="1:6">
      <c r="B143" s="2" t="s">
        <v>262</v>
      </c>
    </row>
    <row r="144" spans="1:6">
      <c r="B144" s="2" t="s">
        <v>149</v>
      </c>
      <c r="F144" s="49">
        <f>C119*5*(C83-0.239)</f>
        <v>3369.0800494000005</v>
      </c>
    </row>
    <row r="145" spans="1:6">
      <c r="A145" s="46"/>
      <c r="B145" s="46" t="s">
        <v>160</v>
      </c>
      <c r="C145" s="46"/>
      <c r="D145" s="46"/>
    </row>
    <row r="146" spans="1:6">
      <c r="A146" s="14"/>
      <c r="C146" s="14"/>
      <c r="E146" s="54">
        <f>SUM(E131:E145)</f>
        <v>23639.119990276202</v>
      </c>
      <c r="F146" s="54">
        <f>SUM(F131:F145)</f>
        <v>23639.120000937844</v>
      </c>
    </row>
    <row r="147" spans="1:6">
      <c r="A147" s="1" t="s">
        <v>75</v>
      </c>
    </row>
    <row r="149" spans="1:6">
      <c r="A149" s="1" t="s">
        <v>1032</v>
      </c>
    </row>
    <row r="150" spans="1:6">
      <c r="A150" s="2" t="s">
        <v>244</v>
      </c>
    </row>
    <row r="151" spans="1:6">
      <c r="A151" s="2" t="s">
        <v>245</v>
      </c>
    </row>
    <row r="152" spans="1:6">
      <c r="A152" s="2" t="s">
        <v>246</v>
      </c>
    </row>
    <row r="153" spans="1:6">
      <c r="A153" s="2" t="s">
        <v>247</v>
      </c>
    </row>
    <row r="154" spans="1:6">
      <c r="A154" s="2" t="s">
        <v>248</v>
      </c>
    </row>
    <row r="155" spans="1:6">
      <c r="A155" s="2" t="s">
        <v>107</v>
      </c>
    </row>
    <row r="157" spans="1:6">
      <c r="A157" s="2" t="s">
        <v>106</v>
      </c>
      <c r="C157" s="2" t="s">
        <v>249</v>
      </c>
    </row>
    <row r="158" spans="1:6">
      <c r="A158" s="2" t="s">
        <v>106</v>
      </c>
      <c r="C158" s="2" t="s">
        <v>250</v>
      </c>
    </row>
    <row r="159" spans="1:6">
      <c r="A159" s="85" t="s">
        <v>106</v>
      </c>
      <c r="B159" s="86"/>
      <c r="C159" s="117">
        <f>12*22*9</f>
        <v>2376</v>
      </c>
      <c r="D159" s="100" t="s">
        <v>108</v>
      </c>
    </row>
    <row r="161" spans="1:4">
      <c r="A161" s="1" t="s">
        <v>1033</v>
      </c>
    </row>
    <row r="163" spans="1:4">
      <c r="A163" s="14" t="s">
        <v>109</v>
      </c>
    </row>
    <row r="165" spans="1:4">
      <c r="B165" s="96" t="s">
        <v>110</v>
      </c>
      <c r="C165" s="98" t="s">
        <v>111</v>
      </c>
    </row>
    <row r="166" spans="1:4">
      <c r="B166" s="96"/>
      <c r="C166" s="2" t="s">
        <v>112</v>
      </c>
    </row>
    <row r="168" spans="1:4">
      <c r="B168" s="96" t="s">
        <v>110</v>
      </c>
      <c r="C168" s="29">
        <f>C159</f>
        <v>2376</v>
      </c>
    </row>
    <row r="169" spans="1:4">
      <c r="C169" s="30">
        <v>1188</v>
      </c>
    </row>
    <row r="171" spans="1:4">
      <c r="B171" s="96" t="s">
        <v>110</v>
      </c>
      <c r="C171" s="115">
        <f>C168/C169</f>
        <v>2</v>
      </c>
      <c r="D171" s="100" t="s">
        <v>113</v>
      </c>
    </row>
    <row r="173" spans="1:4">
      <c r="A173" s="1" t="s">
        <v>1034</v>
      </c>
    </row>
    <row r="175" spans="1:4">
      <c r="A175" s="3" t="s">
        <v>263</v>
      </c>
      <c r="B175" s="3"/>
      <c r="C175" s="3"/>
    </row>
    <row r="177" spans="1:3">
      <c r="A177" s="101" t="s">
        <v>114</v>
      </c>
      <c r="B177" s="102"/>
      <c r="C177" s="103">
        <f>((1+0.02+0.05+0.08)*(1.0833)*(1.239)+(0.02+0.01646))-1</f>
        <v>0.58000000500000004</v>
      </c>
    </row>
    <row r="179" spans="1:3">
      <c r="A179" s="1" t="s">
        <v>1035</v>
      </c>
    </row>
    <row r="181" spans="1:3">
      <c r="A181" s="2" t="s">
        <v>115</v>
      </c>
    </row>
    <row r="183" spans="1:3">
      <c r="A183" s="96" t="s">
        <v>116</v>
      </c>
      <c r="B183" s="98" t="s">
        <v>117</v>
      </c>
    </row>
    <row r="184" spans="1:3">
      <c r="B184" s="97" t="s">
        <v>118</v>
      </c>
    </row>
    <row r="186" spans="1:3">
      <c r="A186" s="96" t="s">
        <v>116</v>
      </c>
      <c r="B186" s="29">
        <v>1600</v>
      </c>
    </row>
    <row r="187" spans="1:3">
      <c r="B187" s="10">
        <f>C171</f>
        <v>2</v>
      </c>
    </row>
    <row r="188" spans="1:3">
      <c r="B188" s="10"/>
    </row>
    <row r="189" spans="1:3">
      <c r="A189" s="105" t="s">
        <v>116</v>
      </c>
      <c r="B189" s="87">
        <f>B186/B187</f>
        <v>800</v>
      </c>
    </row>
    <row r="191" spans="1:3">
      <c r="A191" s="1" t="s">
        <v>1040</v>
      </c>
      <c r="B191" s="1"/>
      <c r="C191" s="1"/>
    </row>
    <row r="193" spans="1:7">
      <c r="A193" s="2" t="s">
        <v>119</v>
      </c>
      <c r="F193" s="97" t="s">
        <v>121</v>
      </c>
      <c r="G193" s="2" t="s">
        <v>120</v>
      </c>
    </row>
    <row r="195" spans="1:7">
      <c r="A195" s="2" t="s">
        <v>124</v>
      </c>
      <c r="F195" s="98">
        <v>7.9</v>
      </c>
      <c r="G195" s="48" t="s">
        <v>123</v>
      </c>
    </row>
    <row r="196" spans="1:7">
      <c r="F196" s="47">
        <f>1+C177</f>
        <v>1.580000005</v>
      </c>
    </row>
    <row r="197" spans="1:7">
      <c r="A197" s="85" t="s">
        <v>125</v>
      </c>
      <c r="B197" s="86"/>
      <c r="C197" s="104">
        <f>1600*7.9</f>
        <v>12640</v>
      </c>
      <c r="F197" s="47"/>
    </row>
    <row r="198" spans="1:7">
      <c r="F198" s="115">
        <f>F195/F196</f>
        <v>4.9999999841772151</v>
      </c>
      <c r="G198" s="116" t="s">
        <v>123</v>
      </c>
    </row>
    <row r="200" spans="1:7">
      <c r="A200" s="1" t="s">
        <v>1037</v>
      </c>
      <c r="B200" s="1"/>
      <c r="C200" s="1"/>
    </row>
    <row r="202" spans="1:7">
      <c r="A202" s="2" t="s">
        <v>264</v>
      </c>
      <c r="E202" s="99">
        <f>C214-C212</f>
        <v>2376</v>
      </c>
      <c r="F202" s="2" t="s">
        <v>108</v>
      </c>
    </row>
    <row r="203" spans="1:7">
      <c r="A203" s="2" t="s">
        <v>122</v>
      </c>
      <c r="E203" s="53">
        <f>F198</f>
        <v>4.9999999841772151</v>
      </c>
      <c r="F203" s="2" t="s">
        <v>129</v>
      </c>
    </row>
    <row r="204" spans="1:7">
      <c r="A204" s="2" t="s">
        <v>126</v>
      </c>
      <c r="E204" s="50">
        <v>4000</v>
      </c>
    </row>
    <row r="205" spans="1:7">
      <c r="A205" s="57" t="s">
        <v>127</v>
      </c>
      <c r="B205" s="57"/>
      <c r="C205" s="57"/>
      <c r="D205" s="57"/>
      <c r="E205" s="58">
        <f>E202*E203+E204</f>
        <v>15879.999962405063</v>
      </c>
    </row>
    <row r="206" spans="1:7">
      <c r="A206" s="2" t="s">
        <v>128</v>
      </c>
      <c r="E206" s="54">
        <f>E205*0.17</f>
        <v>2699.599993608861</v>
      </c>
    </row>
    <row r="207" spans="1:7" ht="13.5" thickBot="1">
      <c r="A207" s="55" t="s">
        <v>130</v>
      </c>
      <c r="B207" s="55"/>
      <c r="C207" s="55"/>
      <c r="D207" s="55"/>
      <c r="E207" s="56">
        <f>E205-E206</f>
        <v>13180.399968796202</v>
      </c>
    </row>
    <row r="208" spans="1:7" ht="13.5" thickTop="1"/>
    <row r="209" spans="1:7">
      <c r="A209" s="1" t="s">
        <v>1038</v>
      </c>
    </row>
    <row r="211" spans="1:7">
      <c r="A211" s="60" t="s">
        <v>134</v>
      </c>
      <c r="B211" s="18"/>
      <c r="C211" s="17">
        <f>C159</f>
        <v>2376</v>
      </c>
      <c r="D211" s="2" t="s">
        <v>108</v>
      </c>
      <c r="F211" s="2" t="s">
        <v>251</v>
      </c>
    </row>
    <row r="212" spans="1:7">
      <c r="A212" s="59" t="s">
        <v>131</v>
      </c>
      <c r="B212" s="18"/>
      <c r="C212" s="17">
        <f>-F214</f>
        <v>-585</v>
      </c>
      <c r="D212" s="2" t="s">
        <v>108</v>
      </c>
      <c r="F212" s="2" t="s">
        <v>252</v>
      </c>
    </row>
    <row r="213" spans="1:7">
      <c r="A213" s="59" t="s">
        <v>132</v>
      </c>
      <c r="B213" s="18"/>
      <c r="C213" s="17">
        <v>0</v>
      </c>
      <c r="D213" s="2" t="s">
        <v>108</v>
      </c>
      <c r="F213" s="46" t="s">
        <v>253</v>
      </c>
      <c r="G213" s="46"/>
    </row>
    <row r="214" spans="1:7">
      <c r="A214" s="62" t="s">
        <v>133</v>
      </c>
      <c r="B214" s="63"/>
      <c r="C214" s="66">
        <f>SUM(C211:C213)</f>
        <v>1791</v>
      </c>
      <c r="D214" s="57" t="s">
        <v>108</v>
      </c>
      <c r="F214" s="97">
        <f>(5*10*9)+(12*1*9)+(1*3*9)</f>
        <v>585</v>
      </c>
      <c r="G214" s="2" t="s">
        <v>108</v>
      </c>
    </row>
    <row r="215" spans="1:7">
      <c r="A215" s="59" t="s">
        <v>135</v>
      </c>
      <c r="B215" s="18"/>
      <c r="C215" s="17">
        <f>C216-C214</f>
        <v>-151</v>
      </c>
      <c r="D215" s="2" t="s">
        <v>108</v>
      </c>
    </row>
    <row r="216" spans="1:7">
      <c r="A216" s="62" t="s">
        <v>136</v>
      </c>
      <c r="B216" s="63"/>
      <c r="C216" s="66">
        <v>1640</v>
      </c>
      <c r="D216" s="57" t="s">
        <v>108</v>
      </c>
    </row>
    <row r="217" spans="1:7">
      <c r="A217" s="59" t="s">
        <v>137</v>
      </c>
      <c r="B217" s="18"/>
      <c r="C217" s="17">
        <f>C218-C216</f>
        <v>-40</v>
      </c>
      <c r="D217" s="2" t="s">
        <v>108</v>
      </c>
    </row>
    <row r="218" spans="1:7" ht="13.5" thickBot="1">
      <c r="A218" s="64" t="s">
        <v>138</v>
      </c>
      <c r="B218" s="65"/>
      <c r="C218" s="67">
        <v>1600</v>
      </c>
      <c r="D218" s="55" t="s">
        <v>108</v>
      </c>
    </row>
    <row r="219" spans="1:7" ht="13.5" thickTop="1"/>
    <row r="220" spans="1:7">
      <c r="A220" s="1" t="s">
        <v>139</v>
      </c>
    </row>
    <row r="221" spans="1:7">
      <c r="A221" s="2" t="s">
        <v>140</v>
      </c>
      <c r="B221" s="17">
        <f>-C215</f>
        <v>151</v>
      </c>
      <c r="C221" s="2" t="s">
        <v>108</v>
      </c>
    </row>
    <row r="222" spans="1:7">
      <c r="A222" s="2" t="s">
        <v>141</v>
      </c>
      <c r="B222" s="17">
        <f>-C217</f>
        <v>40</v>
      </c>
      <c r="C222" s="2" t="s">
        <v>108</v>
      </c>
    </row>
    <row r="224" spans="1:7">
      <c r="A224" s="1" t="s">
        <v>1039</v>
      </c>
    </row>
    <row r="225" spans="1:8">
      <c r="A225" s="46"/>
      <c r="B225" s="46"/>
      <c r="C225" s="46"/>
      <c r="D225" s="46"/>
      <c r="E225" s="61" t="s">
        <v>142</v>
      </c>
      <c r="F225" s="61" t="s">
        <v>143</v>
      </c>
    </row>
    <row r="226" spans="1:8">
      <c r="A226" s="2" t="s">
        <v>144</v>
      </c>
      <c r="E226" s="68">
        <f>C197</f>
        <v>12640</v>
      </c>
    </row>
    <row r="227" spans="1:8">
      <c r="A227" s="2" t="s">
        <v>259</v>
      </c>
    </row>
    <row r="228" spans="1:8">
      <c r="A228" s="2" t="s">
        <v>139</v>
      </c>
      <c r="E228" s="54">
        <f>-(C215+C217)*F195</f>
        <v>1508.9</v>
      </c>
    </row>
    <row r="229" spans="1:8">
      <c r="A229" s="2" t="s">
        <v>254</v>
      </c>
    </row>
    <row r="230" spans="1:8">
      <c r="A230" s="2" t="s">
        <v>145</v>
      </c>
      <c r="E230" s="54">
        <f>-C212*F198*1.239+E204*1.239</f>
        <v>8580.074988531409</v>
      </c>
    </row>
    <row r="231" spans="1:8">
      <c r="A231" s="2" t="s">
        <v>255</v>
      </c>
    </row>
    <row r="232" spans="1:8">
      <c r="H232" s="54"/>
    </row>
    <row r="233" spans="1:8">
      <c r="B233" s="2" t="s">
        <v>146</v>
      </c>
      <c r="F233" s="49">
        <f>(E202*E203+E204)*0.83</f>
        <v>13180.399968796202</v>
      </c>
    </row>
    <row r="234" spans="1:8">
      <c r="B234" s="2" t="s">
        <v>265</v>
      </c>
    </row>
    <row r="235" spans="1:8">
      <c r="B235" s="2" t="s">
        <v>147</v>
      </c>
      <c r="F235" s="49">
        <f>(E202*E203+4000)*0.17</f>
        <v>2699.599993608861</v>
      </c>
    </row>
    <row r="236" spans="1:8">
      <c r="B236" s="2" t="s">
        <v>256</v>
      </c>
    </row>
    <row r="237" spans="1:8">
      <c r="B237" s="2" t="s">
        <v>148</v>
      </c>
      <c r="F237" s="49">
        <f>(E202*E203+E204)*0.239</f>
        <v>3795.3199910148101</v>
      </c>
    </row>
    <row r="238" spans="1:8">
      <c r="B238" s="2" t="s">
        <v>266</v>
      </c>
    </row>
    <row r="239" spans="1:8">
      <c r="B239" s="2" t="s">
        <v>149</v>
      </c>
      <c r="F239" s="49">
        <f>1791*5*(C177-0.239)</f>
        <v>3053.6550447750005</v>
      </c>
    </row>
    <row r="240" spans="1:8">
      <c r="A240" s="46"/>
      <c r="B240" s="46" t="s">
        <v>257</v>
      </c>
      <c r="C240" s="46"/>
      <c r="D240" s="46"/>
    </row>
    <row r="241" spans="1:6">
      <c r="A241" s="14"/>
      <c r="C241" s="14"/>
      <c r="E241" s="54">
        <f>SUM(E226:E240)</f>
        <v>22728.974988531409</v>
      </c>
      <c r="F241" s="54">
        <f>SUM(F226:F240)</f>
        <v>22728.974998194873</v>
      </c>
    </row>
    <row r="243" spans="1:6">
      <c r="A243" s="1" t="s">
        <v>78</v>
      </c>
    </row>
    <row r="244" spans="1:6">
      <c r="A244" s="1"/>
    </row>
    <row r="245" spans="1:6">
      <c r="A245" s="1" t="s">
        <v>1041</v>
      </c>
    </row>
    <row r="246" spans="1:6">
      <c r="A246" s="2" t="s">
        <v>169</v>
      </c>
    </row>
    <row r="247" spans="1:6">
      <c r="A247" s="85" t="s">
        <v>170</v>
      </c>
      <c r="B247" s="86"/>
      <c r="C247" s="100"/>
    </row>
    <row r="249" spans="1:6">
      <c r="A249" s="1" t="s">
        <v>1042</v>
      </c>
    </row>
    <row r="251" spans="1:6">
      <c r="A251" s="60" t="s">
        <v>134</v>
      </c>
      <c r="B251" s="18"/>
      <c r="C251" s="17">
        <v>14280</v>
      </c>
      <c r="D251" s="2" t="s">
        <v>108</v>
      </c>
    </row>
    <row r="252" spans="1:6">
      <c r="A252" s="59" t="s">
        <v>131</v>
      </c>
      <c r="B252" s="18"/>
      <c r="C252" s="17">
        <f>-(1840-240)</f>
        <v>-1600</v>
      </c>
      <c r="D252" s="2" t="s">
        <v>108</v>
      </c>
    </row>
    <row r="253" spans="1:6">
      <c r="A253" s="59" t="s">
        <v>132</v>
      </c>
      <c r="B253" s="18"/>
      <c r="C253" s="17">
        <v>-240</v>
      </c>
      <c r="D253" s="2" t="s">
        <v>108</v>
      </c>
    </row>
    <row r="254" spans="1:6">
      <c r="A254" s="62" t="s">
        <v>133</v>
      </c>
      <c r="B254" s="63"/>
      <c r="C254" s="66">
        <f>SUM(C251:C253)</f>
        <v>12440</v>
      </c>
      <c r="D254" s="57" t="s">
        <v>108</v>
      </c>
    </row>
    <row r="255" spans="1:6">
      <c r="A255" s="59" t="s">
        <v>135</v>
      </c>
      <c r="B255" s="18"/>
      <c r="C255" s="17">
        <f>-(97*20)</f>
        <v>-1940</v>
      </c>
      <c r="D255" s="2" t="s">
        <v>108</v>
      </c>
    </row>
    <row r="256" spans="1:6">
      <c r="A256" s="119" t="s">
        <v>136</v>
      </c>
      <c r="B256" s="120"/>
      <c r="C256" s="23">
        <f>C254+C255</f>
        <v>10500</v>
      </c>
      <c r="D256" s="100" t="s">
        <v>108</v>
      </c>
    </row>
    <row r="258" spans="1:3">
      <c r="A258" s="1" t="s">
        <v>1043</v>
      </c>
    </row>
    <row r="260" spans="1:3">
      <c r="A260" s="3" t="s">
        <v>267</v>
      </c>
      <c r="B260" s="3"/>
      <c r="C260" s="3"/>
    </row>
    <row r="262" spans="1:3">
      <c r="A262" s="113" t="s">
        <v>114</v>
      </c>
      <c r="B262" s="120"/>
      <c r="C262" s="103">
        <f>((1+0.03+0.08)*(1.0833)*(1.239)+(0.01675+0.014074))-1</f>
        <v>0.52067565700000018</v>
      </c>
    </row>
    <row r="264" spans="1:3">
      <c r="A264" s="1" t="s">
        <v>1044</v>
      </c>
    </row>
    <row r="266" spans="1:3">
      <c r="A266" s="2" t="s">
        <v>171</v>
      </c>
      <c r="B266" s="9" t="s">
        <v>172</v>
      </c>
    </row>
    <row r="267" spans="1:3">
      <c r="B267" s="45" t="s">
        <v>112</v>
      </c>
    </row>
    <row r="269" spans="1:3">
      <c r="A269" s="2" t="s">
        <v>171</v>
      </c>
      <c r="B269" s="29">
        <f>C251</f>
        <v>14280</v>
      </c>
    </row>
    <row r="270" spans="1:3">
      <c r="B270" s="30">
        <v>8400</v>
      </c>
    </row>
    <row r="272" spans="1:3">
      <c r="A272" s="2" t="s">
        <v>171</v>
      </c>
      <c r="B272" s="115">
        <f>B269/B270</f>
        <v>1.7</v>
      </c>
      <c r="C272" s="100" t="s">
        <v>173</v>
      </c>
    </row>
    <row r="274" spans="1:6">
      <c r="A274" s="2" t="s">
        <v>268</v>
      </c>
      <c r="B274" s="2" t="s">
        <v>174</v>
      </c>
    </row>
    <row r="275" spans="1:6">
      <c r="A275" s="85" t="s">
        <v>269</v>
      </c>
      <c r="B275" s="23">
        <f>6000*B272</f>
        <v>10200</v>
      </c>
      <c r="C275" s="100" t="s">
        <v>108</v>
      </c>
    </row>
    <row r="277" spans="1:6">
      <c r="A277" s="2" t="s">
        <v>119</v>
      </c>
      <c r="E277" s="45" t="s">
        <v>121</v>
      </c>
      <c r="F277" s="2" t="s">
        <v>120</v>
      </c>
    </row>
    <row r="279" spans="1:6">
      <c r="A279" s="2" t="s">
        <v>175</v>
      </c>
      <c r="E279" s="45" t="s">
        <v>121</v>
      </c>
      <c r="F279" s="2" t="s">
        <v>177</v>
      </c>
    </row>
    <row r="280" spans="1:6" ht="13.5" thickBot="1"/>
    <row r="281" spans="1:6" ht="13.5" thickBot="1">
      <c r="A281" s="15" t="s">
        <v>125</v>
      </c>
      <c r="B281" s="51"/>
      <c r="C281" s="71">
        <f>B275*6*(1+C262)</f>
        <v>93065.350208400007</v>
      </c>
      <c r="E281" s="16" t="s">
        <v>121</v>
      </c>
      <c r="F281" s="13">
        <f>6*(1+C262)</f>
        <v>9.1240539420000015</v>
      </c>
    </row>
    <row r="283" spans="1:6">
      <c r="A283" s="1" t="s">
        <v>1045</v>
      </c>
    </row>
    <row r="285" spans="1:6">
      <c r="A285" s="2" t="s">
        <v>178</v>
      </c>
    </row>
    <row r="286" spans="1:6" ht="13.5" thickBot="1">
      <c r="A286" s="2" t="s">
        <v>179</v>
      </c>
    </row>
    <row r="287" spans="1:6" ht="13.5" thickBot="1">
      <c r="A287" s="15" t="s">
        <v>180</v>
      </c>
      <c r="B287" s="51"/>
      <c r="C287" s="13"/>
    </row>
    <row r="289" spans="1:6">
      <c r="A289" s="1" t="s">
        <v>1046</v>
      </c>
      <c r="B289" s="1"/>
      <c r="C289" s="1"/>
      <c r="D289" s="1"/>
      <c r="E289" s="1"/>
      <c r="F289" s="1"/>
    </row>
    <row r="291" spans="1:6">
      <c r="A291" s="2" t="s">
        <v>264</v>
      </c>
      <c r="E291" s="52">
        <f>C254-C252</f>
        <v>14040</v>
      </c>
      <c r="F291" s="2" t="s">
        <v>108</v>
      </c>
    </row>
    <row r="292" spans="1:6">
      <c r="A292" s="2" t="s">
        <v>122</v>
      </c>
      <c r="E292" s="53">
        <f>6</f>
        <v>6</v>
      </c>
      <c r="F292" s="2" t="s">
        <v>129</v>
      </c>
    </row>
    <row r="293" spans="1:6">
      <c r="A293" s="57" t="s">
        <v>127</v>
      </c>
      <c r="B293" s="57"/>
      <c r="C293" s="57"/>
      <c r="D293" s="57"/>
      <c r="E293" s="58">
        <f>E291*E292</f>
        <v>84240</v>
      </c>
    </row>
    <row r="294" spans="1:6">
      <c r="A294" s="2" t="s">
        <v>128</v>
      </c>
      <c r="E294" s="54">
        <f>E293*0.17</f>
        <v>14320.800000000001</v>
      </c>
    </row>
    <row r="295" spans="1:6" ht="13.5" thickBot="1">
      <c r="A295" s="55" t="s">
        <v>181</v>
      </c>
      <c r="B295" s="55"/>
      <c r="C295" s="55"/>
      <c r="D295" s="55"/>
      <c r="E295" s="56">
        <f>E293-E294</f>
        <v>69919.199999999997</v>
      </c>
    </row>
    <row r="296" spans="1:6" ht="13.5" thickTop="1"/>
    <row r="297" spans="1:6">
      <c r="A297" s="2" t="s">
        <v>168</v>
      </c>
      <c r="C297" s="54">
        <f>E293*0.239</f>
        <v>20133.36</v>
      </c>
    </row>
    <row r="298" spans="1:6">
      <c r="A298" s="2" t="s">
        <v>270</v>
      </c>
      <c r="C298" s="54">
        <f>E294</f>
        <v>14320.800000000001</v>
      </c>
    </row>
    <row r="299" spans="1:6">
      <c r="A299" s="85" t="s">
        <v>271</v>
      </c>
      <c r="B299" s="86"/>
      <c r="C299" s="121">
        <f>C297+C298</f>
        <v>34454.160000000003</v>
      </c>
    </row>
    <row r="301" spans="1:6">
      <c r="A301" s="1" t="s">
        <v>272</v>
      </c>
    </row>
    <row r="303" spans="1:6">
      <c r="A303" s="60" t="s">
        <v>134</v>
      </c>
      <c r="B303" s="18"/>
      <c r="C303" s="17">
        <v>3960</v>
      </c>
      <c r="D303" s="2" t="s">
        <v>108</v>
      </c>
    </row>
    <row r="304" spans="1:6">
      <c r="A304" s="59" t="s">
        <v>131</v>
      </c>
      <c r="B304" s="18"/>
      <c r="C304" s="17">
        <v>-216</v>
      </c>
      <c r="D304" s="2" t="s">
        <v>108</v>
      </c>
      <c r="E304" s="14" t="s">
        <v>186</v>
      </c>
      <c r="F304" s="14"/>
    </row>
    <row r="305" spans="1:7" ht="12.75" customHeight="1">
      <c r="A305" s="59" t="s">
        <v>132</v>
      </c>
      <c r="B305" s="18"/>
      <c r="C305" s="17">
        <v>0</v>
      </c>
      <c r="D305" s="2" t="s">
        <v>108</v>
      </c>
      <c r="E305" s="14" t="s">
        <v>187</v>
      </c>
      <c r="F305" s="14"/>
    </row>
    <row r="306" spans="1:7" ht="15">
      <c r="A306" s="62" t="s">
        <v>133</v>
      </c>
      <c r="B306" s="63"/>
      <c r="C306" s="66">
        <f>SUM(C303:C305)</f>
        <v>3744</v>
      </c>
      <c r="D306" s="57" t="s">
        <v>108</v>
      </c>
      <c r="G306" s="80"/>
    </row>
    <row r="307" spans="1:7" ht="27.75" customHeight="1">
      <c r="A307" s="968" t="s">
        <v>188</v>
      </c>
      <c r="B307" s="968"/>
      <c r="C307" s="72">
        <v>216</v>
      </c>
      <c r="D307" s="14" t="s">
        <v>108</v>
      </c>
      <c r="G307" s="80"/>
    </row>
    <row r="308" spans="1:7" ht="15" customHeight="1">
      <c r="A308" s="60" t="s">
        <v>189</v>
      </c>
      <c r="B308" s="60"/>
      <c r="C308" s="72">
        <f>C306+C307</f>
        <v>3960</v>
      </c>
      <c r="D308" s="14" t="s">
        <v>108</v>
      </c>
      <c r="G308" s="80"/>
    </row>
    <row r="309" spans="1:7" ht="15">
      <c r="A309" s="59" t="s">
        <v>135</v>
      </c>
      <c r="B309" s="18"/>
      <c r="C309" s="17">
        <v>0</v>
      </c>
      <c r="D309" s="2" t="s">
        <v>108</v>
      </c>
      <c r="E309" s="2" t="s">
        <v>190</v>
      </c>
      <c r="G309" s="80"/>
    </row>
    <row r="310" spans="1:7" ht="15">
      <c r="A310" s="62" t="s">
        <v>136</v>
      </c>
      <c r="B310" s="63"/>
      <c r="C310" s="66">
        <f>C308-C309</f>
        <v>3960</v>
      </c>
      <c r="D310" s="57" t="s">
        <v>108</v>
      </c>
      <c r="G310" s="80"/>
    </row>
    <row r="311" spans="1:7" ht="15">
      <c r="A311" s="59" t="s">
        <v>137</v>
      </c>
      <c r="B311" s="18"/>
      <c r="C311" s="17">
        <v>0</v>
      </c>
      <c r="D311" s="2" t="s">
        <v>108</v>
      </c>
      <c r="E311" s="2" t="s">
        <v>191</v>
      </c>
      <c r="G311" s="80"/>
    </row>
    <row r="312" spans="1:7" ht="15.75" thickBot="1">
      <c r="A312" s="64" t="s">
        <v>138</v>
      </c>
      <c r="B312" s="65"/>
      <c r="C312" s="67">
        <f>C310-C311</f>
        <v>3960</v>
      </c>
      <c r="D312" s="55" t="s">
        <v>108</v>
      </c>
      <c r="G312" s="80"/>
    </row>
    <row r="313" spans="1:7" ht="15.75" thickTop="1">
      <c r="G313" s="80"/>
    </row>
    <row r="314" spans="1:7" ht="15">
      <c r="A314" s="2" t="s">
        <v>192</v>
      </c>
      <c r="C314" s="969" t="s">
        <v>193</v>
      </c>
      <c r="D314" s="969"/>
      <c r="E314" s="969"/>
      <c r="G314" s="80"/>
    </row>
    <row r="315" spans="1:7" ht="15">
      <c r="C315" s="943" t="s">
        <v>194</v>
      </c>
      <c r="D315" s="943"/>
      <c r="E315" s="943"/>
      <c r="G315" s="80"/>
    </row>
    <row r="316" spans="1:7" ht="15">
      <c r="A316" s="2" t="s">
        <v>195</v>
      </c>
      <c r="C316" s="84">
        <v>19800</v>
      </c>
      <c r="G316" s="80"/>
    </row>
    <row r="317" spans="1:7" ht="15">
      <c r="C317" s="75" t="s">
        <v>196</v>
      </c>
      <c r="G317" s="80"/>
    </row>
    <row r="318" spans="1:7" ht="15">
      <c r="A318" s="85" t="s">
        <v>195</v>
      </c>
      <c r="B318" s="86"/>
      <c r="C318" s="87" t="s">
        <v>197</v>
      </c>
      <c r="G318" s="80"/>
    </row>
    <row r="319" spans="1:7" ht="15">
      <c r="G319" s="80"/>
    </row>
    <row r="320" spans="1:7" ht="15">
      <c r="A320" s="953" t="s">
        <v>198</v>
      </c>
      <c r="B320" s="954"/>
      <c r="C320" s="955"/>
      <c r="G320" s="80"/>
    </row>
    <row r="321" spans="1:7" ht="15">
      <c r="A321" s="122" t="s">
        <v>199</v>
      </c>
      <c r="B321" s="14"/>
      <c r="C321" s="123">
        <v>100</v>
      </c>
      <c r="G321" s="80"/>
    </row>
    <row r="322" spans="1:7" ht="15">
      <c r="A322" s="122" t="s">
        <v>200</v>
      </c>
      <c r="B322" s="14"/>
      <c r="C322" s="123">
        <f>C321*0.07</f>
        <v>7.0000000000000009</v>
      </c>
      <c r="G322" s="80"/>
    </row>
    <row r="323" spans="1:7" ht="15">
      <c r="A323" s="122" t="s">
        <v>201</v>
      </c>
      <c r="B323" s="14"/>
      <c r="C323" s="123">
        <f>C321*0.02</f>
        <v>2</v>
      </c>
      <c r="G323" s="80"/>
    </row>
    <row r="324" spans="1:7" ht="15">
      <c r="A324" s="122" t="s">
        <v>185</v>
      </c>
      <c r="B324" s="14"/>
      <c r="C324" s="123">
        <f>C321+C322+C323</f>
        <v>109</v>
      </c>
      <c r="G324" s="80"/>
    </row>
    <row r="325" spans="1:7" ht="15">
      <c r="A325" s="122" t="s">
        <v>182</v>
      </c>
      <c r="B325" s="14"/>
      <c r="C325" s="123">
        <f>C324*0.08333</f>
        <v>9.0829699999999995</v>
      </c>
      <c r="G325" s="80"/>
    </row>
    <row r="326" spans="1:7" ht="15">
      <c r="A326" s="122" t="s">
        <v>185</v>
      </c>
      <c r="B326" s="14"/>
      <c r="C326" s="123">
        <f>C324+C325</f>
        <v>118.08297</v>
      </c>
      <c r="G326" s="80"/>
    </row>
    <row r="327" spans="1:7" ht="15">
      <c r="A327" s="122" t="s">
        <v>202</v>
      </c>
      <c r="B327" s="14"/>
      <c r="C327" s="123">
        <f>C326*0.239</f>
        <v>28.221829830000001</v>
      </c>
      <c r="G327" s="80"/>
    </row>
    <row r="328" spans="1:7">
      <c r="A328" s="122" t="s">
        <v>185</v>
      </c>
      <c r="B328" s="14"/>
      <c r="C328" s="123">
        <f>C326+C327</f>
        <v>146.30479983000001</v>
      </c>
      <c r="F328" s="14"/>
      <c r="G328" s="966"/>
    </row>
    <row r="329" spans="1:7">
      <c r="A329" s="122" t="s">
        <v>203</v>
      </c>
      <c r="B329" s="14"/>
      <c r="C329" s="123">
        <v>1</v>
      </c>
      <c r="F329" s="14"/>
      <c r="G329" s="966"/>
    </row>
    <row r="330" spans="1:7" ht="15">
      <c r="A330" s="122" t="s">
        <v>204</v>
      </c>
      <c r="B330" s="14"/>
      <c r="C330" s="153">
        <v>0.69930000000000003</v>
      </c>
      <c r="F330" s="14"/>
      <c r="G330" s="88"/>
    </row>
    <row r="331" spans="1:7" ht="15">
      <c r="A331" s="122" t="s">
        <v>185</v>
      </c>
      <c r="B331" s="14"/>
      <c r="C331" s="123">
        <f>C328+C329+C330</f>
        <v>148.00409983</v>
      </c>
      <c r="G331" s="80"/>
    </row>
    <row r="332" spans="1:7" ht="15">
      <c r="A332" s="124" t="s">
        <v>205</v>
      </c>
      <c r="B332" s="14"/>
      <c r="C332" s="123">
        <v>100</v>
      </c>
      <c r="G332" s="80"/>
    </row>
    <row r="333" spans="1:7" ht="15">
      <c r="A333" s="125" t="s">
        <v>206</v>
      </c>
      <c r="B333" s="126"/>
      <c r="C333" s="127">
        <f>C331-C332</f>
        <v>48.004099830000001</v>
      </c>
      <c r="G333" s="80"/>
    </row>
    <row r="335" spans="1:7" ht="15">
      <c r="A335" s="146" t="s">
        <v>283</v>
      </c>
      <c r="B335" s="145"/>
      <c r="C335" s="145"/>
      <c r="D335" s="145"/>
      <c r="E335" s="128"/>
    </row>
    <row r="336" spans="1:7">
      <c r="A336" s="962"/>
      <c r="B336" s="962"/>
      <c r="C336" s="962"/>
      <c r="D336" s="962"/>
      <c r="E336" s="129"/>
    </row>
    <row r="337" spans="1:5">
      <c r="A337" s="129" t="s">
        <v>207</v>
      </c>
      <c r="B337" s="129"/>
      <c r="C337" s="129"/>
      <c r="D337" s="129"/>
      <c r="E337" s="129"/>
    </row>
    <row r="338" spans="1:5">
      <c r="A338" s="963" t="s">
        <v>208</v>
      </c>
      <c r="B338" s="963"/>
      <c r="C338" s="129" t="s">
        <v>209</v>
      </c>
      <c r="D338" s="129"/>
      <c r="E338" s="129"/>
    </row>
    <row r="339" spans="1:5">
      <c r="A339" s="963" t="s">
        <v>208</v>
      </c>
      <c r="B339" s="963"/>
      <c r="C339" s="129" t="s">
        <v>210</v>
      </c>
      <c r="D339" s="129"/>
      <c r="E339" s="129"/>
    </row>
    <row r="340" spans="1:5">
      <c r="A340" s="963" t="s">
        <v>211</v>
      </c>
      <c r="B340" s="963"/>
      <c r="C340" s="129" t="s">
        <v>212</v>
      </c>
      <c r="D340" s="129"/>
      <c r="E340" s="129"/>
    </row>
    <row r="341" spans="1:5">
      <c r="A341" s="964" t="s">
        <v>211</v>
      </c>
      <c r="B341" s="965"/>
      <c r="C341" s="135">
        <v>29304</v>
      </c>
      <c r="D341" s="129"/>
      <c r="E341" s="129"/>
    </row>
    <row r="342" spans="1:5">
      <c r="A342" s="148"/>
      <c r="B342" s="148"/>
      <c r="C342" s="130"/>
      <c r="D342" s="129"/>
      <c r="E342" s="129"/>
    </row>
    <row r="343" spans="1:5">
      <c r="A343" s="129" t="s">
        <v>213</v>
      </c>
      <c r="B343" s="129"/>
      <c r="C343" s="129"/>
      <c r="D343" s="129"/>
      <c r="E343" s="129"/>
    </row>
    <row r="344" spans="1:5">
      <c r="A344" s="959" t="s">
        <v>214</v>
      </c>
      <c r="B344" s="959"/>
      <c r="C344" s="129" t="s">
        <v>273</v>
      </c>
      <c r="D344" s="129"/>
      <c r="E344" s="131">
        <f>C306*5</f>
        <v>18720</v>
      </c>
    </row>
    <row r="345" spans="1:5">
      <c r="A345" s="959" t="s">
        <v>274</v>
      </c>
      <c r="B345" s="959"/>
      <c r="C345" s="959" t="s">
        <v>219</v>
      </c>
      <c r="D345" s="959"/>
      <c r="E345" s="131">
        <f>216*5*1.5</f>
        <v>1620</v>
      </c>
    </row>
    <row r="346" spans="1:5">
      <c r="A346" s="959" t="s">
        <v>275</v>
      </c>
      <c r="B346" s="959"/>
      <c r="C346" s="129" t="s">
        <v>215</v>
      </c>
      <c r="D346" s="129"/>
      <c r="E346" s="131">
        <f>216*5</f>
        <v>1080</v>
      </c>
    </row>
    <row r="347" spans="1:5">
      <c r="A347" s="960" t="s">
        <v>127</v>
      </c>
      <c r="B347" s="961"/>
      <c r="C347" s="961"/>
      <c r="D347" s="136"/>
      <c r="E347" s="137">
        <f>E344+E345+E346</f>
        <v>21420</v>
      </c>
    </row>
    <row r="348" spans="1:5">
      <c r="A348" s="959" t="s">
        <v>276</v>
      </c>
      <c r="B348" s="959"/>
      <c r="C348" s="134">
        <v>0.17</v>
      </c>
      <c r="D348" s="129"/>
      <c r="E348" s="132">
        <f>-E347*0.17</f>
        <v>-3641.4</v>
      </c>
    </row>
    <row r="349" spans="1:5">
      <c r="A349" s="138" t="s">
        <v>216</v>
      </c>
      <c r="B349" s="136"/>
      <c r="C349" s="139">
        <v>0.83</v>
      </c>
      <c r="D349" s="136"/>
      <c r="E349" s="137">
        <f>E347+E348</f>
        <v>17778.599999999999</v>
      </c>
    </row>
    <row r="350" spans="1:5">
      <c r="A350" s="959" t="s">
        <v>277</v>
      </c>
      <c r="B350" s="959"/>
      <c r="C350" s="129"/>
      <c r="D350" s="129"/>
      <c r="E350" s="131">
        <v>1000</v>
      </c>
    </row>
    <row r="351" spans="1:5">
      <c r="A351" s="960" t="s">
        <v>217</v>
      </c>
      <c r="B351" s="961"/>
      <c r="C351" s="961"/>
      <c r="D351" s="136"/>
      <c r="E351" s="137">
        <f>E349+E350</f>
        <v>18778.599999999999</v>
      </c>
    </row>
    <row r="352" spans="1:5">
      <c r="A352" s="959" t="s">
        <v>218</v>
      </c>
      <c r="B352" s="959"/>
      <c r="C352" s="959"/>
      <c r="D352" s="129"/>
      <c r="E352" s="131">
        <f>E347*0.239</f>
        <v>5119.38</v>
      </c>
    </row>
    <row r="353" spans="1:6">
      <c r="A353" s="959" t="s">
        <v>278</v>
      </c>
      <c r="B353" s="959"/>
      <c r="C353" s="129"/>
      <c r="D353" s="129"/>
      <c r="E353" s="132">
        <f>-E350</f>
        <v>-1000</v>
      </c>
    </row>
    <row r="354" spans="1:6">
      <c r="A354" s="960" t="s">
        <v>279</v>
      </c>
      <c r="B354" s="961"/>
      <c r="C354" s="961"/>
      <c r="D354" s="136"/>
      <c r="E354" s="137">
        <f>E352+E353</f>
        <v>4119.38</v>
      </c>
    </row>
    <row r="355" spans="1:6">
      <c r="A355" s="129"/>
      <c r="B355" s="129"/>
      <c r="C355" s="129"/>
      <c r="D355" s="129"/>
      <c r="E355" s="131"/>
    </row>
    <row r="356" spans="1:6">
      <c r="A356" s="958" t="s">
        <v>291</v>
      </c>
      <c r="B356" s="958"/>
      <c r="C356" s="129"/>
      <c r="D356" s="129"/>
      <c r="E356" s="129"/>
    </row>
    <row r="357" spans="1:6">
      <c r="A357" s="959" t="s">
        <v>296</v>
      </c>
      <c r="B357" s="959"/>
      <c r="C357" s="959"/>
      <c r="D357" s="129"/>
      <c r="E357" s="129"/>
    </row>
    <row r="358" spans="1:6">
      <c r="A358" s="959" t="s">
        <v>281</v>
      </c>
      <c r="B358" s="959"/>
      <c r="C358" s="129"/>
      <c r="D358" s="129"/>
      <c r="E358" s="131">
        <f>C307*5*0.5*1.239</f>
        <v>669.06000000000006</v>
      </c>
    </row>
    <row r="359" spans="1:6">
      <c r="A359" s="958" t="s">
        <v>297</v>
      </c>
      <c r="B359" s="958"/>
      <c r="C359" s="958"/>
      <c r="D359" s="129"/>
      <c r="E359" s="129"/>
    </row>
    <row r="360" spans="1:6">
      <c r="A360" s="959" t="s">
        <v>282</v>
      </c>
      <c r="B360" s="959"/>
      <c r="C360" s="129"/>
      <c r="D360" s="129"/>
      <c r="E360" s="131">
        <f>-C304*5*1.239</f>
        <v>1338.1200000000001</v>
      </c>
    </row>
    <row r="361" spans="1:6">
      <c r="A361" s="958" t="s">
        <v>220</v>
      </c>
      <c r="B361" s="958"/>
      <c r="C361" s="133"/>
      <c r="D361" s="133"/>
      <c r="E361" s="133"/>
    </row>
    <row r="362" spans="1:6">
      <c r="A362" s="959" t="s">
        <v>280</v>
      </c>
      <c r="B362" s="959"/>
      <c r="C362" s="959"/>
      <c r="D362" s="129"/>
      <c r="E362" s="131">
        <f>C308*5*(0.48-0.239)</f>
        <v>4771.8</v>
      </c>
    </row>
    <row r="364" spans="1:6">
      <c r="A364" s="2" t="s">
        <v>221</v>
      </c>
    </row>
    <row r="365" spans="1:6">
      <c r="A365" s="46"/>
      <c r="D365" s="46"/>
      <c r="E365" s="75" t="s">
        <v>23</v>
      </c>
      <c r="F365" s="75" t="s">
        <v>222</v>
      </c>
    </row>
    <row r="366" spans="1:6">
      <c r="A366" s="2" t="s">
        <v>223</v>
      </c>
      <c r="B366" s="2" t="s">
        <v>290</v>
      </c>
      <c r="E366" s="140">
        <f>C341</f>
        <v>29304</v>
      </c>
      <c r="F366" s="89"/>
    </row>
    <row r="367" spans="1:6">
      <c r="A367" s="2" t="s">
        <v>226</v>
      </c>
      <c r="B367" s="2" t="s">
        <v>225</v>
      </c>
      <c r="E367" s="140">
        <f>E360+E358</f>
        <v>2007.1800000000003</v>
      </c>
      <c r="F367" s="89"/>
    </row>
    <row r="368" spans="1:6">
      <c r="A368" s="2" t="s">
        <v>227</v>
      </c>
      <c r="C368" s="2" t="s">
        <v>229</v>
      </c>
      <c r="E368" s="89"/>
      <c r="F368" s="141">
        <f>E351</f>
        <v>18778.599999999999</v>
      </c>
    </row>
    <row r="369" spans="1:6">
      <c r="A369" s="2" t="s">
        <v>228</v>
      </c>
      <c r="C369" s="2" t="s">
        <v>230</v>
      </c>
      <c r="E369" s="89"/>
      <c r="F369" s="141">
        <f>E354</f>
        <v>4119.38</v>
      </c>
    </row>
    <row r="370" spans="1:6">
      <c r="A370" s="2" t="s">
        <v>227</v>
      </c>
      <c r="C370" s="2" t="s">
        <v>231</v>
      </c>
      <c r="E370" s="89"/>
      <c r="F370" s="142">
        <f>-E348</f>
        <v>3641.4</v>
      </c>
    </row>
    <row r="371" spans="1:6">
      <c r="A371" s="46" t="s">
        <v>227</v>
      </c>
      <c r="C371" s="2" t="s">
        <v>225</v>
      </c>
      <c r="E371" s="91"/>
      <c r="F371" s="143">
        <f>E362</f>
        <v>4771.8</v>
      </c>
    </row>
    <row r="372" spans="1:6">
      <c r="D372" s="57"/>
      <c r="E372" s="144">
        <f>SUM(E366:E371)</f>
        <v>31311.18</v>
      </c>
      <c r="F372" s="144">
        <f>SUM(F368:F371)</f>
        <v>31311.18</v>
      </c>
    </row>
    <row r="373" spans="1:6">
      <c r="D373" s="14"/>
      <c r="E373" s="144"/>
      <c r="F373" s="144"/>
    </row>
    <row r="374" spans="1:6">
      <c r="A374" s="1" t="s">
        <v>232</v>
      </c>
      <c r="D374" s="14"/>
      <c r="E374" s="144"/>
      <c r="F374" s="144"/>
    </row>
    <row r="375" spans="1:6">
      <c r="D375" s="14"/>
      <c r="E375" s="144"/>
      <c r="F375" s="144"/>
    </row>
    <row r="376" spans="1:6">
      <c r="A376" s="2" t="s">
        <v>284</v>
      </c>
      <c r="D376" s="14"/>
      <c r="E376" s="144"/>
      <c r="F376" s="144"/>
    </row>
    <row r="377" spans="1:6">
      <c r="A377" s="2" t="s">
        <v>286</v>
      </c>
      <c r="C377" s="2" t="s">
        <v>285</v>
      </c>
      <c r="D377" s="14"/>
      <c r="E377" s="144"/>
      <c r="F377" s="144"/>
    </row>
    <row r="378" spans="1:6">
      <c r="A378" s="2" t="s">
        <v>286</v>
      </c>
      <c r="C378" s="2" t="s">
        <v>287</v>
      </c>
      <c r="D378" s="14"/>
      <c r="E378" s="144"/>
      <c r="F378" s="144"/>
    </row>
    <row r="379" spans="1:6">
      <c r="A379" s="85" t="s">
        <v>286</v>
      </c>
      <c r="B379" s="86"/>
      <c r="C379" s="147">
        <f>3960*7.4</f>
        <v>29304</v>
      </c>
      <c r="D379" s="14"/>
      <c r="E379" s="144"/>
      <c r="F379" s="144"/>
    </row>
    <row r="380" spans="1:6">
      <c r="D380" s="14"/>
      <c r="E380" s="144"/>
      <c r="F380" s="144"/>
    </row>
    <row r="381" spans="1:6">
      <c r="A381" s="2" t="s">
        <v>288</v>
      </c>
      <c r="D381" s="14"/>
      <c r="E381" s="144"/>
      <c r="F381" s="144"/>
    </row>
    <row r="382" spans="1:6">
      <c r="A382" s="2" t="s">
        <v>289</v>
      </c>
      <c r="D382" s="14"/>
      <c r="E382" s="144"/>
      <c r="F382" s="144"/>
    </row>
    <row r="383" spans="1:6">
      <c r="D383" s="14"/>
      <c r="E383" s="144"/>
      <c r="F383" s="144"/>
    </row>
    <row r="384" spans="1:6">
      <c r="A384" s="2" t="s">
        <v>221</v>
      </c>
      <c r="D384" s="14"/>
      <c r="E384" s="144"/>
      <c r="F384" s="144"/>
    </row>
    <row r="385" spans="1:6">
      <c r="A385" s="46"/>
      <c r="D385" s="46"/>
      <c r="E385" s="75" t="s">
        <v>23</v>
      </c>
      <c r="F385" s="75" t="s">
        <v>222</v>
      </c>
    </row>
    <row r="386" spans="1:6">
      <c r="A386" s="2" t="s">
        <v>223</v>
      </c>
      <c r="B386" s="2" t="s">
        <v>290</v>
      </c>
      <c r="E386" s="92">
        <f>C379</f>
        <v>29304</v>
      </c>
      <c r="F386" s="89"/>
    </row>
    <row r="387" spans="1:6">
      <c r="A387" s="2" t="s">
        <v>233</v>
      </c>
      <c r="B387" s="2" t="s">
        <v>234</v>
      </c>
      <c r="E387" s="95">
        <f>E397</f>
        <v>799.2</v>
      </c>
      <c r="F387" s="89"/>
    </row>
    <row r="388" spans="1:6">
      <c r="A388" s="2" t="s">
        <v>226</v>
      </c>
      <c r="B388" s="2" t="s">
        <v>225</v>
      </c>
      <c r="E388" s="95">
        <f>E395</f>
        <v>1338.1200000000001</v>
      </c>
      <c r="F388" s="89"/>
    </row>
    <row r="389" spans="1:6">
      <c r="A389" s="2" t="s">
        <v>228</v>
      </c>
      <c r="C389" s="2" t="s">
        <v>229</v>
      </c>
      <c r="E389" s="89"/>
      <c r="F389" s="92">
        <f>E351</f>
        <v>18778.599999999999</v>
      </c>
    </row>
    <row r="390" spans="1:6">
      <c r="A390" s="2" t="s">
        <v>227</v>
      </c>
      <c r="C390" s="2" t="s">
        <v>235</v>
      </c>
      <c r="E390" s="89"/>
      <c r="F390" s="92">
        <f>-E348</f>
        <v>3641.4</v>
      </c>
    </row>
    <row r="391" spans="1:6">
      <c r="A391" s="2" t="s">
        <v>227</v>
      </c>
      <c r="C391" s="2" t="s">
        <v>236</v>
      </c>
      <c r="E391" s="89"/>
      <c r="F391" s="92">
        <f>E354</f>
        <v>4119.38</v>
      </c>
    </row>
    <row r="392" spans="1:6">
      <c r="A392" s="46" t="s">
        <v>227</v>
      </c>
      <c r="C392" s="2" t="s">
        <v>225</v>
      </c>
      <c r="E392" s="91"/>
      <c r="F392" s="93">
        <f>E399</f>
        <v>4901.9399999999996</v>
      </c>
    </row>
    <row r="393" spans="1:6">
      <c r="D393" s="57"/>
      <c r="E393" s="144">
        <f>SUM(E386:E392)</f>
        <v>31441.32</v>
      </c>
      <c r="F393" s="144">
        <f>SUM(F386:F392)</f>
        <v>31441.32</v>
      </c>
    </row>
    <row r="394" spans="1:6">
      <c r="A394" s="149" t="s">
        <v>291</v>
      </c>
      <c r="D394" s="14"/>
      <c r="E394" s="90"/>
      <c r="F394" s="90"/>
    </row>
    <row r="395" spans="1:6">
      <c r="A395" s="2" t="s">
        <v>282</v>
      </c>
      <c r="D395" s="14"/>
      <c r="E395" s="144">
        <f>216*5*1.239</f>
        <v>1338.1200000000001</v>
      </c>
      <c r="F395" s="90"/>
    </row>
    <row r="396" spans="1:6">
      <c r="A396" s="149" t="s">
        <v>292</v>
      </c>
      <c r="B396" s="149"/>
      <c r="D396" s="14"/>
      <c r="E396" s="90"/>
      <c r="F396" s="90"/>
    </row>
    <row r="397" spans="1:6">
      <c r="A397" s="2" t="s">
        <v>293</v>
      </c>
      <c r="D397" s="14"/>
      <c r="E397" s="144">
        <f>216*5*0.5*1.48</f>
        <v>799.2</v>
      </c>
      <c r="F397" s="90"/>
    </row>
    <row r="398" spans="1:6">
      <c r="A398" s="149" t="s">
        <v>294</v>
      </c>
      <c r="D398" s="14"/>
      <c r="E398" s="90"/>
      <c r="F398" s="90"/>
    </row>
    <row r="399" spans="1:6">
      <c r="A399" s="2" t="s">
        <v>295</v>
      </c>
      <c r="B399" s="129"/>
      <c r="C399" s="129"/>
      <c r="D399" s="129"/>
      <c r="E399" s="144">
        <f>((3744*5)+(216*7.5))*(0.48-0.239)</f>
        <v>4901.9399999999996</v>
      </c>
      <c r="F399" s="90"/>
    </row>
    <row r="400" spans="1:6">
      <c r="D400" s="14"/>
      <c r="E400" s="90"/>
      <c r="F400" s="90"/>
    </row>
    <row r="401" spans="1:6">
      <c r="A401" s="1" t="s">
        <v>298</v>
      </c>
      <c r="D401" s="14"/>
      <c r="E401" s="90"/>
      <c r="F401" s="90"/>
    </row>
    <row r="402" spans="1:6">
      <c r="A402" s="2" t="s">
        <v>207</v>
      </c>
    </row>
    <row r="403" spans="1:6">
      <c r="A403" s="2" t="s">
        <v>299</v>
      </c>
      <c r="B403" s="98" t="s">
        <v>300</v>
      </c>
    </row>
    <row r="404" spans="1:6">
      <c r="B404" s="97" t="s">
        <v>301</v>
      </c>
    </row>
    <row r="406" spans="1:6">
      <c r="A406" s="2" t="s">
        <v>299</v>
      </c>
      <c r="B406" s="98">
        <v>3960</v>
      </c>
    </row>
    <row r="407" spans="1:6">
      <c r="B407" s="97">
        <v>7920</v>
      </c>
    </row>
    <row r="409" spans="1:6">
      <c r="A409" s="2" t="s">
        <v>171</v>
      </c>
      <c r="B409" s="150">
        <f>B406/B407</f>
        <v>0.5</v>
      </c>
      <c r="C409" s="100" t="s">
        <v>173</v>
      </c>
    </row>
    <row r="411" spans="1:6">
      <c r="A411" s="2" t="s">
        <v>302</v>
      </c>
      <c r="B411" s="2" t="s">
        <v>304</v>
      </c>
      <c r="E411" s="96" t="s">
        <v>303</v>
      </c>
    </row>
    <row r="412" spans="1:6">
      <c r="B412" s="2" t="s">
        <v>305</v>
      </c>
      <c r="E412" s="49">
        <v>5801.6</v>
      </c>
    </row>
    <row r="413" spans="1:6">
      <c r="B413" s="2" t="s">
        <v>307</v>
      </c>
      <c r="E413" s="49">
        <v>2397.6</v>
      </c>
    </row>
    <row r="414" spans="1:6">
      <c r="B414" s="57" t="s">
        <v>183</v>
      </c>
      <c r="C414" s="57"/>
      <c r="D414" s="57"/>
      <c r="E414" s="58">
        <f>E412+E413</f>
        <v>8199.2000000000007</v>
      </c>
    </row>
    <row r="416" spans="1:6">
      <c r="A416" s="2" t="s">
        <v>306</v>
      </c>
      <c r="B416" s="2" t="s">
        <v>308</v>
      </c>
      <c r="E416" s="96" t="s">
        <v>309</v>
      </c>
    </row>
    <row r="417" spans="1:6">
      <c r="B417" s="57" t="s">
        <v>310</v>
      </c>
      <c r="C417" s="57"/>
      <c r="D417" s="57"/>
      <c r="E417" s="151">
        <v>21904</v>
      </c>
    </row>
    <row r="418" spans="1:6">
      <c r="B418" s="14"/>
      <c r="C418" s="14"/>
      <c r="D418" s="14"/>
      <c r="E418" s="152"/>
    </row>
    <row r="419" spans="1:6">
      <c r="A419" s="2" t="s">
        <v>311</v>
      </c>
    </row>
    <row r="421" spans="1:6">
      <c r="A421" s="2" t="s">
        <v>221</v>
      </c>
    </row>
    <row r="422" spans="1:6">
      <c r="A422" s="46"/>
      <c r="D422" s="46"/>
      <c r="E422" s="75" t="s">
        <v>23</v>
      </c>
      <c r="F422" s="75" t="s">
        <v>222</v>
      </c>
    </row>
    <row r="423" spans="1:6">
      <c r="A423" s="2" t="s">
        <v>223</v>
      </c>
      <c r="B423" s="2" t="s">
        <v>316</v>
      </c>
      <c r="E423" s="89">
        <f>E417</f>
        <v>21904</v>
      </c>
      <c r="F423" s="89"/>
    </row>
    <row r="424" spans="1:6" ht="26.25" customHeight="1">
      <c r="A424" s="12" t="s">
        <v>223</v>
      </c>
      <c r="B424" s="956" t="s">
        <v>314</v>
      </c>
      <c r="C424" s="956"/>
      <c r="D424" s="957"/>
      <c r="E424" s="94">
        <f>E414</f>
        <v>8199.2000000000007</v>
      </c>
      <c r="F424" s="89"/>
    </row>
    <row r="425" spans="1:6">
      <c r="A425" s="2" t="s">
        <v>226</v>
      </c>
      <c r="B425" s="2" t="s">
        <v>225</v>
      </c>
      <c r="E425" s="95">
        <f>E432</f>
        <v>1338.1200000000001</v>
      </c>
      <c r="F425" s="89"/>
    </row>
    <row r="426" spans="1:6">
      <c r="A426" s="2" t="s">
        <v>228</v>
      </c>
      <c r="C426" s="2" t="s">
        <v>312</v>
      </c>
      <c r="E426" s="89"/>
      <c r="F426" s="92">
        <f>E351</f>
        <v>18778.599999999999</v>
      </c>
    </row>
    <row r="427" spans="1:6">
      <c r="A427" s="2" t="s">
        <v>227</v>
      </c>
      <c r="C427" s="2" t="s">
        <v>235</v>
      </c>
      <c r="E427" s="89"/>
      <c r="F427" s="92">
        <f>-E348</f>
        <v>3641.4</v>
      </c>
    </row>
    <row r="428" spans="1:6">
      <c r="A428" s="2" t="s">
        <v>227</v>
      </c>
      <c r="C428" s="2" t="s">
        <v>236</v>
      </c>
      <c r="E428" s="89"/>
      <c r="F428" s="92">
        <f>E354</f>
        <v>4119.38</v>
      </c>
    </row>
    <row r="429" spans="1:6">
      <c r="A429" s="46" t="s">
        <v>227</v>
      </c>
      <c r="C429" s="2" t="s">
        <v>225</v>
      </c>
      <c r="E429" s="91"/>
      <c r="F429" s="93">
        <f>E434</f>
        <v>4901.9399999999996</v>
      </c>
    </row>
    <row r="430" spans="1:6">
      <c r="D430" s="57"/>
      <c r="E430" s="144">
        <f>SUM(E423:E429)</f>
        <v>31441.32</v>
      </c>
      <c r="F430" s="144">
        <f>SUM(F423:F429)</f>
        <v>31441.32</v>
      </c>
    </row>
    <row r="431" spans="1:6">
      <c r="A431" s="149" t="s">
        <v>313</v>
      </c>
    </row>
    <row r="432" spans="1:6">
      <c r="A432" s="2" t="s">
        <v>282</v>
      </c>
      <c r="D432" s="14"/>
      <c r="E432" s="144">
        <f>216*5*1.239</f>
        <v>1338.1200000000001</v>
      </c>
    </row>
    <row r="433" spans="1:5">
      <c r="A433" s="149" t="s">
        <v>315</v>
      </c>
    </row>
    <row r="434" spans="1:5">
      <c r="A434" s="2" t="s">
        <v>295</v>
      </c>
      <c r="E434" s="144">
        <f>((3744*5)+(216*7.5))*(0.48-0.239)</f>
        <v>4901.9399999999996</v>
      </c>
    </row>
    <row r="436" spans="1:5">
      <c r="A436" s="1" t="s">
        <v>317</v>
      </c>
    </row>
    <row r="437" spans="1:5">
      <c r="A437" s="2" t="s">
        <v>207</v>
      </c>
    </row>
    <row r="438" spans="1:5">
      <c r="A438" s="2" t="s">
        <v>318</v>
      </c>
    </row>
    <row r="440" spans="1:5">
      <c r="A440" s="953" t="s">
        <v>198</v>
      </c>
      <c r="B440" s="954"/>
      <c r="C440" s="955"/>
    </row>
    <row r="441" spans="1:5">
      <c r="A441" s="122" t="s">
        <v>199</v>
      </c>
      <c r="B441" s="14"/>
      <c r="C441" s="123">
        <v>100</v>
      </c>
    </row>
    <row r="442" spans="1:5">
      <c r="A442" s="122" t="s">
        <v>200</v>
      </c>
      <c r="B442" s="14"/>
      <c r="C442" s="123">
        <f>C441*0.07</f>
        <v>7.0000000000000009</v>
      </c>
    </row>
    <row r="443" spans="1:5">
      <c r="A443" s="122" t="s">
        <v>185</v>
      </c>
      <c r="B443" s="14"/>
      <c r="C443" s="123">
        <f>C441+C442</f>
        <v>107</v>
      </c>
    </row>
    <row r="444" spans="1:5">
      <c r="A444" s="122" t="s">
        <v>182</v>
      </c>
      <c r="B444" s="14"/>
      <c r="C444" s="123">
        <f>C443*0.08333</f>
        <v>8.9163099999999993</v>
      </c>
    </row>
    <row r="445" spans="1:5">
      <c r="A445" s="122" t="s">
        <v>185</v>
      </c>
      <c r="B445" s="14"/>
      <c r="C445" s="123">
        <f>C443+C444</f>
        <v>115.91631</v>
      </c>
    </row>
    <row r="446" spans="1:5">
      <c r="A446" s="122" t="s">
        <v>202</v>
      </c>
      <c r="B446" s="14"/>
      <c r="C446" s="123">
        <f>C445*0.239</f>
        <v>27.703998089999999</v>
      </c>
    </row>
    <row r="447" spans="1:5">
      <c r="A447" s="122" t="s">
        <v>185</v>
      </c>
      <c r="B447" s="14"/>
      <c r="C447" s="123">
        <f>C445+C446</f>
        <v>143.62030808999998</v>
      </c>
    </row>
    <row r="448" spans="1:5">
      <c r="A448" s="122" t="s">
        <v>203</v>
      </c>
      <c r="B448" s="14"/>
      <c r="C448" s="123">
        <v>1</v>
      </c>
    </row>
    <row r="449" spans="1:6">
      <c r="A449" s="122" t="s">
        <v>204</v>
      </c>
      <c r="B449" s="14"/>
      <c r="C449" s="153">
        <v>0.69930000000000003</v>
      </c>
    </row>
    <row r="450" spans="1:6">
      <c r="A450" s="122" t="s">
        <v>185</v>
      </c>
      <c r="B450" s="14"/>
      <c r="C450" s="123">
        <f>C447+C448+C449</f>
        <v>145.31960808999997</v>
      </c>
    </row>
    <row r="451" spans="1:6">
      <c r="A451" s="124" t="s">
        <v>205</v>
      </c>
      <c r="B451" s="14"/>
      <c r="C451" s="123">
        <v>100</v>
      </c>
    </row>
    <row r="452" spans="1:6">
      <c r="A452" s="125" t="s">
        <v>206</v>
      </c>
      <c r="B452" s="126"/>
      <c r="C452" s="154">
        <f>C450-C451</f>
        <v>45.319608089999974</v>
      </c>
    </row>
    <row r="453" spans="1:6">
      <c r="A453" s="1"/>
    </row>
    <row r="454" spans="1:6">
      <c r="A454" s="2" t="s">
        <v>319</v>
      </c>
      <c r="B454" s="2" t="s">
        <v>320</v>
      </c>
    </row>
    <row r="455" spans="1:6">
      <c r="A455" s="85" t="s">
        <v>319</v>
      </c>
      <c r="B455" s="155">
        <f>3960*5*(1+C452/100)</f>
        <v>28773.282401819994</v>
      </c>
    </row>
    <row r="456" spans="1:6">
      <c r="A456" s="1"/>
    </row>
    <row r="457" spans="1:6">
      <c r="A457" s="14" t="s">
        <v>321</v>
      </c>
    </row>
    <row r="458" spans="1:6">
      <c r="A458" s="14"/>
    </row>
    <row r="459" spans="1:6">
      <c r="A459" s="14" t="s">
        <v>221</v>
      </c>
    </row>
    <row r="460" spans="1:6">
      <c r="D460" s="46"/>
      <c r="E460" s="75" t="s">
        <v>23</v>
      </c>
      <c r="F460" s="75" t="s">
        <v>222</v>
      </c>
    </row>
    <row r="461" spans="1:6">
      <c r="A461" s="57" t="s">
        <v>223</v>
      </c>
      <c r="B461" s="2" t="s">
        <v>224</v>
      </c>
      <c r="E461" s="89">
        <f>B455</f>
        <v>28773.282401819994</v>
      </c>
      <c r="F461" s="89"/>
    </row>
    <row r="462" spans="1:6">
      <c r="A462" s="12" t="s">
        <v>223</v>
      </c>
      <c r="B462" s="956" t="s">
        <v>237</v>
      </c>
      <c r="C462" s="956"/>
      <c r="D462" s="957"/>
      <c r="E462" s="94">
        <f>216*5*0.5*1.239</f>
        <v>669.06000000000006</v>
      </c>
      <c r="F462" s="89"/>
    </row>
    <row r="463" spans="1:6">
      <c r="A463" s="2" t="s">
        <v>226</v>
      </c>
      <c r="B463" s="2" t="s">
        <v>225</v>
      </c>
      <c r="E463" s="95">
        <f>E472</f>
        <v>1338.1200000000001</v>
      </c>
      <c r="F463" s="89"/>
    </row>
    <row r="464" spans="1:6">
      <c r="A464" s="2" t="s">
        <v>228</v>
      </c>
      <c r="C464" s="2" t="s">
        <v>229</v>
      </c>
      <c r="E464" s="89"/>
      <c r="F464" s="92">
        <f>E351</f>
        <v>18778.599999999999</v>
      </c>
    </row>
    <row r="465" spans="1:6">
      <c r="A465" s="2" t="s">
        <v>227</v>
      </c>
      <c r="C465" s="2" t="s">
        <v>235</v>
      </c>
      <c r="E465" s="89"/>
      <c r="F465" s="92">
        <f>-E348</f>
        <v>3641.4</v>
      </c>
    </row>
    <row r="466" spans="1:6">
      <c r="A466" s="2" t="s">
        <v>227</v>
      </c>
      <c r="C466" s="2" t="s">
        <v>236</v>
      </c>
      <c r="E466" s="89"/>
      <c r="F466" s="92">
        <f>F391</f>
        <v>4119.38</v>
      </c>
    </row>
    <row r="467" spans="1:6">
      <c r="A467" s="46" t="s">
        <v>227</v>
      </c>
      <c r="C467" s="2" t="s">
        <v>225</v>
      </c>
      <c r="E467" s="91"/>
      <c r="F467" s="93">
        <f>E470</f>
        <v>4241.0824018199955</v>
      </c>
    </row>
    <row r="468" spans="1:6">
      <c r="D468" s="57"/>
      <c r="E468" s="144">
        <f>E461+E462+E463</f>
        <v>30780.462401819994</v>
      </c>
      <c r="F468" s="144">
        <f>SUM(F461:F467)</f>
        <v>30780.462401819997</v>
      </c>
    </row>
    <row r="469" spans="1:6">
      <c r="A469" s="149" t="s">
        <v>315</v>
      </c>
      <c r="D469" s="14"/>
      <c r="E469" s="90"/>
      <c r="F469" s="90"/>
    </row>
    <row r="470" spans="1:6">
      <c r="A470" s="2" t="s">
        <v>322</v>
      </c>
      <c r="D470" s="14"/>
      <c r="E470" s="144">
        <f>3960*5*(C452/100-0.239)</f>
        <v>4241.0824018199955</v>
      </c>
      <c r="F470" s="90"/>
    </row>
    <row r="471" spans="1:6">
      <c r="A471" s="149" t="s">
        <v>313</v>
      </c>
      <c r="D471" s="14"/>
      <c r="E471" s="144"/>
      <c r="F471" s="90"/>
    </row>
    <row r="472" spans="1:6">
      <c r="A472" s="2" t="s">
        <v>282</v>
      </c>
      <c r="D472" s="14"/>
      <c r="E472" s="144">
        <f>216*5*1.239</f>
        <v>1338.1200000000001</v>
      </c>
      <c r="F472" s="90"/>
    </row>
    <row r="473" spans="1:6">
      <c r="D473" s="14"/>
      <c r="E473" s="144"/>
      <c r="F473" s="90"/>
    </row>
    <row r="527" ht="29.25" customHeight="1"/>
  </sheetData>
  <mergeCells count="34">
    <mergeCell ref="A1:H1"/>
    <mergeCell ref="A346:B346"/>
    <mergeCell ref="A336:D336"/>
    <mergeCell ref="A338:B338"/>
    <mergeCell ref="A339:B339"/>
    <mergeCell ref="A340:B340"/>
    <mergeCell ref="A341:B341"/>
    <mergeCell ref="A344:B344"/>
    <mergeCell ref="G328:G329"/>
    <mergeCell ref="A60:H61"/>
    <mergeCell ref="E13:H14"/>
    <mergeCell ref="A345:B345"/>
    <mergeCell ref="C345:D345"/>
    <mergeCell ref="A307:B307"/>
    <mergeCell ref="C314:E314"/>
    <mergeCell ref="C315:E315"/>
    <mergeCell ref="A348:B348"/>
    <mergeCell ref="A350:B350"/>
    <mergeCell ref="A351:C351"/>
    <mergeCell ref="A352:C352"/>
    <mergeCell ref="A347:C347"/>
    <mergeCell ref="A320:C320"/>
    <mergeCell ref="A353:B353"/>
    <mergeCell ref="A354:C354"/>
    <mergeCell ref="A356:B356"/>
    <mergeCell ref="A357:C357"/>
    <mergeCell ref="A358:B358"/>
    <mergeCell ref="A440:C440"/>
    <mergeCell ref="B462:D462"/>
    <mergeCell ref="B424:D424"/>
    <mergeCell ref="A359:C359"/>
    <mergeCell ref="A360:B360"/>
    <mergeCell ref="A361:B361"/>
    <mergeCell ref="A362:C362"/>
  </mergeCells>
  <pageMargins left="0.70866141732283472" right="2.2834645669291338" top="0.74803149606299213" bottom="0.74803149606299213" header="0.31496062992125984" footer="0.31496062992125984"/>
  <pageSetup paperSize="9" scale="58" orientation="portrait" r:id="rId1"/>
  <headerFooter>
    <oddHeader>&amp;L&amp;"+,Negrita"Resolución Guía de trabajos prácticos - Sistemas de Costos</oddHeader>
    <oddFooter>&amp;C&amp;"+,Normal"Departamento de Contabilidad e Impuetos
Universidad Argentina de la Empresa</oddFooter>
  </headerFooter>
  <rowBreaks count="4" manualBreakCount="4">
    <brk id="96" max="7" man="1"/>
    <brk id="189" max="7" man="1"/>
    <brk id="282" max="7" man="1"/>
    <brk id="373" max="7" man="1"/>
  </rowBreaks>
  <colBreaks count="1" manualBreakCount="1">
    <brk id="8" max="4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489"/>
  <sheetViews>
    <sheetView showGridLines="0" view="pageBreakPreview" zoomScaleNormal="100" zoomScaleSheetLayoutView="100" workbookViewId="0">
      <selection activeCell="E22" sqref="E22"/>
    </sheetView>
  </sheetViews>
  <sheetFormatPr baseColWidth="10" defaultRowHeight="12.75"/>
  <cols>
    <col min="1" max="1" width="23.28515625" style="2" customWidth="1"/>
    <col min="2" max="2" width="15.5703125" style="2" customWidth="1"/>
    <col min="3" max="3" width="16.7109375" style="2" customWidth="1"/>
    <col min="4" max="4" width="13.7109375" style="2" customWidth="1"/>
    <col min="5" max="5" width="15.7109375" style="2" customWidth="1"/>
    <col min="6" max="11" width="13.7109375" style="2" customWidth="1"/>
    <col min="12" max="16384" width="11.42578125" style="2"/>
  </cols>
  <sheetData>
    <row r="1" spans="1:13" ht="18.75" customHeight="1">
      <c r="A1" s="990" t="s">
        <v>1354</v>
      </c>
      <c r="B1" s="990"/>
      <c r="C1" s="990"/>
      <c r="D1" s="990"/>
      <c r="E1" s="990"/>
      <c r="F1" s="990"/>
      <c r="G1" s="990"/>
      <c r="H1" s="990"/>
      <c r="I1" s="990"/>
      <c r="J1" s="990"/>
      <c r="K1" s="990"/>
      <c r="L1" s="990"/>
      <c r="M1" s="990"/>
    </row>
    <row r="2" spans="1:13" ht="12.75" customHeight="1">
      <c r="A2" s="868" t="s">
        <v>2179</v>
      </c>
      <c r="B2" s="73"/>
      <c r="C2" s="73"/>
      <c r="D2" s="73"/>
      <c r="E2" s="73"/>
      <c r="F2" s="73"/>
      <c r="G2" s="73"/>
      <c r="H2" s="73"/>
      <c r="I2" s="73"/>
    </row>
    <row r="3" spans="1:13" ht="12.75" customHeight="1">
      <c r="A3" s="159"/>
      <c r="B3" s="73"/>
      <c r="C3" s="73"/>
      <c r="D3" s="73"/>
      <c r="E3" s="73"/>
      <c r="F3" s="73"/>
      <c r="G3" s="73"/>
      <c r="H3" s="73"/>
      <c r="I3" s="73"/>
    </row>
    <row r="4" spans="1:13" ht="12.75" customHeight="1">
      <c r="A4" s="156"/>
      <c r="B4" s="156" t="s">
        <v>323</v>
      </c>
      <c r="C4" s="156" t="s">
        <v>486</v>
      </c>
      <c r="D4" s="156" t="s">
        <v>324</v>
      </c>
      <c r="E4" s="156" t="s">
        <v>325</v>
      </c>
      <c r="F4" s="156" t="s">
        <v>326</v>
      </c>
      <c r="G4" s="73"/>
      <c r="H4" s="73"/>
      <c r="I4" s="73"/>
    </row>
    <row r="5" spans="1:13" ht="12.75" customHeight="1">
      <c r="A5" s="157" t="s">
        <v>327</v>
      </c>
      <c r="B5" s="160">
        <v>1457.5</v>
      </c>
      <c r="C5" s="160">
        <v>1180</v>
      </c>
      <c r="D5" s="160">
        <v>1472.5</v>
      </c>
      <c r="E5" s="160">
        <v>450</v>
      </c>
      <c r="F5" s="160">
        <v>900</v>
      </c>
      <c r="G5" s="73"/>
      <c r="H5" s="73"/>
      <c r="I5" s="73"/>
    </row>
    <row r="6" spans="1:13" ht="12.75" customHeight="1">
      <c r="A6" s="157" t="s">
        <v>328</v>
      </c>
      <c r="B6" s="160">
        <v>500</v>
      </c>
      <c r="C6" s="160" t="s">
        <v>329</v>
      </c>
      <c r="D6" s="160" t="s">
        <v>330</v>
      </c>
      <c r="E6" s="160" t="s">
        <v>330</v>
      </c>
      <c r="F6" s="160" t="s">
        <v>331</v>
      </c>
      <c r="G6" s="73"/>
      <c r="H6" s="73"/>
      <c r="I6" s="73"/>
    </row>
    <row r="7" spans="1:13" ht="12.75" customHeight="1">
      <c r="A7" s="157" t="s">
        <v>332</v>
      </c>
      <c r="B7" s="160">
        <v>6000</v>
      </c>
      <c r="C7" s="160">
        <v>2400</v>
      </c>
      <c r="D7" s="160">
        <v>2800</v>
      </c>
      <c r="E7" s="160">
        <v>800</v>
      </c>
      <c r="F7" s="160" t="s">
        <v>333</v>
      </c>
      <c r="G7" s="73"/>
      <c r="H7" s="73"/>
      <c r="I7" s="73"/>
    </row>
    <row r="8" spans="1:13" ht="12.75" customHeight="1">
      <c r="A8" s="157" t="s">
        <v>334</v>
      </c>
      <c r="B8" s="160">
        <v>7000</v>
      </c>
      <c r="C8" s="160">
        <v>10500</v>
      </c>
      <c r="D8" s="160">
        <v>12250</v>
      </c>
      <c r="E8" s="160">
        <v>3500</v>
      </c>
      <c r="F8" s="160">
        <v>1750</v>
      </c>
      <c r="G8" s="73"/>
      <c r="H8" s="73"/>
      <c r="I8" s="73"/>
    </row>
    <row r="9" spans="1:13" ht="12.75" customHeight="1">
      <c r="A9" s="157" t="s">
        <v>335</v>
      </c>
      <c r="B9" s="160">
        <v>8000</v>
      </c>
      <c r="C9" s="160">
        <v>6000</v>
      </c>
      <c r="D9" s="160">
        <v>16500</v>
      </c>
      <c r="E9" s="160" t="s">
        <v>330</v>
      </c>
      <c r="F9" s="160">
        <v>1000</v>
      </c>
      <c r="G9" s="73"/>
      <c r="H9" s="73"/>
      <c r="I9" s="73"/>
    </row>
    <row r="10" spans="1:13" ht="12.75" customHeight="1">
      <c r="A10" s="157" t="s">
        <v>336</v>
      </c>
      <c r="B10" s="160" t="s">
        <v>330</v>
      </c>
      <c r="C10" s="160" t="s">
        <v>337</v>
      </c>
      <c r="D10" s="160" t="s">
        <v>338</v>
      </c>
      <c r="E10" s="160">
        <v>300</v>
      </c>
      <c r="F10" s="160" t="s">
        <v>333</v>
      </c>
      <c r="G10" s="73"/>
      <c r="H10" s="73"/>
      <c r="I10" s="73"/>
    </row>
    <row r="11" spans="1:13" ht="12.75" customHeight="1">
      <c r="A11" s="158" t="s">
        <v>339</v>
      </c>
      <c r="B11" s="161">
        <f>SUM(B5:B10)</f>
        <v>22957.5</v>
      </c>
      <c r="C11" s="161">
        <f>SUM(C5:C10)</f>
        <v>20080</v>
      </c>
      <c r="D11" s="161">
        <f>SUM(D5:D10)</f>
        <v>33022.5</v>
      </c>
      <c r="E11" s="161">
        <f>SUM(E5:E10)</f>
        <v>5050</v>
      </c>
      <c r="F11" s="161">
        <f>SUM(F5:F10)</f>
        <v>3650</v>
      </c>
      <c r="G11" s="73"/>
      <c r="H11" s="73"/>
      <c r="I11" s="73"/>
    </row>
    <row r="12" spans="1:13" ht="12.75" customHeight="1">
      <c r="A12" s="157" t="s">
        <v>340</v>
      </c>
      <c r="B12" s="160">
        <v>4040</v>
      </c>
      <c r="C12" s="160">
        <v>252.5</v>
      </c>
      <c r="D12" s="160">
        <v>757.5</v>
      </c>
      <c r="E12" s="160">
        <v>-5050</v>
      </c>
      <c r="F12" s="160" t="s">
        <v>333</v>
      </c>
      <c r="G12" s="73"/>
      <c r="H12" s="73"/>
      <c r="I12" s="73"/>
    </row>
    <row r="13" spans="1:13" ht="12.75" customHeight="1">
      <c r="A13" s="157" t="s">
        <v>341</v>
      </c>
      <c r="B13" s="160">
        <v>1277.5</v>
      </c>
      <c r="C13" s="160">
        <v>1642.5</v>
      </c>
      <c r="D13" s="160">
        <v>730</v>
      </c>
      <c r="E13" s="160" t="s">
        <v>342</v>
      </c>
      <c r="F13" s="160">
        <v>-3650</v>
      </c>
      <c r="G13" s="73"/>
      <c r="H13" s="73"/>
      <c r="I13" s="73"/>
    </row>
    <row r="14" spans="1:13" ht="12.75" customHeight="1">
      <c r="A14" s="158" t="s">
        <v>343</v>
      </c>
      <c r="B14" s="161">
        <f>SUM(B11:B13)</f>
        <v>28275</v>
      </c>
      <c r="C14" s="161">
        <f>SUM(C11:C13)</f>
        <v>21975</v>
      </c>
      <c r="D14" s="161">
        <f>SUM(D11:D13)</f>
        <v>34510</v>
      </c>
      <c r="E14" s="161" t="s">
        <v>344</v>
      </c>
      <c r="F14" s="161" t="s">
        <v>333</v>
      </c>
      <c r="G14" s="73"/>
      <c r="H14" s="73"/>
      <c r="I14" s="73"/>
    </row>
    <row r="15" spans="1:13" ht="12.75" customHeight="1">
      <c r="A15" s="207"/>
      <c r="B15" s="208"/>
      <c r="C15" s="208"/>
      <c r="D15" s="208"/>
      <c r="E15" s="208"/>
      <c r="F15" s="208"/>
      <c r="G15" s="73"/>
      <c r="H15" s="73"/>
      <c r="I15" s="73"/>
    </row>
    <row r="16" spans="1:13" ht="12.75" customHeight="1">
      <c r="A16" s="869" t="s">
        <v>2180</v>
      </c>
      <c r="B16" s="208"/>
      <c r="C16" s="208"/>
      <c r="D16" s="208"/>
      <c r="E16" s="208"/>
      <c r="F16" s="208"/>
      <c r="G16" s="73"/>
      <c r="H16" s="73"/>
      <c r="I16" s="73"/>
    </row>
    <row r="17" spans="1:9" ht="12.75" customHeight="1">
      <c r="A17" s="207"/>
      <c r="B17" s="208"/>
      <c r="C17" s="208"/>
      <c r="D17" s="208"/>
      <c r="E17" s="208"/>
      <c r="F17" s="208"/>
      <c r="G17" s="73"/>
      <c r="H17" s="73"/>
      <c r="I17" s="73"/>
    </row>
    <row r="18" spans="1:9" ht="12.75" customHeight="1">
      <c r="A18" s="972" t="s">
        <v>2046</v>
      </c>
      <c r="B18" s="927"/>
      <c r="C18" s="973"/>
    </row>
    <row r="19" spans="1:9" ht="12.75" customHeight="1">
      <c r="A19" s="122" t="s">
        <v>2047</v>
      </c>
      <c r="B19" s="14"/>
      <c r="C19" s="820">
        <v>14500</v>
      </c>
    </row>
    <row r="20" spans="1:9" ht="12.75" customHeight="1">
      <c r="A20" s="122" t="s">
        <v>2048</v>
      </c>
      <c r="B20" s="14"/>
      <c r="C20" s="821">
        <v>3375</v>
      </c>
    </row>
    <row r="21" spans="1:9" ht="12.75" customHeight="1">
      <c r="A21" s="2" t="s">
        <v>2049</v>
      </c>
      <c r="C21" s="821">
        <v>70000</v>
      </c>
    </row>
    <row r="22" spans="1:9" ht="12.75" customHeight="1">
      <c r="A22" s="122" t="s">
        <v>2050</v>
      </c>
      <c r="B22" s="14"/>
      <c r="C22" s="821">
        <v>15000</v>
      </c>
    </row>
    <row r="23" spans="1:9" ht="12.75" customHeight="1">
      <c r="A23" s="122" t="s">
        <v>2051</v>
      </c>
      <c r="B23" s="14"/>
      <c r="C23" s="821">
        <v>25000</v>
      </c>
    </row>
    <row r="24" spans="1:9" ht="12.75" customHeight="1">
      <c r="A24" s="729" t="s">
        <v>436</v>
      </c>
      <c r="B24" s="14"/>
      <c r="C24" s="821"/>
    </row>
    <row r="25" spans="1:9" ht="12.75" customHeight="1">
      <c r="A25" s="769" t="s">
        <v>2052</v>
      </c>
      <c r="B25" s="14"/>
      <c r="C25" s="821">
        <v>1255</v>
      </c>
    </row>
    <row r="26" spans="1:9" ht="12.75" customHeight="1">
      <c r="A26" s="769" t="s">
        <v>486</v>
      </c>
      <c r="B26" s="14"/>
      <c r="C26" s="821">
        <v>500</v>
      </c>
    </row>
    <row r="27" spans="1:9" ht="12.75" customHeight="1">
      <c r="A27" s="769" t="s">
        <v>324</v>
      </c>
      <c r="B27" s="14"/>
      <c r="C27" s="821">
        <v>800</v>
      </c>
    </row>
    <row r="28" spans="1:9" ht="12.75" customHeight="1">
      <c r="A28" s="729" t="s">
        <v>2053</v>
      </c>
      <c r="B28" s="14"/>
      <c r="C28" s="821">
        <v>18500</v>
      </c>
    </row>
    <row r="29" spans="1:9" ht="12.75" customHeight="1">
      <c r="A29" s="83" t="s">
        <v>2054</v>
      </c>
      <c r="B29" s="46"/>
      <c r="C29" s="822">
        <v>25000</v>
      </c>
    </row>
    <row r="30" spans="1:9" ht="12.75" customHeight="1"/>
    <row r="31" spans="1:9" ht="12.75" customHeight="1"/>
    <row r="32" spans="1:9" ht="12.75" customHeight="1">
      <c r="A32" s="816" t="s">
        <v>2055</v>
      </c>
      <c r="B32" s="823" t="s">
        <v>2056</v>
      </c>
      <c r="C32" s="823" t="s">
        <v>373</v>
      </c>
      <c r="D32" s="823" t="s">
        <v>2057</v>
      </c>
      <c r="E32" s="823" t="s">
        <v>2058</v>
      </c>
      <c r="F32" s="823" t="s">
        <v>2059</v>
      </c>
    </row>
    <row r="33" spans="1:10" ht="12.75" customHeight="1">
      <c r="A33" s="204" t="s">
        <v>2060</v>
      </c>
      <c r="B33" s="346">
        <v>830</v>
      </c>
      <c r="C33" s="346">
        <v>9</v>
      </c>
      <c r="D33" s="346">
        <v>15</v>
      </c>
      <c r="E33" s="346">
        <v>100000</v>
      </c>
      <c r="F33" s="346">
        <v>500</v>
      </c>
    </row>
    <row r="34" spans="1:10" ht="12.75" customHeight="1">
      <c r="A34" s="204" t="s">
        <v>2061</v>
      </c>
      <c r="B34" s="346">
        <v>500</v>
      </c>
      <c r="C34" s="346">
        <v>5</v>
      </c>
      <c r="D34" s="346">
        <v>5</v>
      </c>
      <c r="E34" s="346">
        <v>450000</v>
      </c>
      <c r="F34" s="346">
        <v>1000</v>
      </c>
    </row>
    <row r="35" spans="1:10" ht="12.75" customHeight="1">
      <c r="A35" s="204" t="s">
        <v>466</v>
      </c>
      <c r="B35" s="346">
        <v>600</v>
      </c>
      <c r="C35" s="346">
        <v>2</v>
      </c>
      <c r="D35" s="346">
        <v>20</v>
      </c>
      <c r="E35" s="346">
        <v>150000</v>
      </c>
      <c r="F35" s="346">
        <v>750</v>
      </c>
    </row>
    <row r="36" spans="1:10" ht="12.75" customHeight="1">
      <c r="A36" s="204" t="s">
        <v>2062</v>
      </c>
      <c r="B36" s="346">
        <v>200</v>
      </c>
      <c r="C36" s="346">
        <v>4</v>
      </c>
      <c r="D36" s="346">
        <v>0</v>
      </c>
      <c r="E36" s="346">
        <v>0</v>
      </c>
      <c r="F36" s="346">
        <v>300</v>
      </c>
    </row>
    <row r="37" spans="1:10" ht="12.75" customHeight="1">
      <c r="A37" s="204" t="s">
        <v>2063</v>
      </c>
      <c r="B37" s="346">
        <v>120</v>
      </c>
      <c r="C37" s="346">
        <v>5</v>
      </c>
      <c r="D37" s="346">
        <v>2</v>
      </c>
      <c r="E37" s="346">
        <v>0</v>
      </c>
      <c r="F37" s="346">
        <v>350</v>
      </c>
    </row>
    <row r="38" spans="1:10" ht="12.75" customHeight="1">
      <c r="A38" s="282" t="s">
        <v>383</v>
      </c>
      <c r="B38" s="434">
        <f>SUM(B33:B37)</f>
        <v>2250</v>
      </c>
      <c r="C38" s="434">
        <f>SUM(C33:C37)</f>
        <v>25</v>
      </c>
      <c r="D38" s="434">
        <f>SUM(D33:D37)</f>
        <v>42</v>
      </c>
      <c r="E38" s="434">
        <f>SUM(E33:E37)</f>
        <v>700000</v>
      </c>
      <c r="F38" s="434">
        <f>SUM(F33:F37)</f>
        <v>2900</v>
      </c>
    </row>
    <row r="39" spans="1:10" ht="12.75" customHeight="1">
      <c r="A39" s="661"/>
      <c r="B39" s="661"/>
      <c r="C39" s="661"/>
      <c r="D39" s="661"/>
      <c r="E39" s="661"/>
    </row>
    <row r="40" spans="1:10" ht="12.75" customHeight="1">
      <c r="A40" s="816" t="s">
        <v>434</v>
      </c>
      <c r="B40" s="816" t="s">
        <v>2064</v>
      </c>
      <c r="C40" s="816" t="s">
        <v>387</v>
      </c>
      <c r="D40" s="816" t="s">
        <v>388</v>
      </c>
      <c r="E40" s="816" t="s">
        <v>2060</v>
      </c>
      <c r="F40" s="823" t="s">
        <v>2061</v>
      </c>
      <c r="G40" s="816" t="s">
        <v>466</v>
      </c>
      <c r="H40" s="816" t="s">
        <v>2065</v>
      </c>
      <c r="I40" s="816" t="s">
        <v>2063</v>
      </c>
      <c r="J40" s="816" t="s">
        <v>606</v>
      </c>
    </row>
    <row r="41" spans="1:10" ht="12.75" customHeight="1">
      <c r="A41" s="204" t="s">
        <v>2066</v>
      </c>
      <c r="B41" s="204" t="s">
        <v>2067</v>
      </c>
      <c r="C41" s="817" t="s">
        <v>2068</v>
      </c>
      <c r="D41" s="174">
        <f>C19/F38</f>
        <v>5</v>
      </c>
      <c r="E41" s="346">
        <f>D41*F33</f>
        <v>2500</v>
      </c>
      <c r="F41" s="346">
        <f>D41*F34</f>
        <v>5000</v>
      </c>
      <c r="G41" s="346">
        <f>D41*F35</f>
        <v>3750</v>
      </c>
      <c r="H41" s="346">
        <f>D41*F36</f>
        <v>1500</v>
      </c>
      <c r="I41" s="346">
        <f>D41*F37</f>
        <v>1750</v>
      </c>
      <c r="J41" s="346">
        <f>SUM(E41:I41)</f>
        <v>14500</v>
      </c>
    </row>
    <row r="42" spans="1:10" ht="12.75" customHeight="1">
      <c r="A42" s="204" t="s">
        <v>2069</v>
      </c>
      <c r="B42" s="204" t="s">
        <v>374</v>
      </c>
      <c r="C42" s="817" t="s">
        <v>2070</v>
      </c>
      <c r="D42" s="174">
        <f>C20/B38</f>
        <v>1.5</v>
      </c>
      <c r="E42" s="346">
        <f>D42*B33</f>
        <v>1245</v>
      </c>
      <c r="F42" s="346">
        <f>D42*B34</f>
        <v>750</v>
      </c>
      <c r="G42" s="346">
        <f>D42*B35</f>
        <v>900</v>
      </c>
      <c r="H42" s="346">
        <f>D42*B36</f>
        <v>300</v>
      </c>
      <c r="I42" s="346">
        <f>D42*B37</f>
        <v>180</v>
      </c>
      <c r="J42" s="346">
        <f>SUM(E42:I42)</f>
        <v>3375</v>
      </c>
    </row>
    <row r="43" spans="1:10" ht="12.75" customHeight="1">
      <c r="A43" s="204" t="s">
        <v>2071</v>
      </c>
      <c r="B43" s="204" t="s">
        <v>2072</v>
      </c>
      <c r="C43" s="817" t="s">
        <v>2073</v>
      </c>
      <c r="D43" s="174">
        <f>C21/E38</f>
        <v>0.1</v>
      </c>
      <c r="E43" s="346">
        <f>D43*E33</f>
        <v>10000</v>
      </c>
      <c r="F43" s="346">
        <f>D43*E34</f>
        <v>45000</v>
      </c>
      <c r="G43" s="346">
        <f>D43*E35</f>
        <v>15000</v>
      </c>
      <c r="H43" s="346">
        <f>D43*E36</f>
        <v>0</v>
      </c>
      <c r="I43" s="346">
        <f>D43*E37</f>
        <v>0</v>
      </c>
      <c r="J43" s="346">
        <f>SUM(E43:I43)</f>
        <v>70000</v>
      </c>
    </row>
    <row r="44" spans="1:10" ht="12.75" customHeight="1">
      <c r="A44" s="204" t="s">
        <v>2074</v>
      </c>
      <c r="B44" s="204" t="s">
        <v>373</v>
      </c>
      <c r="C44" s="817" t="s">
        <v>2075</v>
      </c>
      <c r="D44" s="174">
        <f>C22/C38</f>
        <v>600</v>
      </c>
      <c r="E44" s="346">
        <f>D44*C33</f>
        <v>5400</v>
      </c>
      <c r="F44" s="346">
        <f>D44*C34</f>
        <v>3000</v>
      </c>
      <c r="G44" s="346">
        <f>D44*C35</f>
        <v>1200</v>
      </c>
      <c r="H44" s="346">
        <f>D44*C36</f>
        <v>2400</v>
      </c>
      <c r="I44" s="346">
        <f>D44*C37</f>
        <v>3000</v>
      </c>
      <c r="J44" s="346">
        <f>SUM(E44:I44)</f>
        <v>15000</v>
      </c>
    </row>
    <row r="45" spans="1:10" ht="12.75" customHeight="1">
      <c r="A45" s="204" t="s">
        <v>436</v>
      </c>
      <c r="B45" s="204" t="s">
        <v>2076</v>
      </c>
      <c r="C45" s="817" t="s">
        <v>399</v>
      </c>
      <c r="D45" s="174" t="s">
        <v>399</v>
      </c>
      <c r="E45" s="346">
        <v>1255</v>
      </c>
      <c r="F45" s="346">
        <v>500</v>
      </c>
      <c r="G45" s="346">
        <v>800</v>
      </c>
      <c r="H45" s="346">
        <v>0</v>
      </c>
      <c r="I45" s="346">
        <v>0</v>
      </c>
      <c r="J45" s="346">
        <f>SUM(E45:I45)</f>
        <v>2555</v>
      </c>
    </row>
    <row r="46" spans="1:10" ht="12.75" customHeight="1">
      <c r="A46" s="204" t="s">
        <v>437</v>
      </c>
      <c r="B46" s="204" t="s">
        <v>399</v>
      </c>
      <c r="C46" s="817"/>
      <c r="D46" s="204" t="s">
        <v>399</v>
      </c>
      <c r="E46" s="346">
        <f t="shared" ref="E46:J46" si="0">SUM(E41:E45)</f>
        <v>20400</v>
      </c>
      <c r="F46" s="346">
        <f t="shared" si="0"/>
        <v>54250</v>
      </c>
      <c r="G46" s="346">
        <f t="shared" si="0"/>
        <v>21650</v>
      </c>
      <c r="H46" s="346">
        <f t="shared" si="0"/>
        <v>4200</v>
      </c>
      <c r="I46" s="346">
        <f t="shared" si="0"/>
        <v>4930</v>
      </c>
      <c r="J46" s="346">
        <f t="shared" si="0"/>
        <v>105430</v>
      </c>
    </row>
    <row r="47" spans="1:10" ht="12.75" customHeight="1">
      <c r="A47" s="204" t="s">
        <v>2077</v>
      </c>
      <c r="B47" s="204" t="s">
        <v>373</v>
      </c>
      <c r="C47" s="817" t="s">
        <v>2078</v>
      </c>
      <c r="D47" s="360">
        <f>I46/(C38-C37)</f>
        <v>246.5</v>
      </c>
      <c r="E47" s="824">
        <f>D47*C33</f>
        <v>2218.5</v>
      </c>
      <c r="F47" s="824">
        <f>D47*C34</f>
        <v>1232.5</v>
      </c>
      <c r="G47" s="824">
        <f>D47*C35</f>
        <v>493</v>
      </c>
      <c r="H47" s="824">
        <f>D47*C36</f>
        <v>986</v>
      </c>
      <c r="I47" s="346">
        <f>-I46</f>
        <v>-4930</v>
      </c>
      <c r="J47" s="346">
        <f>SUM(E47:I47)</f>
        <v>0</v>
      </c>
    </row>
    <row r="48" spans="1:10" ht="12.75" customHeight="1">
      <c r="A48" s="204" t="s">
        <v>185</v>
      </c>
      <c r="B48" s="204" t="s">
        <v>399</v>
      </c>
      <c r="C48" s="817" t="s">
        <v>399</v>
      </c>
      <c r="D48" s="204" t="s">
        <v>399</v>
      </c>
      <c r="E48" s="824">
        <f t="shared" ref="E48:J48" si="1">E46+E47</f>
        <v>22618.5</v>
      </c>
      <c r="F48" s="824">
        <f t="shared" si="1"/>
        <v>55482.5</v>
      </c>
      <c r="G48" s="824">
        <f t="shared" si="1"/>
        <v>22143</v>
      </c>
      <c r="H48" s="824">
        <f t="shared" si="1"/>
        <v>5186</v>
      </c>
      <c r="I48" s="346">
        <f t="shared" si="1"/>
        <v>0</v>
      </c>
      <c r="J48" s="346">
        <f t="shared" si="1"/>
        <v>105430</v>
      </c>
    </row>
    <row r="49" spans="1:11" ht="12.75" customHeight="1">
      <c r="A49" s="204" t="s">
        <v>2079</v>
      </c>
      <c r="B49" s="204" t="s">
        <v>2080</v>
      </c>
      <c r="C49" s="817" t="s">
        <v>2081</v>
      </c>
      <c r="D49" s="347">
        <f>H48/(D38-D37)</f>
        <v>129.65</v>
      </c>
      <c r="E49" s="824">
        <f>D49*D33</f>
        <v>1944.75</v>
      </c>
      <c r="F49" s="824">
        <f>D49*D34</f>
        <v>648.25</v>
      </c>
      <c r="G49" s="824">
        <f>D49*D35</f>
        <v>2593</v>
      </c>
      <c r="H49" s="824">
        <f>-H48</f>
        <v>-5186</v>
      </c>
      <c r="I49" s="346">
        <f>-I48</f>
        <v>0</v>
      </c>
      <c r="J49" s="346">
        <f>SUM(E49:I49)</f>
        <v>0</v>
      </c>
    </row>
    <row r="50" spans="1:11" ht="12.75" customHeight="1">
      <c r="A50" s="204" t="s">
        <v>438</v>
      </c>
      <c r="B50" s="204" t="s">
        <v>399</v>
      </c>
      <c r="C50" s="817" t="s">
        <v>399</v>
      </c>
      <c r="D50" s="204" t="s">
        <v>399</v>
      </c>
      <c r="E50" s="825">
        <f t="shared" ref="E50:J50" si="2">E48+E49</f>
        <v>24563.25</v>
      </c>
      <c r="F50" s="825">
        <f t="shared" si="2"/>
        <v>56130.75</v>
      </c>
      <c r="G50" s="825">
        <f t="shared" si="2"/>
        <v>24736</v>
      </c>
      <c r="H50" s="824">
        <f t="shared" si="2"/>
        <v>0</v>
      </c>
      <c r="I50" s="346">
        <f t="shared" si="2"/>
        <v>0</v>
      </c>
      <c r="J50" s="346">
        <f t="shared" si="2"/>
        <v>105430</v>
      </c>
    </row>
    <row r="51" spans="1:11" ht="12.75" customHeight="1">
      <c r="A51" s="207"/>
      <c r="B51" s="208"/>
      <c r="C51" s="208"/>
      <c r="D51" s="208"/>
      <c r="E51" s="208"/>
      <c r="F51" s="208"/>
      <c r="G51" s="73"/>
      <c r="H51" s="73"/>
      <c r="I51" s="73"/>
    </row>
    <row r="52" spans="1:11" ht="12.75" customHeight="1">
      <c r="A52" s="868" t="s">
        <v>2181</v>
      </c>
      <c r="B52" s="73"/>
      <c r="C52" s="73"/>
      <c r="D52" s="73"/>
      <c r="E52" s="73"/>
      <c r="F52" s="73"/>
      <c r="G52" s="73"/>
      <c r="H52" s="73"/>
      <c r="I52" s="73"/>
    </row>
    <row r="53" spans="1:11" ht="12.75" customHeight="1" thickBot="1">
      <c r="A53" s="159"/>
      <c r="B53" s="73"/>
      <c r="C53" s="73"/>
      <c r="D53" s="73"/>
      <c r="E53" s="73"/>
      <c r="F53" s="73"/>
      <c r="G53" s="73"/>
      <c r="H53" s="73"/>
      <c r="I53" s="73"/>
    </row>
    <row r="54" spans="1:11" ht="30" customHeight="1">
      <c r="A54" s="181" t="s">
        <v>371</v>
      </c>
      <c r="B54" s="182" t="s">
        <v>372</v>
      </c>
      <c r="C54" s="182" t="s">
        <v>373</v>
      </c>
      <c r="D54" s="182" t="s">
        <v>374</v>
      </c>
      <c r="E54" s="182" t="s">
        <v>375</v>
      </c>
      <c r="F54" s="183" t="s">
        <v>376</v>
      </c>
      <c r="G54" s="178"/>
    </row>
    <row r="55" spans="1:11" ht="12.75" customHeight="1">
      <c r="A55" s="184" t="s">
        <v>377</v>
      </c>
      <c r="B55" s="185">
        <v>750</v>
      </c>
      <c r="C55" s="185">
        <v>40</v>
      </c>
      <c r="D55" s="185">
        <v>20000</v>
      </c>
      <c r="E55" s="185">
        <v>4740</v>
      </c>
      <c r="F55" s="186">
        <v>15000</v>
      </c>
    </row>
    <row r="56" spans="1:11" ht="12.75" customHeight="1">
      <c r="A56" s="184" t="s">
        <v>378</v>
      </c>
      <c r="B56" s="185">
        <v>600</v>
      </c>
      <c r="C56" s="185">
        <v>35</v>
      </c>
      <c r="D56" s="185">
        <v>15000</v>
      </c>
      <c r="E56" s="185">
        <v>4800</v>
      </c>
      <c r="F56" s="186">
        <v>25000</v>
      </c>
    </row>
    <row r="57" spans="1:11" ht="12.75" customHeight="1">
      <c r="A57" s="184" t="s">
        <v>379</v>
      </c>
      <c r="B57" s="185">
        <v>450</v>
      </c>
      <c r="C57" s="185">
        <v>15</v>
      </c>
      <c r="D57" s="185">
        <v>15000</v>
      </c>
      <c r="E57" s="185">
        <v>2200</v>
      </c>
      <c r="F57" s="186">
        <v>19700</v>
      </c>
    </row>
    <row r="58" spans="1:11" ht="12.75" customHeight="1">
      <c r="A58" s="184" t="s">
        <v>380</v>
      </c>
      <c r="B58" s="185">
        <v>100</v>
      </c>
      <c r="C58" s="185">
        <v>6</v>
      </c>
      <c r="D58" s="187">
        <v>0</v>
      </c>
      <c r="E58" s="185">
        <v>0</v>
      </c>
      <c r="F58" s="186">
        <v>0</v>
      </c>
    </row>
    <row r="59" spans="1:11" ht="12.75" customHeight="1">
      <c r="A59" s="184" t="s">
        <v>381</v>
      </c>
      <c r="B59" s="185">
        <v>300</v>
      </c>
      <c r="C59" s="185">
        <v>2</v>
      </c>
      <c r="D59" s="185">
        <v>20000</v>
      </c>
      <c r="E59" s="185">
        <v>0</v>
      </c>
      <c r="F59" s="186">
        <v>0</v>
      </c>
    </row>
    <row r="60" spans="1:11" ht="12.75" customHeight="1">
      <c r="A60" s="184" t="s">
        <v>382</v>
      </c>
      <c r="B60" s="185">
        <v>300</v>
      </c>
      <c r="C60" s="185">
        <v>4</v>
      </c>
      <c r="D60" s="185">
        <v>30000</v>
      </c>
      <c r="E60" s="185">
        <v>0</v>
      </c>
      <c r="F60" s="186">
        <v>0</v>
      </c>
    </row>
    <row r="61" spans="1:11" ht="12.75" customHeight="1" thickBot="1">
      <c r="A61" s="188" t="s">
        <v>383</v>
      </c>
      <c r="B61" s="189">
        <f>SUM(B55:B60)</f>
        <v>2500</v>
      </c>
      <c r="C61" s="189">
        <f>SUM(C55:C60)</f>
        <v>102</v>
      </c>
      <c r="D61" s="189">
        <f>SUM(D55:D60)</f>
        <v>100000</v>
      </c>
      <c r="E61" s="189">
        <f>SUM(E55:E60)</f>
        <v>11740</v>
      </c>
      <c r="F61" s="190">
        <f>SUM(F55:F60)</f>
        <v>59700</v>
      </c>
    </row>
    <row r="62" spans="1:11" ht="12.75" customHeight="1"/>
    <row r="63" spans="1:11" ht="12.75" customHeight="1"/>
    <row r="64" spans="1:11" s="79" customFormat="1" ht="27.75" customHeight="1">
      <c r="A64" s="238" t="s">
        <v>384</v>
      </c>
      <c r="B64" s="239" t="s">
        <v>385</v>
      </c>
      <c r="C64" s="239" t="s">
        <v>386</v>
      </c>
      <c r="D64" s="239" t="s">
        <v>387</v>
      </c>
      <c r="E64" s="239" t="s">
        <v>388</v>
      </c>
      <c r="F64" s="239" t="s">
        <v>377</v>
      </c>
      <c r="G64" s="239" t="s">
        <v>378</v>
      </c>
      <c r="H64" s="239" t="s">
        <v>379</v>
      </c>
      <c r="I64" s="239" t="s">
        <v>380</v>
      </c>
      <c r="J64" s="239" t="s">
        <v>389</v>
      </c>
      <c r="K64" s="239" t="s">
        <v>390</v>
      </c>
    </row>
    <row r="65" spans="1:12" ht="12.75" customHeight="1">
      <c r="A65" s="240" t="s">
        <v>391</v>
      </c>
      <c r="B65" s="191"/>
      <c r="C65" s="191"/>
      <c r="D65" s="191"/>
      <c r="E65" s="192"/>
      <c r="F65" s="191"/>
      <c r="G65" s="191"/>
      <c r="H65" s="191"/>
      <c r="I65" s="191"/>
      <c r="J65" s="191"/>
      <c r="K65" s="191"/>
    </row>
    <row r="66" spans="1:12" ht="12.75" customHeight="1">
      <c r="A66" s="122" t="s">
        <v>392</v>
      </c>
      <c r="B66" s="193"/>
      <c r="C66" s="194"/>
      <c r="D66" s="193"/>
      <c r="E66" s="193"/>
      <c r="F66" s="193"/>
      <c r="G66" s="193"/>
      <c r="H66" s="193"/>
      <c r="I66" s="193"/>
      <c r="J66" s="193"/>
      <c r="K66" s="193"/>
    </row>
    <row r="67" spans="1:12" ht="12.75" customHeight="1">
      <c r="A67" s="122" t="s">
        <v>393</v>
      </c>
      <c r="B67" s="195">
        <f>SUM(F67:K67)</f>
        <v>10000</v>
      </c>
      <c r="C67" s="194" t="s">
        <v>394</v>
      </c>
      <c r="D67" s="195" t="s">
        <v>395</v>
      </c>
      <c r="E67" s="194">
        <f>10000/2500</f>
        <v>4</v>
      </c>
      <c r="F67" s="195">
        <f>E67*B55</f>
        <v>3000</v>
      </c>
      <c r="G67" s="195">
        <f>E67*B56</f>
        <v>2400</v>
      </c>
      <c r="H67" s="195">
        <f>E67*B57</f>
        <v>1800</v>
      </c>
      <c r="I67" s="195">
        <f>E67*B58</f>
        <v>400</v>
      </c>
      <c r="J67" s="195">
        <f>E67*B59</f>
        <v>1200</v>
      </c>
      <c r="K67" s="195">
        <f>E67*B60</f>
        <v>1200</v>
      </c>
    </row>
    <row r="68" spans="1:12" ht="12.75" customHeight="1">
      <c r="A68" s="122" t="s">
        <v>396</v>
      </c>
      <c r="B68" s="195">
        <f>SUM(F68:K68)</f>
        <v>24000</v>
      </c>
      <c r="C68" s="194" t="s">
        <v>397</v>
      </c>
      <c r="D68" s="194" t="s">
        <v>398</v>
      </c>
      <c r="E68" s="194" t="s">
        <v>399</v>
      </c>
      <c r="F68" s="195">
        <f>90000/10</f>
        <v>9000</v>
      </c>
      <c r="G68" s="195">
        <f>60000/10</f>
        <v>6000</v>
      </c>
      <c r="H68" s="195">
        <f>50000/10</f>
        <v>5000</v>
      </c>
      <c r="I68" s="195">
        <v>0</v>
      </c>
      <c r="J68" s="195">
        <f>30000/15</f>
        <v>2000</v>
      </c>
      <c r="K68" s="195">
        <f>30000/15</f>
        <v>2000</v>
      </c>
    </row>
    <row r="69" spans="1:12" ht="12.75" customHeight="1" thickBot="1">
      <c r="A69" s="241" t="s">
        <v>400</v>
      </c>
      <c r="B69" s="196">
        <f>SUM(B67:B68)</f>
        <v>34000</v>
      </c>
      <c r="C69" s="194"/>
      <c r="D69" s="193"/>
      <c r="E69" s="193"/>
      <c r="F69" s="196">
        <f t="shared" ref="F69:K69" si="3">SUM(F67:F68)</f>
        <v>12000</v>
      </c>
      <c r="G69" s="196">
        <f t="shared" si="3"/>
        <v>8400</v>
      </c>
      <c r="H69" s="196">
        <f t="shared" si="3"/>
        <v>6800</v>
      </c>
      <c r="I69" s="196">
        <f t="shared" si="3"/>
        <v>400</v>
      </c>
      <c r="J69" s="196">
        <f t="shared" si="3"/>
        <v>3200</v>
      </c>
      <c r="K69" s="196">
        <f t="shared" si="3"/>
        <v>3200</v>
      </c>
    </row>
    <row r="70" spans="1:12" ht="12.75" customHeight="1" thickTop="1">
      <c r="A70" s="122" t="s">
        <v>401</v>
      </c>
      <c r="B70" s="193"/>
      <c r="C70" s="194"/>
      <c r="D70" s="193"/>
      <c r="E70" s="193"/>
      <c r="F70" s="193"/>
      <c r="G70" s="193"/>
      <c r="H70" s="193"/>
      <c r="I70" s="193"/>
      <c r="J70" s="193"/>
      <c r="K70" s="193"/>
    </row>
    <row r="71" spans="1:12" ht="12.75" customHeight="1">
      <c r="A71" s="122" t="s">
        <v>402</v>
      </c>
      <c r="B71" s="89">
        <f>SUM(F71:K71)</f>
        <v>18000</v>
      </c>
      <c r="C71" s="194" t="s">
        <v>403</v>
      </c>
      <c r="D71" s="194" t="s">
        <v>399</v>
      </c>
      <c r="E71" s="194" t="s">
        <v>399</v>
      </c>
      <c r="F71" s="89">
        <v>5000</v>
      </c>
      <c r="G71" s="89">
        <v>6000</v>
      </c>
      <c r="H71" s="89">
        <v>4000</v>
      </c>
      <c r="I71" s="89">
        <v>500</v>
      </c>
      <c r="J71" s="89">
        <v>1500</v>
      </c>
      <c r="K71" s="89">
        <v>1000</v>
      </c>
    </row>
    <row r="72" spans="1:12" ht="12.75" customHeight="1">
      <c r="A72" s="122" t="s">
        <v>404</v>
      </c>
      <c r="B72" s="89">
        <v>1000</v>
      </c>
      <c r="C72" s="194" t="s">
        <v>405</v>
      </c>
      <c r="D72" s="194" t="s">
        <v>406</v>
      </c>
      <c r="E72" s="194">
        <f>1000/100000</f>
        <v>0.01</v>
      </c>
      <c r="F72" s="89">
        <f>E72*D55</f>
        <v>200</v>
      </c>
      <c r="G72" s="89">
        <f>E72*D56</f>
        <v>150</v>
      </c>
      <c r="H72" s="89">
        <f>E72*D57</f>
        <v>150</v>
      </c>
      <c r="I72" s="89">
        <f>E72*D58</f>
        <v>0</v>
      </c>
      <c r="J72" s="89">
        <f>E72*D59</f>
        <v>200</v>
      </c>
      <c r="K72" s="89">
        <f>E72*D60</f>
        <v>300</v>
      </c>
    </row>
    <row r="73" spans="1:12" ht="12.75" customHeight="1">
      <c r="A73" s="122"/>
      <c r="B73" s="197">
        <f>SUM(B71:B72)</f>
        <v>19000</v>
      </c>
      <c r="C73" s="194"/>
      <c r="D73" s="193"/>
      <c r="E73" s="193"/>
      <c r="F73" s="197">
        <f t="shared" ref="F73:K73" si="4">SUM(F71:F72)</f>
        <v>5200</v>
      </c>
      <c r="G73" s="197">
        <f t="shared" si="4"/>
        <v>6150</v>
      </c>
      <c r="H73" s="197">
        <f t="shared" si="4"/>
        <v>4150</v>
      </c>
      <c r="I73" s="197">
        <f t="shared" si="4"/>
        <v>500</v>
      </c>
      <c r="J73" s="197">
        <f t="shared" si="4"/>
        <v>1700</v>
      </c>
      <c r="K73" s="197">
        <f t="shared" si="4"/>
        <v>1300</v>
      </c>
    </row>
    <row r="74" spans="1:12" ht="12.75" customHeight="1" thickBot="1">
      <c r="A74" s="242" t="s">
        <v>407</v>
      </c>
      <c r="B74" s="198">
        <f>B69+B73</f>
        <v>53000</v>
      </c>
      <c r="C74" s="194"/>
      <c r="D74" s="193"/>
      <c r="E74" s="193"/>
      <c r="F74" s="198">
        <f t="shared" ref="F74:K74" si="5">F69+F73</f>
        <v>17200</v>
      </c>
      <c r="G74" s="198">
        <f t="shared" si="5"/>
        <v>14550</v>
      </c>
      <c r="H74" s="198">
        <f t="shared" si="5"/>
        <v>10950</v>
      </c>
      <c r="I74" s="198">
        <f t="shared" si="5"/>
        <v>900</v>
      </c>
      <c r="J74" s="198">
        <f t="shared" si="5"/>
        <v>4900</v>
      </c>
      <c r="K74" s="198">
        <f t="shared" si="5"/>
        <v>4500</v>
      </c>
    </row>
    <row r="75" spans="1:12" ht="12.75" customHeight="1" thickTop="1">
      <c r="A75" s="243" t="s">
        <v>408</v>
      </c>
      <c r="B75" s="193"/>
      <c r="C75" s="194"/>
      <c r="D75" s="193"/>
      <c r="E75" s="194"/>
      <c r="F75" s="193"/>
      <c r="G75" s="193"/>
      <c r="H75" s="193"/>
      <c r="I75" s="193"/>
      <c r="J75" s="193"/>
      <c r="K75" s="193"/>
    </row>
    <row r="76" spans="1:12" ht="12.75" customHeight="1">
      <c r="A76" s="122" t="s">
        <v>409</v>
      </c>
      <c r="B76" s="89">
        <f>J74</f>
        <v>4900</v>
      </c>
      <c r="C76" s="194" t="s">
        <v>373</v>
      </c>
      <c r="D76" s="194" t="s">
        <v>410</v>
      </c>
      <c r="E76" s="194">
        <f>B76/(C61-C59)</f>
        <v>49</v>
      </c>
      <c r="F76" s="89">
        <f>E76*C55</f>
        <v>1960</v>
      </c>
      <c r="G76" s="89">
        <f>E76*C56</f>
        <v>1715</v>
      </c>
      <c r="H76" s="89">
        <f>E76*C57</f>
        <v>735</v>
      </c>
      <c r="I76" s="89">
        <f>E76*C58</f>
        <v>294</v>
      </c>
      <c r="J76" s="89">
        <f>-J74</f>
        <v>-4900</v>
      </c>
      <c r="K76" s="89">
        <f>E76*C60</f>
        <v>196</v>
      </c>
      <c r="L76" s="2" t="s">
        <v>411</v>
      </c>
    </row>
    <row r="77" spans="1:12" ht="12.75" customHeight="1">
      <c r="A77" s="242" t="s">
        <v>185</v>
      </c>
      <c r="B77" s="199"/>
      <c r="C77" s="200"/>
      <c r="D77" s="199"/>
      <c r="E77" s="194"/>
      <c r="F77" s="201">
        <f t="shared" ref="F77:K77" si="6">F74+F76</f>
        <v>19160</v>
      </c>
      <c r="G77" s="201">
        <f t="shared" si="6"/>
        <v>16265</v>
      </c>
      <c r="H77" s="201">
        <f t="shared" si="6"/>
        <v>11685</v>
      </c>
      <c r="I77" s="201">
        <f t="shared" si="6"/>
        <v>1194</v>
      </c>
      <c r="J77" s="201">
        <f t="shared" si="6"/>
        <v>0</v>
      </c>
      <c r="K77" s="201">
        <f t="shared" si="6"/>
        <v>4696</v>
      </c>
    </row>
    <row r="78" spans="1:12" ht="12.75" customHeight="1">
      <c r="A78" s="122" t="s">
        <v>412</v>
      </c>
      <c r="B78" s="89">
        <f>K77</f>
        <v>4696</v>
      </c>
      <c r="C78" s="194" t="s">
        <v>413</v>
      </c>
      <c r="D78" s="194" t="s">
        <v>414</v>
      </c>
      <c r="E78" s="202">
        <f>B78/E61</f>
        <v>0.4</v>
      </c>
      <c r="F78" s="89">
        <f>E78*E55</f>
        <v>1896</v>
      </c>
      <c r="G78" s="89">
        <f>E78*E56</f>
        <v>1920</v>
      </c>
      <c r="H78" s="89">
        <f>E78*E57</f>
        <v>880</v>
      </c>
      <c r="I78" s="89">
        <f>E78*E58</f>
        <v>0</v>
      </c>
      <c r="J78" s="89">
        <f>E78*E59</f>
        <v>0</v>
      </c>
      <c r="K78" s="89">
        <f>-K77</f>
        <v>-4696</v>
      </c>
      <c r="L78" s="2" t="s">
        <v>415</v>
      </c>
    </row>
    <row r="79" spans="1:12" ht="12.75" customHeight="1">
      <c r="A79" s="242" t="s">
        <v>185</v>
      </c>
      <c r="B79" s="199"/>
      <c r="C79" s="200"/>
      <c r="D79" s="199"/>
      <c r="E79" s="194"/>
      <c r="F79" s="201">
        <f t="shared" ref="F79:K79" si="7">F77+F78</f>
        <v>21056</v>
      </c>
      <c r="G79" s="201">
        <f t="shared" si="7"/>
        <v>18185</v>
      </c>
      <c r="H79" s="201">
        <f t="shared" si="7"/>
        <v>12565</v>
      </c>
      <c r="I79" s="201">
        <f t="shared" si="7"/>
        <v>1194</v>
      </c>
      <c r="J79" s="201">
        <f t="shared" si="7"/>
        <v>0</v>
      </c>
      <c r="K79" s="201">
        <f t="shared" si="7"/>
        <v>0</v>
      </c>
    </row>
    <row r="80" spans="1:12" ht="12.75" customHeight="1">
      <c r="A80" s="122" t="s">
        <v>416</v>
      </c>
      <c r="B80" s="89">
        <f>I79</f>
        <v>1194</v>
      </c>
      <c r="C80" s="194" t="s">
        <v>417</v>
      </c>
      <c r="D80" s="194" t="s">
        <v>418</v>
      </c>
      <c r="E80" s="194">
        <f>I79/F61</f>
        <v>0.02</v>
      </c>
      <c r="F80" s="89">
        <f>E80*F55</f>
        <v>300</v>
      </c>
      <c r="G80" s="89">
        <f>E80*F56</f>
        <v>500</v>
      </c>
      <c r="H80" s="89">
        <f>E80*F57</f>
        <v>394</v>
      </c>
      <c r="I80" s="89">
        <f>-I79</f>
        <v>-1194</v>
      </c>
      <c r="J80" s="89">
        <f>E80*F59</f>
        <v>0</v>
      </c>
      <c r="K80" s="89">
        <f>E80*F60</f>
        <v>0</v>
      </c>
    </row>
    <row r="81" spans="1:11" ht="12.75" customHeight="1">
      <c r="A81" s="244" t="s">
        <v>419</v>
      </c>
      <c r="B81" s="245"/>
      <c r="C81" s="246"/>
      <c r="D81" s="245"/>
      <c r="E81" s="245"/>
      <c r="F81" s="247">
        <f t="shared" ref="F81:K81" si="8">F79+F80</f>
        <v>21356</v>
      </c>
      <c r="G81" s="247">
        <f t="shared" si="8"/>
        <v>18685</v>
      </c>
      <c r="H81" s="247">
        <f t="shared" si="8"/>
        <v>12959</v>
      </c>
      <c r="I81" s="247">
        <f t="shared" si="8"/>
        <v>0</v>
      </c>
      <c r="J81" s="247">
        <f t="shared" si="8"/>
        <v>0</v>
      </c>
      <c r="K81" s="247">
        <f t="shared" si="8"/>
        <v>0</v>
      </c>
    </row>
    <row r="82" spans="1:11" ht="12.75" customHeight="1">
      <c r="B82" s="14"/>
      <c r="C82" s="14"/>
    </row>
    <row r="83" spans="1:11" ht="12.75" customHeight="1">
      <c r="B83" s="203" t="s">
        <v>420</v>
      </c>
      <c r="C83" s="203" t="s">
        <v>421</v>
      </c>
    </row>
    <row r="84" spans="1:11" ht="12.75" customHeight="1">
      <c r="A84" s="204" t="s">
        <v>422</v>
      </c>
      <c r="B84" s="203">
        <v>80</v>
      </c>
      <c r="C84" s="203">
        <v>60</v>
      </c>
    </row>
    <row r="85" spans="1:11" ht="12.75" customHeight="1">
      <c r="A85" s="204" t="s">
        <v>108</v>
      </c>
      <c r="B85" s="203">
        <v>2</v>
      </c>
      <c r="C85" s="203">
        <v>3</v>
      </c>
    </row>
    <row r="86" spans="1:11" ht="12.75" customHeight="1"/>
    <row r="87" spans="1:11" ht="12.75" customHeight="1">
      <c r="A87" s="1" t="s">
        <v>423</v>
      </c>
    </row>
    <row r="88" spans="1:11" ht="12.75" customHeight="1">
      <c r="A88" s="2" t="s">
        <v>424</v>
      </c>
      <c r="B88" s="43">
        <f>H81</f>
        <v>12959</v>
      </c>
    </row>
    <row r="89" spans="1:11" ht="12.75" customHeight="1">
      <c r="A89" s="2" t="s">
        <v>425</v>
      </c>
      <c r="B89" s="2">
        <f>B84*B85+C84*C85</f>
        <v>340</v>
      </c>
      <c r="C89" s="2" t="s">
        <v>108</v>
      </c>
    </row>
    <row r="90" spans="1:11" ht="12.75" customHeight="1">
      <c r="A90" s="2" t="s">
        <v>426</v>
      </c>
      <c r="B90" s="205">
        <f>B88/B89</f>
        <v>38.114705882352943</v>
      </c>
      <c r="C90" s="2" t="s">
        <v>129</v>
      </c>
    </row>
    <row r="91" spans="1:11" ht="12.75" customHeight="1">
      <c r="A91" s="2" t="s">
        <v>427</v>
      </c>
    </row>
    <row r="92" spans="1:11" ht="12.75" customHeight="1">
      <c r="A92" s="2" t="s">
        <v>429</v>
      </c>
      <c r="B92" s="206">
        <f>B90*B85</f>
        <v>76.229411764705887</v>
      </c>
      <c r="C92" s="2" t="s">
        <v>347</v>
      </c>
      <c r="D92" s="2" t="s">
        <v>431</v>
      </c>
    </row>
    <row r="93" spans="1:11" ht="12.75" customHeight="1">
      <c r="A93" s="2" t="s">
        <v>428</v>
      </c>
      <c r="B93" s="206">
        <f>B90*C85</f>
        <v>114.34411764705882</v>
      </c>
      <c r="C93" s="2" t="s">
        <v>347</v>
      </c>
      <c r="D93" s="2" t="s">
        <v>430</v>
      </c>
    </row>
    <row r="94" spans="1:11" ht="12.75" customHeight="1">
      <c r="A94" s="73"/>
      <c r="B94" s="73"/>
      <c r="C94" s="73"/>
      <c r="D94" s="73"/>
      <c r="E94" s="73"/>
      <c r="F94" s="73"/>
      <c r="G94" s="73"/>
      <c r="H94" s="73"/>
      <c r="I94" s="73"/>
    </row>
    <row r="95" spans="1:11" ht="12.75" customHeight="1">
      <c r="A95" s="868" t="s">
        <v>2182</v>
      </c>
      <c r="B95" s="73"/>
      <c r="C95" s="73"/>
      <c r="D95" s="73"/>
      <c r="E95" s="73"/>
      <c r="F95" s="73"/>
      <c r="G95" s="73"/>
      <c r="H95" s="73"/>
      <c r="I95" s="73"/>
    </row>
    <row r="96" spans="1:11" ht="12.75" customHeight="1" thickBot="1">
      <c r="A96" s="73"/>
      <c r="B96" s="73"/>
      <c r="C96" s="73"/>
      <c r="D96" s="73"/>
      <c r="E96" s="73"/>
      <c r="F96" s="73"/>
      <c r="G96" s="73"/>
      <c r="H96" s="73"/>
      <c r="I96" s="73"/>
    </row>
    <row r="97" spans="1:14" ht="15" customHeight="1">
      <c r="A97" s="991" t="s">
        <v>439</v>
      </c>
      <c r="B97" s="992"/>
      <c r="C97" s="993"/>
      <c r="D97" s="213" t="s">
        <v>440</v>
      </c>
      <c r="F97" s="994" t="s">
        <v>496</v>
      </c>
      <c r="G97" s="995"/>
      <c r="H97" s="996"/>
      <c r="I97" s="214"/>
      <c r="J97" s="212"/>
      <c r="K97" s="212"/>
      <c r="L97" s="212"/>
      <c r="N97" s="215"/>
    </row>
    <row r="98" spans="1:14" ht="15" customHeight="1">
      <c r="A98" s="228" t="s">
        <v>441</v>
      </c>
      <c r="B98" s="229"/>
      <c r="C98" s="218"/>
      <c r="D98" s="219">
        <v>30000</v>
      </c>
      <c r="F98" s="220" t="s">
        <v>442</v>
      </c>
      <c r="G98" s="221">
        <v>48000</v>
      </c>
      <c r="H98" s="222" t="s">
        <v>443</v>
      </c>
      <c r="J98" s="211"/>
      <c r="K98" s="223"/>
      <c r="L98" s="211"/>
      <c r="N98" s="215"/>
    </row>
    <row r="99" spans="1:14" ht="15" customHeight="1">
      <c r="A99" s="216" t="s">
        <v>444</v>
      </c>
      <c r="B99" s="217"/>
      <c r="C99" s="218"/>
      <c r="D99" s="219">
        <v>90000</v>
      </c>
      <c r="F99" s="220" t="s">
        <v>324</v>
      </c>
      <c r="G99" s="221">
        <v>72000</v>
      </c>
      <c r="H99" s="222" t="s">
        <v>443</v>
      </c>
      <c r="J99" s="211"/>
      <c r="K99" s="223"/>
      <c r="L99" s="211"/>
      <c r="N99" s="215"/>
    </row>
    <row r="100" spans="1:14" ht="15" customHeight="1" thickBot="1">
      <c r="A100" s="228" t="s">
        <v>445</v>
      </c>
      <c r="B100" s="229"/>
      <c r="C100" s="218"/>
      <c r="D100" s="219">
        <v>28000</v>
      </c>
      <c r="F100" s="224" t="s">
        <v>183</v>
      </c>
      <c r="G100" s="225">
        <v>120000</v>
      </c>
      <c r="H100" s="226" t="s">
        <v>443</v>
      </c>
      <c r="J100" s="211"/>
      <c r="K100" s="223"/>
      <c r="L100" s="211"/>
      <c r="N100" s="215"/>
    </row>
    <row r="101" spans="1:14" ht="12.75" customHeight="1">
      <c r="A101" s="216" t="s">
        <v>446</v>
      </c>
      <c r="B101" s="217"/>
      <c r="C101" s="218"/>
      <c r="D101" s="219">
        <v>18000</v>
      </c>
      <c r="F101" s="227"/>
      <c r="G101" s="215"/>
      <c r="H101" s="215"/>
      <c r="I101" s="215"/>
      <c r="J101" s="215"/>
      <c r="K101" s="215"/>
      <c r="L101" s="215"/>
      <c r="M101" s="215"/>
      <c r="N101" s="215"/>
    </row>
    <row r="102" spans="1:14" ht="12.75" customHeight="1">
      <c r="A102" s="216" t="s">
        <v>447</v>
      </c>
      <c r="B102" s="217"/>
      <c r="C102" s="218"/>
      <c r="D102" s="219">
        <v>32000</v>
      </c>
      <c r="F102" s="227"/>
      <c r="G102" s="215"/>
      <c r="H102" s="215"/>
      <c r="I102" s="215"/>
      <c r="J102" s="215"/>
      <c r="K102" s="215"/>
      <c r="L102" s="215"/>
      <c r="M102" s="215"/>
      <c r="N102" s="215"/>
    </row>
    <row r="103" spans="1:14" ht="12.75" customHeight="1">
      <c r="A103" s="228" t="s">
        <v>448</v>
      </c>
      <c r="B103" s="229"/>
      <c r="C103" s="218"/>
      <c r="D103" s="219">
        <v>12000</v>
      </c>
      <c r="F103" s="227"/>
      <c r="G103" s="215"/>
      <c r="H103" s="215"/>
      <c r="I103" s="215"/>
      <c r="J103" s="215"/>
      <c r="K103" s="215"/>
      <c r="L103" s="215"/>
      <c r="M103" s="215"/>
      <c r="N103" s="215"/>
    </row>
    <row r="104" spans="1:14" ht="12.75" customHeight="1">
      <c r="A104" s="228" t="s">
        <v>449</v>
      </c>
      <c r="B104" s="229"/>
      <c r="C104" s="218"/>
      <c r="D104" s="219">
        <v>8000</v>
      </c>
      <c r="F104" s="227"/>
      <c r="G104" s="215"/>
      <c r="H104" s="215"/>
      <c r="I104" s="215"/>
      <c r="J104" s="215"/>
      <c r="K104" s="215"/>
      <c r="L104" s="215"/>
      <c r="M104" s="215"/>
      <c r="N104" s="215"/>
    </row>
    <row r="105" spans="1:14" ht="12.75" customHeight="1">
      <c r="A105" s="216" t="s">
        <v>478</v>
      </c>
      <c r="B105" s="217"/>
      <c r="C105" s="218"/>
      <c r="D105" s="219">
        <v>8000</v>
      </c>
      <c r="F105" s="227"/>
      <c r="G105" s="215"/>
      <c r="H105" s="215"/>
      <c r="I105" s="215"/>
      <c r="J105" s="215"/>
      <c r="K105" s="215"/>
      <c r="L105" s="215"/>
      <c r="M105" s="215"/>
      <c r="N105" s="215"/>
    </row>
    <row r="106" spans="1:14" ht="12.75" customHeight="1">
      <c r="A106" s="216" t="s">
        <v>479</v>
      </c>
      <c r="B106" s="217"/>
      <c r="C106" s="218"/>
      <c r="D106" s="219">
        <v>9000</v>
      </c>
      <c r="F106" s="227"/>
      <c r="G106" s="215"/>
      <c r="H106" s="215"/>
      <c r="I106" s="215"/>
      <c r="J106" s="215"/>
      <c r="K106" s="215"/>
      <c r="L106" s="215"/>
      <c r="M106" s="215"/>
      <c r="N106" s="215"/>
    </row>
    <row r="107" spans="1:14" ht="12.75" customHeight="1">
      <c r="A107" s="228" t="s">
        <v>480</v>
      </c>
      <c r="B107" s="229"/>
      <c r="C107" s="218"/>
      <c r="D107" s="219">
        <v>3000</v>
      </c>
      <c r="F107" s="227"/>
      <c r="G107" s="215"/>
      <c r="H107" s="215"/>
      <c r="I107" s="215"/>
      <c r="J107" s="215"/>
      <c r="K107" s="215"/>
      <c r="L107" s="215"/>
      <c r="M107" s="215"/>
      <c r="N107" s="215"/>
    </row>
    <row r="108" spans="1:14" ht="12.75" customHeight="1">
      <c r="A108" s="216" t="s">
        <v>450</v>
      </c>
      <c r="B108" s="217"/>
      <c r="C108" s="218"/>
      <c r="D108" s="219">
        <v>1000</v>
      </c>
      <c r="F108" s="227"/>
      <c r="G108" s="215"/>
      <c r="H108" s="215"/>
      <c r="I108" s="215"/>
      <c r="J108" s="215"/>
      <c r="K108" s="215"/>
      <c r="L108" s="215"/>
      <c r="M108" s="215"/>
      <c r="N108" s="215"/>
    </row>
    <row r="109" spans="1:14" ht="12.75" customHeight="1">
      <c r="A109" s="216" t="s">
        <v>487</v>
      </c>
      <c r="B109" s="217"/>
      <c r="C109" s="218"/>
      <c r="D109" s="219">
        <v>9000</v>
      </c>
      <c r="F109" s="227"/>
      <c r="G109" s="215"/>
      <c r="H109" s="215"/>
      <c r="I109" s="215"/>
      <c r="J109" s="215"/>
      <c r="K109" s="215"/>
      <c r="L109" s="215"/>
      <c r="M109" s="215"/>
      <c r="N109" s="215"/>
    </row>
    <row r="110" spans="1:14" ht="12.75" customHeight="1">
      <c r="A110" s="216" t="s">
        <v>488</v>
      </c>
      <c r="B110" s="217"/>
      <c r="C110" s="218"/>
      <c r="D110" s="219">
        <v>9100</v>
      </c>
      <c r="F110" s="227"/>
      <c r="G110" s="215"/>
      <c r="H110" s="215"/>
      <c r="I110" s="215"/>
      <c r="J110" s="215"/>
      <c r="K110" s="215"/>
      <c r="L110" s="215"/>
      <c r="M110" s="215"/>
      <c r="N110" s="215"/>
    </row>
    <row r="111" spans="1:14" ht="12.75" customHeight="1">
      <c r="A111" s="216" t="s">
        <v>451</v>
      </c>
      <c r="B111" s="217"/>
      <c r="C111" s="218"/>
      <c r="D111" s="219">
        <v>3958</v>
      </c>
      <c r="F111" s="227"/>
      <c r="G111" s="215"/>
      <c r="H111" s="215"/>
      <c r="I111" s="215"/>
      <c r="J111" s="215"/>
      <c r="K111" s="215"/>
      <c r="L111" s="215"/>
      <c r="M111" s="215"/>
      <c r="N111" s="215"/>
    </row>
    <row r="112" spans="1:14" ht="12.75" customHeight="1">
      <c r="A112" s="216" t="s">
        <v>452</v>
      </c>
      <c r="B112" s="217"/>
      <c r="C112" s="218"/>
      <c r="D112" s="219">
        <v>4150</v>
      </c>
      <c r="F112" s="227"/>
      <c r="G112" s="215"/>
      <c r="H112" s="215"/>
      <c r="I112" s="215"/>
      <c r="J112" s="215"/>
      <c r="K112" s="215"/>
      <c r="L112" s="215"/>
      <c r="M112" s="215"/>
      <c r="N112" s="215"/>
    </row>
    <row r="113" spans="1:15" ht="12.75" customHeight="1">
      <c r="A113" s="228" t="s">
        <v>453</v>
      </c>
      <c r="B113" s="229"/>
      <c r="C113" s="218"/>
      <c r="D113" s="219">
        <v>4182</v>
      </c>
      <c r="F113" s="227"/>
      <c r="G113" s="215"/>
      <c r="H113" s="215"/>
      <c r="I113" s="215"/>
      <c r="J113" s="215"/>
      <c r="K113" s="215"/>
      <c r="L113" s="215"/>
      <c r="M113" s="215"/>
      <c r="N113" s="215"/>
    </row>
    <row r="114" spans="1:15" ht="12.75" customHeight="1" thickBot="1">
      <c r="A114" s="230" t="s">
        <v>454</v>
      </c>
      <c r="B114" s="231"/>
      <c r="C114" s="232"/>
      <c r="D114" s="233">
        <v>4000</v>
      </c>
      <c r="F114" s="227"/>
      <c r="G114" s="215"/>
      <c r="H114" s="215"/>
      <c r="I114" s="215"/>
      <c r="J114" s="215"/>
      <c r="K114" s="215"/>
      <c r="L114" s="215"/>
      <c r="M114" s="215"/>
      <c r="N114" s="215"/>
    </row>
    <row r="115" spans="1:15" ht="12.75" customHeight="1">
      <c r="A115" s="234"/>
      <c r="B115" s="285"/>
      <c r="C115" s="285"/>
      <c r="D115" s="285"/>
      <c r="E115" s="285"/>
      <c r="F115" s="285"/>
      <c r="G115" s="285"/>
      <c r="H115" s="285"/>
      <c r="I115" s="285"/>
      <c r="J115" s="285"/>
      <c r="K115" s="981"/>
      <c r="L115" s="981"/>
      <c r="M115" s="981"/>
      <c r="N115" s="981"/>
      <c r="O115" s="981"/>
    </row>
    <row r="116" spans="1:15" ht="12.75" customHeight="1" thickBot="1">
      <c r="A116" s="179"/>
      <c r="B116" s="284"/>
      <c r="C116" s="284"/>
      <c r="D116" s="284"/>
      <c r="E116" s="284"/>
      <c r="F116" s="284"/>
      <c r="G116" s="284"/>
      <c r="H116" s="284"/>
      <c r="I116" s="284"/>
      <c r="J116" s="284"/>
      <c r="K116" s="966"/>
      <c r="L116" s="966"/>
      <c r="M116" s="966"/>
      <c r="N116" s="966"/>
      <c r="O116" s="966"/>
    </row>
    <row r="117" spans="1:15" ht="42" customHeight="1">
      <c r="A117" s="982" t="s">
        <v>459</v>
      </c>
      <c r="B117" s="983"/>
      <c r="C117" s="248" t="s">
        <v>472</v>
      </c>
      <c r="D117" s="248" t="s">
        <v>460</v>
      </c>
      <c r="E117" s="248" t="s">
        <v>461</v>
      </c>
      <c r="F117" s="248" t="s">
        <v>462</v>
      </c>
      <c r="G117" s="248" t="s">
        <v>455</v>
      </c>
      <c r="H117" s="249" t="s">
        <v>463</v>
      </c>
      <c r="I117" s="214"/>
      <c r="J117" s="214"/>
    </row>
    <row r="118" spans="1:15" ht="12.75" customHeight="1">
      <c r="A118" s="976" t="s">
        <v>442</v>
      </c>
      <c r="B118" s="977"/>
      <c r="C118" s="236">
        <v>320000</v>
      </c>
      <c r="D118" s="254">
        <v>90</v>
      </c>
      <c r="E118" s="255">
        <v>1600</v>
      </c>
      <c r="F118" s="255">
        <v>50</v>
      </c>
      <c r="G118" s="254">
        <v>150</v>
      </c>
      <c r="H118" s="256">
        <v>400</v>
      </c>
      <c r="I118" s="180"/>
      <c r="J118" s="180"/>
    </row>
    <row r="119" spans="1:15" ht="12.75" customHeight="1">
      <c r="A119" s="976" t="s">
        <v>324</v>
      </c>
      <c r="B119" s="977"/>
      <c r="C119" s="236">
        <v>240000</v>
      </c>
      <c r="D119" s="254">
        <v>60</v>
      </c>
      <c r="E119" s="255">
        <v>1000</v>
      </c>
      <c r="F119" s="255">
        <v>30</v>
      </c>
      <c r="G119" s="254">
        <v>100</v>
      </c>
      <c r="H119" s="256">
        <v>300</v>
      </c>
      <c r="I119" s="180"/>
      <c r="J119" s="180"/>
    </row>
    <row r="120" spans="1:15" ht="12.75" customHeight="1">
      <c r="A120" s="976" t="s">
        <v>456</v>
      </c>
      <c r="B120" s="977"/>
      <c r="C120" s="236">
        <v>160000</v>
      </c>
      <c r="D120" s="254">
        <v>30</v>
      </c>
      <c r="E120" s="255">
        <v>800</v>
      </c>
      <c r="F120" s="255">
        <v>10</v>
      </c>
      <c r="G120" s="254">
        <v>200</v>
      </c>
      <c r="H120" s="256">
        <v>100</v>
      </c>
      <c r="I120" s="180"/>
      <c r="J120" s="180"/>
    </row>
    <row r="121" spans="1:15" ht="12.75" customHeight="1">
      <c r="A121" s="976" t="s">
        <v>457</v>
      </c>
      <c r="B121" s="977"/>
      <c r="C121" s="236">
        <v>40000</v>
      </c>
      <c r="D121" s="254">
        <v>10</v>
      </c>
      <c r="E121" s="255">
        <v>400</v>
      </c>
      <c r="F121" s="255">
        <v>10</v>
      </c>
      <c r="G121" s="254">
        <v>30</v>
      </c>
      <c r="H121" s="256">
        <v>200</v>
      </c>
      <c r="I121" s="180"/>
      <c r="J121" s="180"/>
    </row>
    <row r="122" spans="1:15" ht="12.75" customHeight="1">
      <c r="A122" s="976" t="s">
        <v>458</v>
      </c>
      <c r="B122" s="977"/>
      <c r="C122" s="236">
        <v>40000</v>
      </c>
      <c r="D122" s="254">
        <v>10</v>
      </c>
      <c r="E122" s="255">
        <v>200</v>
      </c>
      <c r="F122" s="255">
        <v>0</v>
      </c>
      <c r="G122" s="254">
        <v>20</v>
      </c>
      <c r="H122" s="256">
        <v>0</v>
      </c>
      <c r="I122" s="180"/>
      <c r="J122" s="180"/>
    </row>
    <row r="123" spans="1:15" ht="12.75" customHeight="1" thickBot="1">
      <c r="A123" s="986" t="s">
        <v>183</v>
      </c>
      <c r="B123" s="987"/>
      <c r="C123" s="250">
        <v>800000</v>
      </c>
      <c r="D123" s="257">
        <v>200</v>
      </c>
      <c r="E123" s="258">
        <v>4000</v>
      </c>
      <c r="F123" s="258">
        <v>100</v>
      </c>
      <c r="G123" s="257">
        <v>500</v>
      </c>
      <c r="H123" s="259">
        <v>1000</v>
      </c>
      <c r="I123" s="180"/>
      <c r="J123" s="180"/>
    </row>
    <row r="124" spans="1:15" ht="12.75" customHeight="1">
      <c r="A124" s="286" t="s">
        <v>495</v>
      </c>
      <c r="B124" s="235"/>
      <c r="C124" s="235"/>
      <c r="D124" s="235"/>
      <c r="E124" s="235"/>
      <c r="F124" s="235"/>
      <c r="G124" s="235"/>
      <c r="H124" s="235"/>
      <c r="I124" s="235"/>
    </row>
    <row r="125" spans="1:15" ht="12.75" customHeight="1">
      <c r="A125" s="73"/>
      <c r="B125" s="73"/>
      <c r="C125" s="73"/>
      <c r="D125" s="73"/>
      <c r="E125" s="73"/>
      <c r="F125" s="73"/>
      <c r="G125" s="73"/>
      <c r="H125" s="73"/>
      <c r="I125" s="73"/>
    </row>
    <row r="126" spans="1:15" ht="31.5" customHeight="1">
      <c r="A126" s="239" t="s">
        <v>464</v>
      </c>
      <c r="B126" s="239" t="s">
        <v>385</v>
      </c>
      <c r="C126" s="253" t="s">
        <v>465</v>
      </c>
      <c r="D126" s="239" t="s">
        <v>377</v>
      </c>
      <c r="E126" s="239" t="s">
        <v>466</v>
      </c>
      <c r="F126" s="239" t="s">
        <v>467</v>
      </c>
      <c r="G126" s="239" t="s">
        <v>468</v>
      </c>
      <c r="H126" s="239" t="s">
        <v>469</v>
      </c>
    </row>
    <row r="127" spans="1:15" ht="12.75" customHeight="1">
      <c r="A127" s="272" t="s">
        <v>470</v>
      </c>
      <c r="B127" s="260">
        <f>D98</f>
        <v>30000</v>
      </c>
      <c r="C127" s="251" t="s">
        <v>471</v>
      </c>
      <c r="D127" s="260"/>
      <c r="E127" s="251"/>
      <c r="F127" s="251"/>
      <c r="G127" s="251"/>
      <c r="H127" s="251"/>
    </row>
    <row r="128" spans="1:15" ht="12.75" customHeight="1">
      <c r="A128" s="193"/>
      <c r="B128" s="193"/>
      <c r="C128" s="261">
        <f>SUM(D128:H128)</f>
        <v>4000</v>
      </c>
      <c r="D128" s="263">
        <f>E118</f>
        <v>1600</v>
      </c>
      <c r="E128" s="263">
        <f>E119</f>
        <v>1000</v>
      </c>
      <c r="F128" s="263">
        <f>E120</f>
        <v>800</v>
      </c>
      <c r="G128" s="263">
        <f>E121</f>
        <v>400</v>
      </c>
      <c r="H128" s="263">
        <f>E122</f>
        <v>200</v>
      </c>
    </row>
    <row r="129" spans="1:9" ht="12.75" customHeight="1">
      <c r="A129" s="193"/>
      <c r="B129" s="195"/>
      <c r="C129" s="262">
        <f>SUM(D129:H129)</f>
        <v>1</v>
      </c>
      <c r="D129" s="264">
        <f>D128/$C$128</f>
        <v>0.4</v>
      </c>
      <c r="E129" s="264">
        <f>E128/$C$128</f>
        <v>0.25</v>
      </c>
      <c r="F129" s="264">
        <f>F128/$C$128</f>
        <v>0.2</v>
      </c>
      <c r="G129" s="264">
        <f>G128/$C$128</f>
        <v>0.1</v>
      </c>
      <c r="H129" s="264">
        <f>H128/$C$128</f>
        <v>0.05</v>
      </c>
    </row>
    <row r="130" spans="1:9" ht="12.75" customHeight="1">
      <c r="A130" s="204"/>
      <c r="B130" s="265"/>
      <c r="C130" s="203"/>
      <c r="D130" s="163">
        <f>D129*$B$127</f>
        <v>12000</v>
      </c>
      <c r="E130" s="163">
        <f>E129*$B$127</f>
        <v>7500</v>
      </c>
      <c r="F130" s="163">
        <f>F129*$B$127</f>
        <v>6000</v>
      </c>
      <c r="G130" s="163">
        <f>G129*$B$127</f>
        <v>3000</v>
      </c>
      <c r="H130" s="163">
        <f>H129*$B$127</f>
        <v>1500</v>
      </c>
    </row>
    <row r="131" spans="1:9" ht="12.75" customHeight="1">
      <c r="A131" s="984" t="s">
        <v>444</v>
      </c>
      <c r="B131" s="260">
        <f>D99</f>
        <v>90000</v>
      </c>
      <c r="C131" s="194" t="s">
        <v>473</v>
      </c>
      <c r="D131" s="89"/>
      <c r="E131" s="89"/>
      <c r="F131" s="89"/>
      <c r="G131" s="89"/>
      <c r="H131" s="89"/>
    </row>
    <row r="132" spans="1:9" ht="12.75" customHeight="1">
      <c r="A132" s="985"/>
      <c r="B132" s="193"/>
      <c r="C132" s="266">
        <f>SUM(D132:H132)</f>
        <v>800000</v>
      </c>
      <c r="D132" s="269">
        <f>C118</f>
        <v>320000</v>
      </c>
      <c r="E132" s="269">
        <f>C119</f>
        <v>240000</v>
      </c>
      <c r="F132" s="269">
        <f>C120</f>
        <v>160000</v>
      </c>
      <c r="G132" s="269">
        <f>C121</f>
        <v>40000</v>
      </c>
      <c r="H132" s="269">
        <f>C122</f>
        <v>40000</v>
      </c>
    </row>
    <row r="133" spans="1:9" ht="12.75" customHeight="1">
      <c r="A133" s="193"/>
      <c r="B133" s="89"/>
      <c r="C133" s="262">
        <f>SUM(D133:H133)</f>
        <v>1</v>
      </c>
      <c r="D133" s="264">
        <f>D132/$C$132</f>
        <v>0.4</v>
      </c>
      <c r="E133" s="264">
        <f>E132/$C$132</f>
        <v>0.3</v>
      </c>
      <c r="F133" s="264">
        <f>F132/$C$132</f>
        <v>0.2</v>
      </c>
      <c r="G133" s="264">
        <f>G132/$C$132</f>
        <v>0.05</v>
      </c>
      <c r="H133" s="264">
        <f>H132/$C$132</f>
        <v>0.05</v>
      </c>
    </row>
    <row r="134" spans="1:9" ht="11.25" customHeight="1">
      <c r="A134" s="204"/>
      <c r="B134" s="185"/>
      <c r="C134" s="203"/>
      <c r="D134" s="164">
        <f>D133*$B$131</f>
        <v>36000</v>
      </c>
      <c r="E134" s="164">
        <f>E133*$B$131</f>
        <v>27000</v>
      </c>
      <c r="F134" s="164">
        <f>F133*$B$131</f>
        <v>18000</v>
      </c>
      <c r="G134" s="164">
        <f>G133*$B$131</f>
        <v>4500</v>
      </c>
      <c r="H134" s="164">
        <f>H133*$B$131</f>
        <v>4500</v>
      </c>
    </row>
    <row r="135" spans="1:9" ht="12.75" customHeight="1">
      <c r="A135" s="193" t="s">
        <v>445</v>
      </c>
      <c r="B135" s="268">
        <f>D100</f>
        <v>28000</v>
      </c>
      <c r="C135" s="194" t="s">
        <v>473</v>
      </c>
      <c r="D135" s="89"/>
      <c r="E135" s="89"/>
      <c r="F135" s="89"/>
      <c r="G135" s="89"/>
      <c r="H135" s="89"/>
    </row>
    <row r="136" spans="1:9" ht="12.75" customHeight="1">
      <c r="A136" s="273"/>
      <c r="B136" s="252"/>
      <c r="C136" s="266">
        <f>SUM(D136:H136)</f>
        <v>800000</v>
      </c>
      <c r="D136" s="267">
        <f>C118</f>
        <v>320000</v>
      </c>
      <c r="E136" s="267">
        <f>C119</f>
        <v>240000</v>
      </c>
      <c r="F136" s="267">
        <f>C120</f>
        <v>160000</v>
      </c>
      <c r="G136" s="267">
        <f>C121</f>
        <v>40000</v>
      </c>
      <c r="H136" s="267">
        <f>C122</f>
        <v>40000</v>
      </c>
    </row>
    <row r="137" spans="1:9" ht="12.75" customHeight="1">
      <c r="A137" s="199"/>
      <c r="B137" s="193"/>
      <c r="C137" s="262">
        <f>SUM(D137:H137)</f>
        <v>1</v>
      </c>
      <c r="D137" s="262">
        <f>D136/$C$136</f>
        <v>0.4</v>
      </c>
      <c r="E137" s="262">
        <f>E136/$C$136</f>
        <v>0.3</v>
      </c>
      <c r="F137" s="262">
        <f>F136/$C$136</f>
        <v>0.2</v>
      </c>
      <c r="G137" s="262">
        <f>G136/$C$136</f>
        <v>0.05</v>
      </c>
      <c r="H137" s="262">
        <f>H136/$C$136</f>
        <v>0.05</v>
      </c>
    </row>
    <row r="138" spans="1:9" ht="12.75" customHeight="1">
      <c r="A138" s="204"/>
      <c r="B138" s="185"/>
      <c r="C138" s="203"/>
      <c r="D138" s="164">
        <f>D137*$B$135</f>
        <v>11200</v>
      </c>
      <c r="E138" s="164">
        <f>E137*$B$135</f>
        <v>8400</v>
      </c>
      <c r="F138" s="164">
        <f>F137*$B$135</f>
        <v>5600</v>
      </c>
      <c r="G138" s="164">
        <f>G137*$B$135</f>
        <v>1400</v>
      </c>
      <c r="H138" s="164">
        <f>H137*$B$135</f>
        <v>1400</v>
      </c>
    </row>
    <row r="139" spans="1:9" ht="12.75" customHeight="1">
      <c r="A139" s="984" t="s">
        <v>474</v>
      </c>
      <c r="B139" s="274">
        <f>D101</f>
        <v>18000</v>
      </c>
      <c r="C139" s="194" t="s">
        <v>471</v>
      </c>
      <c r="D139" s="252"/>
      <c r="E139" s="252"/>
      <c r="F139" s="252"/>
      <c r="G139" s="252"/>
      <c r="H139" s="252"/>
    </row>
    <row r="140" spans="1:9" ht="12.75" customHeight="1">
      <c r="A140" s="985"/>
      <c r="B140" s="89"/>
      <c r="C140" s="261">
        <f>SUM(D140:H140)</f>
        <v>4000</v>
      </c>
      <c r="D140" s="89">
        <f>E118</f>
        <v>1600</v>
      </c>
      <c r="E140" s="89">
        <f>E119</f>
        <v>1000</v>
      </c>
      <c r="F140" s="89">
        <f>E120</f>
        <v>800</v>
      </c>
      <c r="G140" s="89">
        <f>E121</f>
        <v>400</v>
      </c>
      <c r="H140" s="89">
        <f>E122</f>
        <v>200</v>
      </c>
    </row>
    <row r="141" spans="1:9" ht="12.75" customHeight="1">
      <c r="A141" s="273"/>
      <c r="B141" s="199"/>
      <c r="C141" s="262">
        <f>SUM(D141:H141)</f>
        <v>1</v>
      </c>
      <c r="D141" s="270">
        <f>D140/$C$140</f>
        <v>0.4</v>
      </c>
      <c r="E141" s="270">
        <f>E140/$C$140</f>
        <v>0.25</v>
      </c>
      <c r="F141" s="270">
        <f>F140/$C$140</f>
        <v>0.2</v>
      </c>
      <c r="G141" s="270">
        <f>G140/$C$140</f>
        <v>0.1</v>
      </c>
      <c r="H141" s="270">
        <f>H140/$C$140</f>
        <v>0.05</v>
      </c>
    </row>
    <row r="142" spans="1:9" ht="12.75" customHeight="1">
      <c r="A142" s="204"/>
      <c r="B142" s="185"/>
      <c r="C142" s="203"/>
      <c r="D142" s="164">
        <f>D141*$B$139</f>
        <v>7200</v>
      </c>
      <c r="E142" s="164">
        <f>E141*$B$139</f>
        <v>4500</v>
      </c>
      <c r="F142" s="164">
        <f>F141*$B$139</f>
        <v>3600</v>
      </c>
      <c r="G142" s="164">
        <f>G141*$B$139</f>
        <v>1800</v>
      </c>
      <c r="H142" s="164">
        <f>H141*$B$139</f>
        <v>900</v>
      </c>
    </row>
    <row r="143" spans="1:9" ht="12.75" customHeight="1">
      <c r="A143" s="988" t="s">
        <v>475</v>
      </c>
      <c r="B143" s="275">
        <f>D102</f>
        <v>32000</v>
      </c>
      <c r="C143" s="261" t="s">
        <v>455</v>
      </c>
      <c r="D143" s="261"/>
      <c r="E143" s="261"/>
      <c r="F143" s="261"/>
      <c r="G143" s="261"/>
      <c r="H143" s="261"/>
    </row>
    <row r="144" spans="1:9" ht="12.75" customHeight="1">
      <c r="A144" s="989"/>
      <c r="B144" s="261"/>
      <c r="C144" s="261">
        <f>SUM(D144:H144)</f>
        <v>500</v>
      </c>
      <c r="D144" s="278">
        <f>G118</f>
        <v>150</v>
      </c>
      <c r="E144" s="278">
        <f>G119</f>
        <v>100</v>
      </c>
      <c r="F144" s="278">
        <f>G120</f>
        <v>200</v>
      </c>
      <c r="G144" s="278">
        <f>G121</f>
        <v>30</v>
      </c>
      <c r="H144" s="278">
        <f>G122</f>
        <v>20</v>
      </c>
      <c r="I144" s="73"/>
    </row>
    <row r="145" spans="1:9" ht="12.75" customHeight="1">
      <c r="A145" s="261"/>
      <c r="B145" s="261"/>
      <c r="C145" s="262">
        <f>SUM(D145:H145)</f>
        <v>1</v>
      </c>
      <c r="D145" s="264">
        <f>D144/$C$144</f>
        <v>0.3</v>
      </c>
      <c r="E145" s="264">
        <f>E144/$C$144</f>
        <v>0.2</v>
      </c>
      <c r="F145" s="264">
        <f>F144/$C$144</f>
        <v>0.4</v>
      </c>
      <c r="G145" s="264">
        <f>G144/$C$144</f>
        <v>0.06</v>
      </c>
      <c r="H145" s="264">
        <f>H144/$C$144</f>
        <v>0.04</v>
      </c>
      <c r="I145" s="73"/>
    </row>
    <row r="146" spans="1:9" ht="12.75" customHeight="1">
      <c r="A146" s="276"/>
      <c r="B146" s="276"/>
      <c r="C146" s="277"/>
      <c r="D146" s="163">
        <f>D145*$B$143</f>
        <v>9600</v>
      </c>
      <c r="E146" s="163">
        <f>E145*$B$143</f>
        <v>6400</v>
      </c>
      <c r="F146" s="163">
        <f>F145*$B$143</f>
        <v>12800</v>
      </c>
      <c r="G146" s="163">
        <f>G145*$B$143</f>
        <v>1920</v>
      </c>
      <c r="H146" s="163">
        <f>H145*$B$143</f>
        <v>1280</v>
      </c>
      <c r="I146" s="73"/>
    </row>
    <row r="147" spans="1:9">
      <c r="A147" s="193" t="s">
        <v>448</v>
      </c>
      <c r="B147" s="274">
        <f>D103</f>
        <v>12000</v>
      </c>
      <c r="C147" s="261" t="s">
        <v>476</v>
      </c>
      <c r="D147" s="261"/>
      <c r="E147" s="261"/>
      <c r="F147" s="261"/>
      <c r="G147" s="261"/>
      <c r="H147" s="261"/>
    </row>
    <row r="148" spans="1:9">
      <c r="A148" s="193"/>
      <c r="B148" s="193"/>
      <c r="C148" s="261">
        <f>SUM(D148:H148)</f>
        <v>200</v>
      </c>
      <c r="D148" s="278">
        <f>D118</f>
        <v>90</v>
      </c>
      <c r="E148" s="278">
        <f>D119</f>
        <v>60</v>
      </c>
      <c r="F148" s="278">
        <f>D120</f>
        <v>30</v>
      </c>
      <c r="G148" s="278">
        <f>D121</f>
        <v>10</v>
      </c>
      <c r="H148" s="278">
        <f>D122</f>
        <v>10</v>
      </c>
    </row>
    <row r="149" spans="1:9">
      <c r="A149" s="193"/>
      <c r="B149" s="193"/>
      <c r="C149" s="262">
        <f>SUM(D149:H149)</f>
        <v>1</v>
      </c>
      <c r="D149" s="264">
        <f>D148/$C$148</f>
        <v>0.45</v>
      </c>
      <c r="E149" s="264">
        <f>E148/$C$148</f>
        <v>0.3</v>
      </c>
      <c r="F149" s="264">
        <f>F148/$C$148</f>
        <v>0.15</v>
      </c>
      <c r="G149" s="264">
        <f>G148/$C$148</f>
        <v>0.05</v>
      </c>
      <c r="H149" s="264">
        <f>H148/$C$148</f>
        <v>0.05</v>
      </c>
    </row>
    <row r="150" spans="1:9">
      <c r="A150" s="204"/>
      <c r="B150" s="204"/>
      <c r="C150" s="277"/>
      <c r="D150" s="279">
        <f>D149*$B$147</f>
        <v>5400</v>
      </c>
      <c r="E150" s="279">
        <f>E149*$B$147</f>
        <v>3600</v>
      </c>
      <c r="F150" s="279">
        <f>F149*$B$147</f>
        <v>1800</v>
      </c>
      <c r="G150" s="279">
        <f>G149*$B$147</f>
        <v>600</v>
      </c>
      <c r="H150" s="279">
        <f>H149*$B$147</f>
        <v>600</v>
      </c>
    </row>
    <row r="151" spans="1:9">
      <c r="A151" s="193" t="s">
        <v>449</v>
      </c>
      <c r="B151" s="274">
        <f>D104</f>
        <v>8000</v>
      </c>
      <c r="C151" s="261" t="s">
        <v>477</v>
      </c>
      <c r="D151" s="278"/>
      <c r="E151" s="278"/>
      <c r="F151" s="278"/>
      <c r="G151" s="278"/>
      <c r="H151" s="278"/>
    </row>
    <row r="152" spans="1:9">
      <c r="A152" s="193"/>
      <c r="B152" s="193"/>
      <c r="C152" s="261">
        <f>SUM(D152:H152)</f>
        <v>100</v>
      </c>
      <c r="D152" s="278">
        <f>F118</f>
        <v>50</v>
      </c>
      <c r="E152" s="278">
        <f>F119</f>
        <v>30</v>
      </c>
      <c r="F152" s="278">
        <f>F120</f>
        <v>10</v>
      </c>
      <c r="G152" s="278">
        <f>F121</f>
        <v>10</v>
      </c>
      <c r="H152" s="278">
        <f>F122</f>
        <v>0</v>
      </c>
    </row>
    <row r="153" spans="1:9">
      <c r="A153" s="193"/>
      <c r="B153" s="193"/>
      <c r="C153" s="262">
        <f>SUM(D153:H153)</f>
        <v>1</v>
      </c>
      <c r="D153" s="264">
        <f>D152/$C$152</f>
        <v>0.5</v>
      </c>
      <c r="E153" s="264">
        <f>E152/$C$152</f>
        <v>0.3</v>
      </c>
      <c r="F153" s="264">
        <f>F152/$C$152</f>
        <v>0.1</v>
      </c>
      <c r="G153" s="264">
        <f>G152/$C$152</f>
        <v>0.1</v>
      </c>
      <c r="H153" s="264">
        <f>H152/$C$152</f>
        <v>0</v>
      </c>
    </row>
    <row r="154" spans="1:9">
      <c r="A154" s="204"/>
      <c r="B154" s="204"/>
      <c r="C154" s="204"/>
      <c r="D154" s="165">
        <f>D153*$B$151</f>
        <v>4000</v>
      </c>
      <c r="E154" s="165">
        <f>E153*$B$151</f>
        <v>2400</v>
      </c>
      <c r="F154" s="165">
        <f>F153*$B$151</f>
        <v>800</v>
      </c>
      <c r="G154" s="165">
        <f>G153*$B$151</f>
        <v>800</v>
      </c>
      <c r="H154" s="165">
        <f>H153*$B$151</f>
        <v>0</v>
      </c>
    </row>
    <row r="155" spans="1:9">
      <c r="A155" s="280" t="s">
        <v>481</v>
      </c>
      <c r="B155" s="281">
        <f t="shared" ref="B155:B164" si="9">D105</f>
        <v>8000</v>
      </c>
      <c r="C155" s="81" t="s">
        <v>485</v>
      </c>
      <c r="D155" s="281">
        <f>B155</f>
        <v>8000</v>
      </c>
      <c r="E155" s="280"/>
      <c r="F155" s="280"/>
      <c r="G155" s="280"/>
      <c r="H155" s="280"/>
    </row>
    <row r="156" spans="1:9">
      <c r="A156" s="193" t="s">
        <v>482</v>
      </c>
      <c r="B156" s="274">
        <f t="shared" si="9"/>
        <v>9000</v>
      </c>
      <c r="C156" s="122" t="s">
        <v>485</v>
      </c>
      <c r="D156" s="193"/>
      <c r="E156" s="274">
        <f>B156</f>
        <v>9000</v>
      </c>
      <c r="F156" s="193"/>
      <c r="G156" s="193"/>
      <c r="H156" s="193"/>
    </row>
    <row r="157" spans="1:9">
      <c r="A157" s="193" t="s">
        <v>483</v>
      </c>
      <c r="B157" s="274">
        <f t="shared" si="9"/>
        <v>3000</v>
      </c>
      <c r="C157" s="122" t="s">
        <v>485</v>
      </c>
      <c r="D157" s="193"/>
      <c r="E157" s="193"/>
      <c r="F157" s="274">
        <f>B157</f>
        <v>3000</v>
      </c>
      <c r="G157" s="193"/>
      <c r="H157" s="193"/>
    </row>
    <row r="158" spans="1:9">
      <c r="A158" s="193" t="s">
        <v>484</v>
      </c>
      <c r="B158" s="274">
        <f t="shared" si="9"/>
        <v>1000</v>
      </c>
      <c r="C158" s="122" t="s">
        <v>485</v>
      </c>
      <c r="D158" s="193"/>
      <c r="E158" s="193"/>
      <c r="F158" s="193"/>
      <c r="G158" s="274">
        <f>B158</f>
        <v>1000</v>
      </c>
      <c r="H158" s="193"/>
    </row>
    <row r="159" spans="1:9">
      <c r="A159" s="193" t="s">
        <v>489</v>
      </c>
      <c r="B159" s="274">
        <f t="shared" si="9"/>
        <v>9000</v>
      </c>
      <c r="C159" s="122" t="s">
        <v>485</v>
      </c>
      <c r="D159" s="274">
        <f>B159</f>
        <v>9000</v>
      </c>
      <c r="E159" s="193"/>
      <c r="F159" s="193"/>
      <c r="G159" s="193"/>
      <c r="H159" s="193"/>
    </row>
    <row r="160" spans="1:9">
      <c r="A160" s="193" t="s">
        <v>490</v>
      </c>
      <c r="B160" s="274">
        <f t="shared" si="9"/>
        <v>9100</v>
      </c>
      <c r="C160" s="122" t="s">
        <v>485</v>
      </c>
      <c r="D160" s="193"/>
      <c r="E160" s="274">
        <f>B160</f>
        <v>9100</v>
      </c>
      <c r="F160" s="193"/>
      <c r="G160" s="193"/>
      <c r="H160" s="193"/>
    </row>
    <row r="161" spans="1:9">
      <c r="A161" s="193" t="s">
        <v>491</v>
      </c>
      <c r="B161" s="274">
        <f t="shared" si="9"/>
        <v>3958</v>
      </c>
      <c r="C161" s="122" t="s">
        <v>485</v>
      </c>
      <c r="D161" s="193"/>
      <c r="E161" s="193"/>
      <c r="F161" s="193"/>
      <c r="G161" s="274">
        <f>B161</f>
        <v>3958</v>
      </c>
      <c r="H161" s="193"/>
    </row>
    <row r="162" spans="1:9">
      <c r="A162" s="193" t="s">
        <v>492</v>
      </c>
      <c r="B162" s="274">
        <f t="shared" si="9"/>
        <v>4150</v>
      </c>
      <c r="C162" s="122" t="s">
        <v>485</v>
      </c>
      <c r="D162" s="193"/>
      <c r="E162" s="193"/>
      <c r="F162" s="274">
        <f>B162</f>
        <v>4150</v>
      </c>
      <c r="G162" s="193"/>
      <c r="H162" s="193"/>
    </row>
    <row r="163" spans="1:9">
      <c r="A163" s="193" t="s">
        <v>493</v>
      </c>
      <c r="B163" s="274">
        <f t="shared" si="9"/>
        <v>4182</v>
      </c>
      <c r="C163" s="122" t="s">
        <v>485</v>
      </c>
      <c r="D163" s="193"/>
      <c r="E163" s="193"/>
      <c r="F163" s="193"/>
      <c r="G163" s="193"/>
      <c r="H163" s="274">
        <f>B163</f>
        <v>4182</v>
      </c>
    </row>
    <row r="164" spans="1:9">
      <c r="A164" s="193" t="s">
        <v>494</v>
      </c>
      <c r="B164" s="274">
        <f t="shared" si="9"/>
        <v>4000</v>
      </c>
      <c r="C164" s="122" t="s">
        <v>476</v>
      </c>
      <c r="D164" s="193"/>
      <c r="E164" s="193"/>
      <c r="F164" s="193"/>
      <c r="G164" s="193"/>
      <c r="H164" s="193"/>
    </row>
    <row r="165" spans="1:9">
      <c r="A165" s="193"/>
      <c r="B165" s="193"/>
      <c r="C165" s="122">
        <f>SUM(D165:H165)</f>
        <v>200</v>
      </c>
      <c r="D165" s="263">
        <f>D118</f>
        <v>90</v>
      </c>
      <c r="E165" s="263">
        <f>D119</f>
        <v>60</v>
      </c>
      <c r="F165" s="263">
        <f>D120</f>
        <v>30</v>
      </c>
      <c r="G165" s="263">
        <f>D121</f>
        <v>10</v>
      </c>
      <c r="H165" s="263">
        <f>D122</f>
        <v>10</v>
      </c>
    </row>
    <row r="166" spans="1:9">
      <c r="A166" s="193"/>
      <c r="B166" s="193"/>
      <c r="C166" s="271">
        <f>SUM(D166:H166)</f>
        <v>1</v>
      </c>
      <c r="D166" s="270">
        <f>D165/$C$165</f>
        <v>0.45</v>
      </c>
      <c r="E166" s="270">
        <f>E165/$C$165</f>
        <v>0.3</v>
      </c>
      <c r="F166" s="270">
        <f>F165/$C$165</f>
        <v>0.15</v>
      </c>
      <c r="G166" s="270">
        <f>G165/$C$165</f>
        <v>0.05</v>
      </c>
      <c r="H166" s="270">
        <f>H165/$C$165</f>
        <v>0.05</v>
      </c>
    </row>
    <row r="167" spans="1:9">
      <c r="A167" s="204"/>
      <c r="B167" s="204"/>
      <c r="C167" s="85"/>
      <c r="D167" s="165">
        <f>D166*$B$164</f>
        <v>1800</v>
      </c>
      <c r="E167" s="165">
        <f>E166*$B$164</f>
        <v>1200</v>
      </c>
      <c r="F167" s="165">
        <f>F166*$B$164</f>
        <v>600</v>
      </c>
      <c r="G167" s="165">
        <f>G166*$B$164</f>
        <v>200</v>
      </c>
      <c r="H167" s="165">
        <f>H166*$B$164</f>
        <v>200</v>
      </c>
    </row>
    <row r="168" spans="1:9">
      <c r="A168" s="282" t="s">
        <v>407</v>
      </c>
      <c r="B168" s="283">
        <f>SUM(B127:B166)</f>
        <v>273390</v>
      </c>
      <c r="C168" s="282"/>
      <c r="D168" s="283">
        <f>D130+D134+D138+D142+D146+D150+D154+D155+D159+D167</f>
        <v>104200</v>
      </c>
      <c r="E168" s="283">
        <f>E130+E134+E138+E142+E146+E150+E154+E156+E160+E167</f>
        <v>79100</v>
      </c>
      <c r="F168" s="283">
        <f>F130+F134+F138+F142+F146+F150+F154+F157+F162+F167</f>
        <v>56350</v>
      </c>
      <c r="G168" s="283">
        <f>G130+G134+G138+G142+G146+G150+G154+G158+G161+G167</f>
        <v>19178</v>
      </c>
      <c r="H168" s="283">
        <f>H130+H134+H138+H142+H146+H150+H154+H163+H167</f>
        <v>14562</v>
      </c>
    </row>
    <row r="169" spans="1:9">
      <c r="A169" s="81" t="s">
        <v>497</v>
      </c>
      <c r="B169" s="281">
        <f>H168</f>
        <v>14562</v>
      </c>
      <c r="C169" s="280" t="s">
        <v>477</v>
      </c>
      <c r="D169" s="280"/>
      <c r="E169" s="280"/>
      <c r="F169" s="280"/>
      <c r="G169" s="280"/>
      <c r="H169" s="280"/>
      <c r="I169" s="2" t="s">
        <v>498</v>
      </c>
    </row>
    <row r="170" spans="1:9">
      <c r="A170" s="122"/>
      <c r="B170" s="193"/>
      <c r="C170" s="193">
        <f>SUM(D170:H170)</f>
        <v>100</v>
      </c>
      <c r="D170" s="263">
        <f>F118</f>
        <v>50</v>
      </c>
      <c r="E170" s="263">
        <f>F119</f>
        <v>30</v>
      </c>
      <c r="F170" s="263">
        <f>F120</f>
        <v>10</v>
      </c>
      <c r="G170" s="263">
        <f>F121</f>
        <v>10</v>
      </c>
      <c r="H170" s="263"/>
    </row>
    <row r="171" spans="1:9">
      <c r="A171" s="122"/>
      <c r="B171" s="193"/>
      <c r="C171" s="193">
        <f>SUM(D171:H171)</f>
        <v>1</v>
      </c>
      <c r="D171" s="270">
        <f>D170/$C$170</f>
        <v>0.5</v>
      </c>
      <c r="E171" s="270">
        <f>E170/$C$170</f>
        <v>0.3</v>
      </c>
      <c r="F171" s="270">
        <f>F170/$C$170</f>
        <v>0.1</v>
      </c>
      <c r="G171" s="270">
        <f>G170/$C$170</f>
        <v>0.1</v>
      </c>
      <c r="H171" s="270"/>
    </row>
    <row r="172" spans="1:9">
      <c r="A172" s="85"/>
      <c r="B172" s="204"/>
      <c r="C172" s="204"/>
      <c r="D172" s="174">
        <f>D171*$B$169</f>
        <v>7281</v>
      </c>
      <c r="E172" s="174">
        <f>E171*$B$169</f>
        <v>4368.5999999999995</v>
      </c>
      <c r="F172" s="174">
        <f>F171*$B$169</f>
        <v>1456.2</v>
      </c>
      <c r="G172" s="174">
        <f>G171*$B$169</f>
        <v>1456.2</v>
      </c>
      <c r="H172" s="174">
        <f>-H168</f>
        <v>-14562</v>
      </c>
    </row>
    <row r="173" spans="1:9">
      <c r="A173" s="85" t="s">
        <v>185</v>
      </c>
      <c r="B173" s="204"/>
      <c r="C173" s="204"/>
      <c r="D173" s="287">
        <f>D168+D172</f>
        <v>111481</v>
      </c>
      <c r="E173" s="287">
        <f>E168+E172</f>
        <v>83468.600000000006</v>
      </c>
      <c r="F173" s="287">
        <f>F168+F172</f>
        <v>57806.2</v>
      </c>
      <c r="G173" s="287">
        <f>G168+G172</f>
        <v>20634.2</v>
      </c>
      <c r="H173" s="287">
        <f>H168+H172</f>
        <v>0</v>
      </c>
    </row>
    <row r="174" spans="1:9">
      <c r="A174" s="280" t="s">
        <v>499</v>
      </c>
      <c r="B174" s="281">
        <f>G173</f>
        <v>20634.2</v>
      </c>
      <c r="C174" s="280" t="s">
        <v>502</v>
      </c>
      <c r="D174" s="280"/>
      <c r="E174" s="288"/>
      <c r="F174" s="288"/>
      <c r="G174" s="280"/>
      <c r="H174" s="81"/>
      <c r="I174" s="2" t="s">
        <v>411</v>
      </c>
    </row>
    <row r="175" spans="1:9">
      <c r="A175" s="193"/>
      <c r="B175" s="193"/>
      <c r="C175" s="263">
        <f>SUM(D175:H175)</f>
        <v>800</v>
      </c>
      <c r="D175" s="263">
        <f>H118</f>
        <v>400</v>
      </c>
      <c r="E175" s="263">
        <f>H119</f>
        <v>300</v>
      </c>
      <c r="F175" s="263">
        <f>H120</f>
        <v>100</v>
      </c>
      <c r="G175" s="263"/>
      <c r="H175" s="122"/>
    </row>
    <row r="176" spans="1:9">
      <c r="A176" s="193"/>
      <c r="B176" s="193"/>
      <c r="C176" s="193"/>
      <c r="D176" s="270">
        <f>D175/$C$175</f>
        <v>0.5</v>
      </c>
      <c r="E176" s="270">
        <f>E175/$C$175</f>
        <v>0.375</v>
      </c>
      <c r="F176" s="270">
        <f>F175/$C$175</f>
        <v>0.125</v>
      </c>
      <c r="G176" s="193"/>
      <c r="H176" s="122"/>
    </row>
    <row r="177" spans="1:9">
      <c r="A177" s="204"/>
      <c r="B177" s="204"/>
      <c r="C177" s="204"/>
      <c r="D177" s="174">
        <f>D176*$B$174</f>
        <v>10317.1</v>
      </c>
      <c r="E177" s="174">
        <f>E176*$B$174</f>
        <v>7737.8250000000007</v>
      </c>
      <c r="F177" s="174">
        <f>F176*$B$174</f>
        <v>2579.2750000000001</v>
      </c>
      <c r="G177" s="174">
        <f>-G173</f>
        <v>-20634.2</v>
      </c>
      <c r="H177" s="122"/>
    </row>
    <row r="178" spans="1:9">
      <c r="A178" s="204" t="s">
        <v>185</v>
      </c>
      <c r="B178" s="204"/>
      <c r="C178" s="204"/>
      <c r="D178" s="287">
        <f>D173+D177</f>
        <v>121798.1</v>
      </c>
      <c r="E178" s="287">
        <f>E173+E177</f>
        <v>91206.425000000003</v>
      </c>
      <c r="F178" s="287">
        <f>F173+F177</f>
        <v>60385.474999999999</v>
      </c>
      <c r="G178" s="174">
        <f>G173+G177</f>
        <v>0</v>
      </c>
      <c r="H178" s="291"/>
    </row>
    <row r="179" spans="1:9">
      <c r="A179" s="280" t="s">
        <v>500</v>
      </c>
      <c r="B179" s="289">
        <f>F178</f>
        <v>60385.474999999999</v>
      </c>
      <c r="C179" s="280" t="s">
        <v>501</v>
      </c>
      <c r="D179" s="280"/>
      <c r="E179" s="280"/>
      <c r="F179" s="280"/>
      <c r="G179" s="81"/>
      <c r="H179" s="14"/>
    </row>
    <row r="180" spans="1:9">
      <c r="A180" s="193"/>
      <c r="B180" s="193"/>
      <c r="C180" s="263">
        <f>G100</f>
        <v>120000</v>
      </c>
      <c r="D180" s="263">
        <f>G98</f>
        <v>48000</v>
      </c>
      <c r="E180" s="263">
        <f>G99</f>
        <v>72000</v>
      </c>
      <c r="F180" s="193"/>
      <c r="G180" s="122"/>
      <c r="H180" s="14"/>
      <c r="I180" s="14"/>
    </row>
    <row r="181" spans="1:9">
      <c r="A181" s="193"/>
      <c r="B181" s="193"/>
      <c r="C181" s="270">
        <f>SUM(D181:E181)</f>
        <v>1</v>
      </c>
      <c r="D181" s="270">
        <f>D180/$C$180</f>
        <v>0.4</v>
      </c>
      <c r="E181" s="270">
        <f>E180/$C$180</f>
        <v>0.6</v>
      </c>
      <c r="F181" s="193"/>
      <c r="G181" s="122"/>
      <c r="H181" s="14"/>
    </row>
    <row r="182" spans="1:9">
      <c r="A182" s="193"/>
      <c r="B182" s="193"/>
      <c r="C182" s="193"/>
      <c r="D182" s="290">
        <f>D181*$B$179</f>
        <v>24154.190000000002</v>
      </c>
      <c r="E182" s="290">
        <f>E181*$B$179</f>
        <v>36231.284999999996</v>
      </c>
      <c r="F182" s="290">
        <f>-F178</f>
        <v>-60385.474999999999</v>
      </c>
      <c r="G182" s="122"/>
      <c r="H182" s="14"/>
    </row>
    <row r="183" spans="1:9">
      <c r="A183" s="204" t="s">
        <v>419</v>
      </c>
      <c r="B183" s="204"/>
      <c r="C183" s="204"/>
      <c r="D183" s="174">
        <f>D178+D182</f>
        <v>145952.29</v>
      </c>
      <c r="E183" s="174">
        <f>E178+E182</f>
        <v>127437.70999999999</v>
      </c>
      <c r="F183" s="174">
        <f>F178+F182</f>
        <v>0</v>
      </c>
      <c r="G183" s="122"/>
      <c r="H183" s="14"/>
    </row>
    <row r="184" spans="1:9">
      <c r="A184" s="280"/>
      <c r="B184" s="57"/>
      <c r="C184" s="280" t="s">
        <v>501</v>
      </c>
      <c r="D184" s="280"/>
      <c r="E184" s="280"/>
      <c r="G184" s="14"/>
      <c r="H184" s="14"/>
    </row>
    <row r="185" spans="1:9">
      <c r="A185" s="245" t="s">
        <v>503</v>
      </c>
      <c r="B185" s="46"/>
      <c r="C185" s="292">
        <f>D185+E185</f>
        <v>120000</v>
      </c>
      <c r="D185" s="292">
        <f>G98</f>
        <v>48000</v>
      </c>
      <c r="E185" s="292">
        <f>G99</f>
        <v>72000</v>
      </c>
    </row>
    <row r="186" spans="1:9" ht="13.5" thickBot="1">
      <c r="A186" s="293" t="s">
        <v>504</v>
      </c>
      <c r="B186" s="294"/>
      <c r="C186" s="295"/>
      <c r="D186" s="296">
        <f>D183/D185</f>
        <v>3.0406727083333336</v>
      </c>
      <c r="E186" s="296">
        <f>E183/E185</f>
        <v>1.7699681944444443</v>
      </c>
    </row>
    <row r="187" spans="1:9" ht="13.5" thickTop="1"/>
    <row r="188" spans="1:9">
      <c r="A188" s="1" t="s">
        <v>2183</v>
      </c>
    </row>
    <row r="189" spans="1:9">
      <c r="A189" s="1"/>
    </row>
    <row r="190" spans="1:9">
      <c r="B190" s="918" t="s">
        <v>505</v>
      </c>
      <c r="C190" s="918"/>
      <c r="D190" s="918" t="s">
        <v>506</v>
      </c>
      <c r="E190" s="918"/>
      <c r="F190" s="918" t="s">
        <v>507</v>
      </c>
      <c r="G190" s="918"/>
      <c r="H190" s="918" t="s">
        <v>508</v>
      </c>
      <c r="I190" s="918"/>
    </row>
    <row r="191" spans="1:9">
      <c r="A191" s="204" t="s">
        <v>523</v>
      </c>
      <c r="B191" s="298">
        <v>10000</v>
      </c>
      <c r="C191" s="170" t="s">
        <v>513</v>
      </c>
      <c r="D191" s="298">
        <v>9700</v>
      </c>
      <c r="E191" s="170" t="s">
        <v>1558</v>
      </c>
      <c r="F191" s="298">
        <v>9700</v>
      </c>
      <c r="G191" s="170" t="s">
        <v>443</v>
      </c>
      <c r="H191" s="298">
        <v>9700</v>
      </c>
      <c r="I191" s="170" t="s">
        <v>443</v>
      </c>
    </row>
    <row r="192" spans="1:9">
      <c r="A192" s="204" t="s">
        <v>510</v>
      </c>
      <c r="B192" s="297" t="s">
        <v>1561</v>
      </c>
      <c r="C192" s="277" t="s">
        <v>1560</v>
      </c>
      <c r="D192" s="297">
        <v>8</v>
      </c>
      <c r="E192" s="277">
        <v>77600</v>
      </c>
      <c r="F192" s="297">
        <v>8.2474226804123703</v>
      </c>
      <c r="G192" s="277">
        <v>80000</v>
      </c>
      <c r="H192" s="277"/>
      <c r="I192" s="277" t="s">
        <v>1566</v>
      </c>
    </row>
    <row r="193" spans="1:9">
      <c r="A193" s="204" t="s">
        <v>511</v>
      </c>
      <c r="B193" s="297">
        <v>5</v>
      </c>
      <c r="C193" s="277">
        <v>50000</v>
      </c>
      <c r="D193" s="297">
        <v>5</v>
      </c>
      <c r="E193" s="277">
        <v>48500</v>
      </c>
      <c r="F193" s="297" t="s">
        <v>1564</v>
      </c>
      <c r="G193" s="277" t="s">
        <v>1563</v>
      </c>
      <c r="H193" s="277"/>
      <c r="I193" s="277" t="s">
        <v>1562</v>
      </c>
    </row>
    <row r="194" spans="1:9">
      <c r="A194" s="204" t="s">
        <v>512</v>
      </c>
      <c r="B194" s="297">
        <v>13</v>
      </c>
      <c r="C194" s="277">
        <v>130000</v>
      </c>
      <c r="D194" s="297">
        <v>13</v>
      </c>
      <c r="E194" s="277">
        <v>126100</v>
      </c>
      <c r="F194" s="297">
        <v>13.24742268041237</v>
      </c>
      <c r="G194" s="277">
        <v>128500</v>
      </c>
      <c r="H194" s="277"/>
      <c r="I194" s="277" t="s">
        <v>1559</v>
      </c>
    </row>
    <row r="195" spans="1:9">
      <c r="E195" s="85" t="s">
        <v>520</v>
      </c>
      <c r="F195" s="299">
        <v>-2400</v>
      </c>
      <c r="G195" s="86" t="s">
        <v>521</v>
      </c>
      <c r="H195" s="299">
        <v>-1650</v>
      </c>
    </row>
    <row r="196" spans="1:9">
      <c r="E196" s="974" t="s">
        <v>1565</v>
      </c>
      <c r="F196" s="975"/>
      <c r="G196" s="303">
        <v>-4050</v>
      </c>
      <c r="H196" s="100"/>
    </row>
    <row r="197" spans="1:9">
      <c r="A197" s="1" t="s">
        <v>524</v>
      </c>
    </row>
    <row r="198" spans="1:9">
      <c r="A198" s="2" t="s">
        <v>514</v>
      </c>
    </row>
    <row r="199" spans="1:9">
      <c r="A199" s="2" t="s">
        <v>517</v>
      </c>
    </row>
    <row r="200" spans="1:9">
      <c r="A200" s="2" t="s">
        <v>515</v>
      </c>
    </row>
    <row r="201" spans="1:9">
      <c r="A201" s="2" t="s">
        <v>516</v>
      </c>
    </row>
    <row r="202" spans="1:9">
      <c r="A202" s="2" t="s">
        <v>541</v>
      </c>
    </row>
    <row r="203" spans="1:9">
      <c r="A203" s="2" t="s">
        <v>518</v>
      </c>
    </row>
    <row r="204" spans="1:9">
      <c r="A204" s="2" t="s">
        <v>540</v>
      </c>
    </row>
    <row r="205" spans="1:9">
      <c r="A205" s="2" t="s">
        <v>519</v>
      </c>
    </row>
    <row r="206" spans="1:9">
      <c r="A206" s="2" t="s">
        <v>522</v>
      </c>
      <c r="C206" s="48"/>
    </row>
    <row r="208" spans="1:9">
      <c r="A208" s="1" t="s">
        <v>2184</v>
      </c>
    </row>
    <row r="209" spans="1:9">
      <c r="A209" s="1"/>
    </row>
    <row r="210" spans="1:9">
      <c r="B210" s="918" t="s">
        <v>505</v>
      </c>
      <c r="C210" s="918"/>
      <c r="D210" s="918" t="s">
        <v>506</v>
      </c>
      <c r="E210" s="918"/>
      <c r="F210" s="918" t="s">
        <v>507</v>
      </c>
      <c r="G210" s="918"/>
      <c r="H210" s="918" t="s">
        <v>508</v>
      </c>
      <c r="I210" s="918"/>
    </row>
    <row r="211" spans="1:9">
      <c r="A211" s="204" t="s">
        <v>509</v>
      </c>
      <c r="B211" s="298">
        <v>2400</v>
      </c>
      <c r="C211" s="170" t="s">
        <v>1558</v>
      </c>
      <c r="D211" s="298">
        <v>2280</v>
      </c>
      <c r="E211" s="170" t="s">
        <v>1570</v>
      </c>
      <c r="F211" s="298">
        <v>2280</v>
      </c>
      <c r="G211" s="170" t="s">
        <v>443</v>
      </c>
      <c r="H211" s="298">
        <v>2280</v>
      </c>
      <c r="I211" s="170" t="s">
        <v>443</v>
      </c>
    </row>
    <row r="212" spans="1:9">
      <c r="A212" s="204" t="s">
        <v>510</v>
      </c>
      <c r="B212" s="297" t="s">
        <v>1567</v>
      </c>
      <c r="C212" s="277">
        <v>9840</v>
      </c>
      <c r="D212" s="297">
        <v>4.0999999999999996</v>
      </c>
      <c r="E212" s="277" t="s">
        <v>1569</v>
      </c>
      <c r="F212" s="297">
        <v>4.3157894736842106</v>
      </c>
      <c r="G212" s="277">
        <v>9840</v>
      </c>
      <c r="H212" s="277"/>
      <c r="I212" s="277">
        <v>9840</v>
      </c>
    </row>
    <row r="213" spans="1:9">
      <c r="A213" s="204" t="s">
        <v>511</v>
      </c>
      <c r="B213" s="297" t="s">
        <v>1568</v>
      </c>
      <c r="C213" s="277">
        <v>16080</v>
      </c>
      <c r="D213" s="297">
        <v>6.7</v>
      </c>
      <c r="E213" s="277">
        <v>15276</v>
      </c>
      <c r="F213" s="297">
        <v>6.7</v>
      </c>
      <c r="G213" s="277">
        <v>15276</v>
      </c>
      <c r="H213" s="277"/>
      <c r="I213" s="277" t="s">
        <v>1571</v>
      </c>
    </row>
    <row r="214" spans="1:9">
      <c r="A214" s="204" t="s">
        <v>512</v>
      </c>
      <c r="B214" s="297">
        <v>10.8</v>
      </c>
      <c r="C214" s="277">
        <v>25920</v>
      </c>
      <c r="D214" s="297">
        <v>10.8</v>
      </c>
      <c r="E214" s="277">
        <v>24624</v>
      </c>
      <c r="F214" s="297">
        <v>11.015789473684212</v>
      </c>
      <c r="G214" s="277">
        <v>25116</v>
      </c>
      <c r="H214" s="277"/>
      <c r="I214" s="277">
        <v>24840</v>
      </c>
    </row>
    <row r="215" spans="1:9">
      <c r="E215" s="105" t="s">
        <v>530</v>
      </c>
      <c r="F215" s="302">
        <v>-492</v>
      </c>
      <c r="G215" s="86" t="s">
        <v>521</v>
      </c>
      <c r="H215" s="300">
        <v>276</v>
      </c>
    </row>
    <row r="216" spans="1:9">
      <c r="E216" s="974" t="s">
        <v>1572</v>
      </c>
      <c r="F216" s="975"/>
      <c r="G216" s="301">
        <v>-216</v>
      </c>
      <c r="H216" s="100"/>
    </row>
    <row r="217" spans="1:9">
      <c r="A217" s="1" t="s">
        <v>524</v>
      </c>
    </row>
    <row r="218" spans="1:9">
      <c r="A218" s="2" t="s">
        <v>525</v>
      </c>
    </row>
    <row r="219" spans="1:9">
      <c r="A219" s="2" t="s">
        <v>532</v>
      </c>
    </row>
    <row r="220" spans="1:9">
      <c r="A220" s="2" t="s">
        <v>526</v>
      </c>
    </row>
    <row r="221" spans="1:9">
      <c r="A221" s="2" t="s">
        <v>527</v>
      </c>
    </row>
    <row r="222" spans="1:9">
      <c r="A222" s="2" t="s">
        <v>528</v>
      </c>
    </row>
    <row r="223" spans="1:9">
      <c r="A223" s="2" t="s">
        <v>529</v>
      </c>
    </row>
    <row r="224" spans="1:9">
      <c r="A224" s="2" t="s">
        <v>531</v>
      </c>
    </row>
    <row r="225" spans="1:9">
      <c r="A225" s="2" t="s">
        <v>533</v>
      </c>
    </row>
    <row r="226" spans="1:9">
      <c r="A226" s="2" t="s">
        <v>534</v>
      </c>
    </row>
    <row r="227" spans="1:9">
      <c r="A227" s="2" t="s">
        <v>535</v>
      </c>
    </row>
    <row r="228" spans="1:9">
      <c r="A228" s="2" t="s">
        <v>536</v>
      </c>
    </row>
    <row r="230" spans="1:9">
      <c r="A230" s="1" t="s">
        <v>2185</v>
      </c>
    </row>
    <row r="231" spans="1:9">
      <c r="A231" s="1"/>
    </row>
    <row r="232" spans="1:9">
      <c r="B232" s="972" t="s">
        <v>505</v>
      </c>
      <c r="C232" s="973"/>
      <c r="D232" s="918" t="s">
        <v>506</v>
      </c>
      <c r="E232" s="918"/>
      <c r="F232" s="918" t="s">
        <v>507</v>
      </c>
      <c r="G232" s="918"/>
      <c r="H232" s="918" t="s">
        <v>508</v>
      </c>
      <c r="I232" s="918"/>
    </row>
    <row r="233" spans="1:9">
      <c r="A233" s="204" t="s">
        <v>509</v>
      </c>
      <c r="B233" s="298">
        <v>4000</v>
      </c>
      <c r="C233" s="170" t="s">
        <v>1558</v>
      </c>
      <c r="D233" s="298">
        <v>3400</v>
      </c>
      <c r="E233" s="170" t="s">
        <v>1573</v>
      </c>
      <c r="F233" s="298">
        <v>3400</v>
      </c>
      <c r="G233" s="170" t="s">
        <v>443</v>
      </c>
      <c r="H233" s="298">
        <v>3400</v>
      </c>
      <c r="I233" s="170" t="s">
        <v>443</v>
      </c>
    </row>
    <row r="234" spans="1:9">
      <c r="A234" s="204" t="s">
        <v>510</v>
      </c>
      <c r="B234" s="297" t="s">
        <v>1577</v>
      </c>
      <c r="C234" s="277" t="s">
        <v>1575</v>
      </c>
      <c r="D234" s="297">
        <v>0.75</v>
      </c>
      <c r="E234" s="277">
        <v>2550</v>
      </c>
      <c r="F234" s="297">
        <v>0.88235294117647056</v>
      </c>
      <c r="G234" s="277">
        <v>3000</v>
      </c>
      <c r="H234" s="277"/>
      <c r="I234" s="277" t="s">
        <v>1574</v>
      </c>
    </row>
    <row r="235" spans="1:9">
      <c r="A235" s="204" t="s">
        <v>511</v>
      </c>
      <c r="B235" s="297" t="s">
        <v>1578</v>
      </c>
      <c r="C235" s="277">
        <v>1000</v>
      </c>
      <c r="D235" s="297">
        <v>0.25</v>
      </c>
      <c r="E235" s="277">
        <v>850</v>
      </c>
      <c r="F235" s="297">
        <v>0.25</v>
      </c>
      <c r="G235" s="277">
        <v>850</v>
      </c>
      <c r="H235" s="277"/>
      <c r="I235" s="277" t="s">
        <v>1580</v>
      </c>
    </row>
    <row r="236" spans="1:9">
      <c r="A236" s="204" t="s">
        <v>512</v>
      </c>
      <c r="B236" s="297">
        <v>1</v>
      </c>
      <c r="C236" s="277">
        <v>4000</v>
      </c>
      <c r="D236" s="297">
        <v>1</v>
      </c>
      <c r="E236" s="277">
        <v>3400</v>
      </c>
      <c r="F236" s="297">
        <v>1.1323529411764706</v>
      </c>
      <c r="G236" s="277">
        <v>3850</v>
      </c>
      <c r="H236" s="277"/>
      <c r="I236" s="277">
        <v>4330</v>
      </c>
    </row>
    <row r="237" spans="1:9">
      <c r="B237" s="17"/>
      <c r="C237" s="17"/>
      <c r="D237" s="17"/>
      <c r="E237" s="672" t="s">
        <v>530</v>
      </c>
      <c r="F237" s="673">
        <v>-450</v>
      </c>
      <c r="G237" s="23" t="s">
        <v>521</v>
      </c>
      <c r="H237" s="674">
        <v>-480</v>
      </c>
      <c r="I237" s="17"/>
    </row>
    <row r="238" spans="1:9">
      <c r="B238" s="17"/>
      <c r="C238" s="17"/>
      <c r="D238" s="17"/>
      <c r="E238" s="978" t="s">
        <v>1582</v>
      </c>
      <c r="F238" s="979"/>
      <c r="G238" s="23"/>
      <c r="H238" s="299">
        <v>-930</v>
      </c>
      <c r="I238" s="17"/>
    </row>
    <row r="239" spans="1:9">
      <c r="A239" s="1" t="s">
        <v>524</v>
      </c>
    </row>
    <row r="240" spans="1:9">
      <c r="A240" s="2" t="s">
        <v>537</v>
      </c>
    </row>
    <row r="241" spans="1:9">
      <c r="A241" s="2" t="s">
        <v>538</v>
      </c>
    </row>
    <row r="242" spans="1:9">
      <c r="A242" s="2" t="s">
        <v>1576</v>
      </c>
    </row>
    <row r="243" spans="1:9">
      <c r="A243" s="2" t="s">
        <v>539</v>
      </c>
    </row>
    <row r="244" spans="1:9">
      <c r="A244" s="2" t="s">
        <v>1579</v>
      </c>
    </row>
    <row r="245" spans="1:9">
      <c r="A245" s="2" t="s">
        <v>1581</v>
      </c>
    </row>
    <row r="247" spans="1:9">
      <c r="A247" s="1" t="s">
        <v>2186</v>
      </c>
    </row>
    <row r="249" spans="1:9">
      <c r="B249" s="972" t="s">
        <v>505</v>
      </c>
      <c r="C249" s="973"/>
      <c r="D249" s="972" t="s">
        <v>506</v>
      </c>
      <c r="E249" s="973"/>
      <c r="F249" s="972" t="s">
        <v>507</v>
      </c>
      <c r="G249" s="973"/>
      <c r="H249" s="972" t="s">
        <v>508</v>
      </c>
      <c r="I249" s="973"/>
    </row>
    <row r="250" spans="1:9">
      <c r="A250" s="204" t="s">
        <v>1623</v>
      </c>
      <c r="B250" s="85">
        <v>6000</v>
      </c>
      <c r="C250" s="100" t="s">
        <v>1624</v>
      </c>
      <c r="D250" s="85">
        <v>5700</v>
      </c>
      <c r="E250" s="100" t="s">
        <v>1625</v>
      </c>
      <c r="F250" s="85">
        <v>5700</v>
      </c>
      <c r="G250" s="100" t="s">
        <v>1625</v>
      </c>
      <c r="H250" s="85">
        <v>5700</v>
      </c>
      <c r="I250" s="100" t="s">
        <v>1625</v>
      </c>
    </row>
    <row r="251" spans="1:9">
      <c r="A251" s="204" t="s">
        <v>510</v>
      </c>
      <c r="B251" s="708" t="s">
        <v>1627</v>
      </c>
      <c r="C251" s="346">
        <v>15000</v>
      </c>
      <c r="D251" s="706">
        <v>2.5</v>
      </c>
      <c r="E251" s="346">
        <v>14250</v>
      </c>
      <c r="F251" s="706">
        <v>2.6315789473684212</v>
      </c>
      <c r="G251" s="346">
        <v>15000</v>
      </c>
      <c r="H251" s="706"/>
      <c r="I251" s="707">
        <v>16400</v>
      </c>
    </row>
    <row r="252" spans="1:9">
      <c r="A252" s="204" t="s">
        <v>511</v>
      </c>
      <c r="B252" s="708" t="s">
        <v>1628</v>
      </c>
      <c r="C252" s="346">
        <v>9000</v>
      </c>
      <c r="D252" s="706">
        <v>1.5</v>
      </c>
      <c r="E252" s="346">
        <v>8550</v>
      </c>
      <c r="F252" s="706">
        <v>1.5</v>
      </c>
      <c r="G252" s="346">
        <v>8550</v>
      </c>
      <c r="H252" s="706"/>
      <c r="I252" s="707">
        <v>9250</v>
      </c>
    </row>
    <row r="253" spans="1:9">
      <c r="A253" s="204" t="s">
        <v>512</v>
      </c>
      <c r="B253" s="708">
        <v>4</v>
      </c>
      <c r="C253" s="346">
        <v>24000</v>
      </c>
      <c r="D253" s="706">
        <v>4</v>
      </c>
      <c r="E253" s="346">
        <v>22800</v>
      </c>
      <c r="F253" s="706">
        <v>4.1315789473684212</v>
      </c>
      <c r="G253" s="346">
        <v>23550</v>
      </c>
      <c r="H253" s="706"/>
      <c r="I253" s="346">
        <v>25650</v>
      </c>
    </row>
    <row r="254" spans="1:9">
      <c r="A254" s="14"/>
      <c r="B254" s="529"/>
      <c r="C254" s="529"/>
      <c r="D254" s="529"/>
      <c r="E254" s="697" t="s">
        <v>1631</v>
      </c>
      <c r="F254" s="673">
        <f>-750</f>
        <v>-750</v>
      </c>
      <c r="G254" s="23" t="s">
        <v>1638</v>
      </c>
      <c r="H254" s="673">
        <v>-2100</v>
      </c>
      <c r="I254" s="529"/>
    </row>
    <row r="255" spans="1:9">
      <c r="A255" s="14"/>
      <c r="B255" s="529"/>
      <c r="C255" s="529"/>
      <c r="D255" s="529"/>
      <c r="E255" s="978" t="s">
        <v>1582</v>
      </c>
      <c r="F255" s="979"/>
      <c r="G255" s="23"/>
      <c r="H255" s="705">
        <v>-2850</v>
      </c>
      <c r="I255" s="529"/>
    </row>
    <row r="256" spans="1:9">
      <c r="A256" s="14"/>
      <c r="B256" s="529"/>
      <c r="C256" s="529"/>
      <c r="D256" s="529"/>
      <c r="E256" s="529"/>
      <c r="F256" s="529"/>
      <c r="G256" s="529"/>
      <c r="H256" s="14"/>
      <c r="I256" s="529"/>
    </row>
    <row r="257" spans="1:9">
      <c r="A257" s="1" t="s">
        <v>524</v>
      </c>
      <c r="B257" s="529"/>
      <c r="C257" s="529"/>
      <c r="D257" s="529"/>
      <c r="E257" s="529"/>
      <c r="F257" s="529"/>
      <c r="G257" s="529"/>
      <c r="H257" s="14"/>
      <c r="I257" s="529"/>
    </row>
    <row r="258" spans="1:9">
      <c r="A258" s="14" t="s">
        <v>1626</v>
      </c>
      <c r="B258" s="529"/>
      <c r="C258" s="529"/>
      <c r="D258" s="529"/>
      <c r="E258" s="529"/>
      <c r="F258" s="529"/>
      <c r="G258" s="529"/>
      <c r="H258" s="14"/>
      <c r="I258" s="529"/>
    </row>
    <row r="259" spans="1:9">
      <c r="A259" s="14" t="s">
        <v>1629</v>
      </c>
      <c r="B259" s="529"/>
      <c r="C259" s="529"/>
      <c r="D259" s="529"/>
      <c r="E259" s="529"/>
      <c r="F259" s="529"/>
      <c r="G259" s="529"/>
      <c r="H259" s="14"/>
      <c r="I259" s="529"/>
    </row>
    <row r="260" spans="1:9">
      <c r="A260" s="14" t="s">
        <v>1630</v>
      </c>
      <c r="B260" s="529"/>
      <c r="C260" s="529"/>
      <c r="D260" s="529"/>
      <c r="E260" s="529"/>
      <c r="F260" s="529"/>
      <c r="G260" s="529"/>
      <c r="H260" s="14"/>
      <c r="I260" s="529"/>
    </row>
    <row r="261" spans="1:9">
      <c r="A261" s="14" t="s">
        <v>1632</v>
      </c>
      <c r="B261" s="529"/>
      <c r="C261" s="529"/>
      <c r="D261" s="529"/>
      <c r="E261" s="529"/>
      <c r="F261" s="529"/>
      <c r="G261" s="529"/>
      <c r="H261" s="14"/>
      <c r="I261" s="529"/>
    </row>
    <row r="262" spans="1:9">
      <c r="A262" s="14" t="s">
        <v>1633</v>
      </c>
      <c r="B262" s="529"/>
      <c r="C262" s="529"/>
      <c r="D262" s="529"/>
      <c r="E262" s="529"/>
      <c r="F262" s="529"/>
      <c r="G262" s="529"/>
      <c r="H262" s="14"/>
      <c r="I262" s="529"/>
    </row>
    <row r="263" spans="1:9">
      <c r="A263" s="14" t="s">
        <v>1634</v>
      </c>
      <c r="B263" s="529"/>
      <c r="C263" s="529"/>
      <c r="D263" s="529"/>
      <c r="E263" s="529"/>
      <c r="F263" s="529"/>
      <c r="G263" s="529"/>
      <c r="H263" s="14"/>
      <c r="I263" s="529"/>
    </row>
    <row r="264" spans="1:9">
      <c r="A264" s="14"/>
      <c r="B264" s="529"/>
      <c r="C264" s="529"/>
      <c r="D264" s="529"/>
      <c r="E264" s="529"/>
      <c r="F264" s="529"/>
      <c r="G264" s="529"/>
      <c r="H264" s="14"/>
      <c r="I264" s="529"/>
    </row>
    <row r="265" spans="1:9">
      <c r="A265" s="661" t="s">
        <v>2187</v>
      </c>
      <c r="B265" s="529"/>
      <c r="C265" s="529"/>
      <c r="D265" s="529"/>
      <c r="E265" s="529"/>
      <c r="F265" s="529"/>
      <c r="G265" s="529"/>
      <c r="H265" s="14"/>
      <c r="I265" s="529"/>
    </row>
    <row r="266" spans="1:9">
      <c r="A266" s="14"/>
      <c r="B266" s="529"/>
      <c r="C266" s="529"/>
      <c r="D266" s="529"/>
      <c r="E266" s="529"/>
      <c r="F266" s="529"/>
      <c r="G266" s="529"/>
      <c r="H266" s="14"/>
      <c r="I266" s="529"/>
    </row>
    <row r="267" spans="1:9">
      <c r="B267" s="972" t="s">
        <v>505</v>
      </c>
      <c r="C267" s="973"/>
      <c r="D267" s="972" t="s">
        <v>506</v>
      </c>
      <c r="E267" s="973"/>
      <c r="F267" s="972" t="s">
        <v>507</v>
      </c>
      <c r="G267" s="973"/>
      <c r="H267" s="972" t="s">
        <v>508</v>
      </c>
      <c r="I267" s="973"/>
    </row>
    <row r="268" spans="1:9">
      <c r="A268" s="204" t="s">
        <v>1623</v>
      </c>
      <c r="B268" s="85">
        <v>6000</v>
      </c>
      <c r="C268" s="100" t="s">
        <v>443</v>
      </c>
      <c r="D268" s="85">
        <v>4800</v>
      </c>
      <c r="E268" s="100" t="s">
        <v>1558</v>
      </c>
      <c r="F268" s="85">
        <v>4800</v>
      </c>
      <c r="G268" s="100" t="s">
        <v>1558</v>
      </c>
      <c r="H268" s="85">
        <v>4800</v>
      </c>
      <c r="I268" s="100" t="s">
        <v>1558</v>
      </c>
    </row>
    <row r="269" spans="1:9">
      <c r="A269" s="204" t="s">
        <v>510</v>
      </c>
      <c r="B269" s="708" t="s">
        <v>1009</v>
      </c>
      <c r="C269" s="346">
        <v>1680</v>
      </c>
      <c r="D269" s="706">
        <v>0.28000000000000003</v>
      </c>
      <c r="E269" s="346">
        <v>1344.0000000000002</v>
      </c>
      <c r="F269" s="706">
        <v>0.35</v>
      </c>
      <c r="G269" s="346">
        <v>1680</v>
      </c>
      <c r="H269" s="706"/>
      <c r="I269" s="707"/>
    </row>
    <row r="270" spans="1:9">
      <c r="A270" s="204" t="s">
        <v>511</v>
      </c>
      <c r="B270" s="708">
        <v>0.15</v>
      </c>
      <c r="C270" s="346">
        <v>900</v>
      </c>
      <c r="D270" s="706">
        <v>0.15</v>
      </c>
      <c r="E270" s="346">
        <v>720</v>
      </c>
      <c r="F270" s="706">
        <v>0.15</v>
      </c>
      <c r="G270" s="346">
        <v>720</v>
      </c>
      <c r="H270" s="706"/>
      <c r="I270" s="707"/>
    </row>
    <row r="271" spans="1:9">
      <c r="A271" s="204" t="s">
        <v>512</v>
      </c>
      <c r="B271" s="708">
        <v>0.43000000000000005</v>
      </c>
      <c r="C271" s="346">
        <v>2580</v>
      </c>
      <c r="D271" s="708">
        <v>0.43000000000000005</v>
      </c>
      <c r="E271" s="346">
        <v>2064</v>
      </c>
      <c r="F271" s="708">
        <v>0.5</v>
      </c>
      <c r="G271" s="346">
        <v>2400</v>
      </c>
      <c r="H271" s="706"/>
      <c r="I271" s="346">
        <v>2064</v>
      </c>
    </row>
    <row r="272" spans="1:9">
      <c r="A272" s="14"/>
      <c r="B272" s="529"/>
      <c r="C272" s="529"/>
      <c r="D272" s="529"/>
      <c r="E272" s="697" t="s">
        <v>1631</v>
      </c>
      <c r="F272" s="673">
        <v>-336</v>
      </c>
      <c r="G272" s="23" t="s">
        <v>1638</v>
      </c>
      <c r="H272" s="673">
        <v>336</v>
      </c>
      <c r="I272" s="529"/>
    </row>
    <row r="273" spans="1:9">
      <c r="A273" s="14"/>
      <c r="B273" s="529"/>
      <c r="C273" s="529"/>
      <c r="D273" s="529"/>
      <c r="E273" s="978" t="s">
        <v>1582</v>
      </c>
      <c r="F273" s="979"/>
      <c r="G273" s="23"/>
      <c r="H273" s="705">
        <v>0</v>
      </c>
      <c r="I273" s="529"/>
    </row>
    <row r="274" spans="1:9">
      <c r="A274" s="14"/>
      <c r="B274" s="529"/>
      <c r="C274" s="529"/>
      <c r="D274" s="529"/>
      <c r="E274" s="529"/>
      <c r="F274" s="529"/>
      <c r="G274" s="529"/>
      <c r="H274" s="14"/>
      <c r="I274" s="529"/>
    </row>
    <row r="275" spans="1:9">
      <c r="A275" s="1" t="s">
        <v>524</v>
      </c>
      <c r="B275" s="529"/>
      <c r="C275" s="529"/>
      <c r="D275" s="529"/>
      <c r="E275" s="529"/>
      <c r="F275" s="529"/>
      <c r="G275" s="529"/>
      <c r="H275" s="14"/>
      <c r="I275" s="529"/>
    </row>
    <row r="276" spans="1:9">
      <c r="A276" s="14" t="s">
        <v>1635</v>
      </c>
      <c r="B276" s="529"/>
      <c r="C276" s="529"/>
      <c r="D276" s="529"/>
      <c r="E276" s="529"/>
      <c r="F276" s="529"/>
      <c r="G276" s="529"/>
      <c r="H276" s="14"/>
      <c r="I276" s="529"/>
    </row>
    <row r="277" spans="1:9">
      <c r="A277" s="14" t="s">
        <v>1636</v>
      </c>
      <c r="B277" s="529"/>
      <c r="C277" s="529"/>
      <c r="D277" s="529"/>
      <c r="E277" s="529"/>
      <c r="F277" s="529"/>
      <c r="G277" s="529"/>
      <c r="H277" s="14"/>
      <c r="I277" s="529"/>
    </row>
    <row r="278" spans="1:9">
      <c r="A278" s="14" t="s">
        <v>1637</v>
      </c>
      <c r="B278" s="529"/>
      <c r="C278" s="529"/>
      <c r="D278" s="529"/>
      <c r="E278" s="529"/>
      <c r="F278" s="529"/>
      <c r="G278" s="529"/>
      <c r="H278" s="14"/>
      <c r="I278" s="529"/>
    </row>
    <row r="279" spans="1:9">
      <c r="A279" s="14" t="s">
        <v>1639</v>
      </c>
      <c r="B279" s="529"/>
      <c r="C279" s="529"/>
      <c r="D279" s="529"/>
      <c r="E279" s="529"/>
      <c r="F279" s="529"/>
      <c r="G279" s="529"/>
      <c r="H279" s="14"/>
      <c r="I279" s="529"/>
    </row>
    <row r="280" spans="1:9">
      <c r="A280" s="14" t="s">
        <v>1640</v>
      </c>
      <c r="B280" s="529"/>
      <c r="C280" s="529"/>
      <c r="D280" s="529"/>
      <c r="E280" s="529"/>
      <c r="F280" s="529"/>
      <c r="G280" s="529"/>
      <c r="H280" s="14"/>
      <c r="I280" s="529"/>
    </row>
    <row r="281" spans="1:9">
      <c r="A281" s="14" t="s">
        <v>1641</v>
      </c>
      <c r="B281" s="529"/>
      <c r="C281" s="529"/>
      <c r="D281" s="529"/>
      <c r="E281" s="529"/>
      <c r="F281" s="529"/>
      <c r="G281" s="529"/>
      <c r="H281" s="14"/>
      <c r="I281" s="529"/>
    </row>
    <row r="282" spans="1:9">
      <c r="A282" s="14"/>
      <c r="B282" s="529"/>
      <c r="C282" s="529"/>
      <c r="D282" s="529"/>
      <c r="E282" s="529"/>
      <c r="F282" s="529"/>
      <c r="G282" s="529"/>
      <c r="H282" s="14"/>
      <c r="I282" s="529"/>
    </row>
    <row r="283" spans="1:9">
      <c r="A283" s="1" t="s">
        <v>2188</v>
      </c>
    </row>
    <row r="284" spans="1:9">
      <c r="A284" s="397" t="s">
        <v>1440</v>
      </c>
    </row>
    <row r="286" spans="1:9">
      <c r="A286" s="2" t="s">
        <v>1441</v>
      </c>
    </row>
    <row r="288" spans="1:9">
      <c r="A288" s="2" t="s">
        <v>1442</v>
      </c>
      <c r="C288" s="43">
        <v>1500</v>
      </c>
      <c r="D288" s="2" t="s">
        <v>1443</v>
      </c>
    </row>
    <row r="289" spans="1:5">
      <c r="A289" s="2" t="s">
        <v>1444</v>
      </c>
      <c r="C289" s="43">
        <v>100</v>
      </c>
    </row>
    <row r="290" spans="1:5">
      <c r="A290" s="2" t="s">
        <v>1445</v>
      </c>
      <c r="C290" s="43">
        <v>2000</v>
      </c>
      <c r="D290" s="2" t="s">
        <v>1443</v>
      </c>
    </row>
    <row r="291" spans="1:5">
      <c r="A291" s="2" t="s">
        <v>1446</v>
      </c>
      <c r="C291" s="43">
        <v>2500</v>
      </c>
    </row>
    <row r="292" spans="1:5">
      <c r="A292" s="2" t="s">
        <v>1447</v>
      </c>
      <c r="C292" s="43">
        <v>224</v>
      </c>
      <c r="D292" s="2" t="s">
        <v>1443</v>
      </c>
    </row>
    <row r="293" spans="1:5">
      <c r="A293" s="2" t="s">
        <v>1448</v>
      </c>
      <c r="C293" s="43">
        <v>230</v>
      </c>
    </row>
    <row r="294" spans="1:5">
      <c r="A294" s="2" t="s">
        <v>1449</v>
      </c>
      <c r="C294" s="43">
        <v>750</v>
      </c>
    </row>
    <row r="295" spans="1:5">
      <c r="A295" s="2" t="s">
        <v>1450</v>
      </c>
      <c r="C295" s="43">
        <v>500</v>
      </c>
    </row>
    <row r="296" spans="1:5">
      <c r="A296" s="2" t="s">
        <v>1451</v>
      </c>
      <c r="C296" s="43">
        <v>680</v>
      </c>
    </row>
    <row r="297" spans="1:5">
      <c r="A297" s="2" t="s">
        <v>1452</v>
      </c>
      <c r="C297" s="43">
        <v>975</v>
      </c>
    </row>
    <row r="298" spans="1:5" ht="13.5" thickBot="1">
      <c r="A298" s="2" t="s">
        <v>1453</v>
      </c>
      <c r="C298" s="514">
        <v>300</v>
      </c>
    </row>
    <row r="299" spans="1:5">
      <c r="A299" s="2" t="s">
        <v>1454</v>
      </c>
      <c r="C299" s="43">
        <v>9759</v>
      </c>
    </row>
    <row r="300" spans="1:5" ht="15" customHeight="1"/>
    <row r="301" spans="1:5">
      <c r="A301" s="397" t="s">
        <v>1455</v>
      </c>
    </row>
    <row r="302" spans="1:5">
      <c r="A302" s="397" t="s">
        <v>1456</v>
      </c>
    </row>
    <row r="304" spans="1:5">
      <c r="A304" s="2" t="s">
        <v>1457</v>
      </c>
      <c r="E304" s="61" t="s">
        <v>1458</v>
      </c>
    </row>
    <row r="305" spans="1:5">
      <c r="A305" s="663" t="s">
        <v>1459</v>
      </c>
      <c r="D305" s="339">
        <v>100</v>
      </c>
      <c r="E305" s="941" t="s">
        <v>1460</v>
      </c>
    </row>
    <row r="306" spans="1:5" ht="13.5" thickBot="1">
      <c r="A306" s="663" t="s">
        <v>1448</v>
      </c>
      <c r="D306" s="662">
        <v>230</v>
      </c>
      <c r="E306" s="941"/>
    </row>
    <row r="307" spans="1:5">
      <c r="A307" s="663" t="s">
        <v>606</v>
      </c>
      <c r="D307" s="339">
        <v>330</v>
      </c>
      <c r="E307" s="941"/>
    </row>
    <row r="309" spans="1:5">
      <c r="A309" s="2" t="s">
        <v>1446</v>
      </c>
    </row>
    <row r="310" spans="1:5">
      <c r="A310" s="663" t="s">
        <v>1446</v>
      </c>
      <c r="D310" s="339">
        <v>2500</v>
      </c>
      <c r="E310" s="2" t="s">
        <v>1461</v>
      </c>
    </row>
    <row r="312" spans="1:5">
      <c r="A312" s="2" t="s">
        <v>1462</v>
      </c>
    </row>
    <row r="313" spans="1:5">
      <c r="A313" s="663" t="s">
        <v>1449</v>
      </c>
      <c r="D313" s="339">
        <v>750</v>
      </c>
      <c r="E313" s="941" t="s">
        <v>1466</v>
      </c>
    </row>
    <row r="314" spans="1:5" ht="13.5" thickBot="1">
      <c r="A314" s="663" t="s">
        <v>1451</v>
      </c>
      <c r="D314" s="662">
        <v>680</v>
      </c>
      <c r="E314" s="941"/>
    </row>
    <row r="315" spans="1:5">
      <c r="A315" s="663" t="s">
        <v>606</v>
      </c>
      <c r="D315" s="339">
        <v>1430</v>
      </c>
      <c r="E315" s="941"/>
    </row>
    <row r="316" spans="1:5">
      <c r="A316" s="2" t="s">
        <v>1463</v>
      </c>
    </row>
    <row r="317" spans="1:5">
      <c r="A317" s="663" t="s">
        <v>1450</v>
      </c>
      <c r="D317" s="339">
        <v>500</v>
      </c>
      <c r="E317" s="941" t="s">
        <v>1351</v>
      </c>
    </row>
    <row r="318" spans="1:5" ht="13.5" thickBot="1">
      <c r="A318" s="663" t="s">
        <v>1453</v>
      </c>
      <c r="D318" s="662">
        <v>300</v>
      </c>
      <c r="E318" s="941"/>
    </row>
    <row r="319" spans="1:5">
      <c r="A319" s="663" t="s">
        <v>606</v>
      </c>
      <c r="D319" s="339">
        <v>800</v>
      </c>
      <c r="E319" s="941"/>
    </row>
    <row r="321" spans="1:5">
      <c r="A321" s="2" t="s">
        <v>1452</v>
      </c>
    </row>
    <row r="322" spans="1:5">
      <c r="A322" s="663" t="s">
        <v>1452</v>
      </c>
      <c r="D322" s="339">
        <v>975</v>
      </c>
      <c r="E322" s="2" t="s">
        <v>1464</v>
      </c>
    </row>
    <row r="324" spans="1:5">
      <c r="A324" s="2" t="s">
        <v>1465</v>
      </c>
      <c r="D324" s="339">
        <v>6035</v>
      </c>
    </row>
    <row r="326" spans="1:5">
      <c r="A326" s="397" t="s">
        <v>1467</v>
      </c>
    </row>
    <row r="328" spans="1:5">
      <c r="A328" s="2" t="s">
        <v>1457</v>
      </c>
      <c r="C328" s="943" t="s">
        <v>1468</v>
      </c>
      <c r="D328" s="943"/>
    </row>
    <row r="330" spans="1:5">
      <c r="A330" s="980">
        <v>330</v>
      </c>
      <c r="B330" s="980"/>
      <c r="C330" s="664">
        <v>0.52</v>
      </c>
      <c r="D330" s="2" t="s">
        <v>1469</v>
      </c>
    </row>
    <row r="331" spans="1:5">
      <c r="A331" s="943" t="s">
        <v>1470</v>
      </c>
      <c r="B331" s="943"/>
    </row>
    <row r="333" spans="1:5">
      <c r="A333" s="2" t="s">
        <v>1475</v>
      </c>
    </row>
    <row r="335" spans="1:5" ht="14.25">
      <c r="A335" s="665">
        <v>2500</v>
      </c>
      <c r="C335" s="664">
        <v>26.32</v>
      </c>
      <c r="D335" s="2" t="s">
        <v>1557</v>
      </c>
    </row>
    <row r="336" spans="1:5" ht="14.25">
      <c r="A336" s="604" t="s">
        <v>1556</v>
      </c>
    </row>
    <row r="338" spans="1:4">
      <c r="A338" s="2" t="s">
        <v>1462</v>
      </c>
    </row>
    <row r="340" spans="1:4">
      <c r="A340" s="980">
        <v>1430</v>
      </c>
      <c r="B340" s="980"/>
      <c r="C340" s="664">
        <v>0.48</v>
      </c>
      <c r="D340" s="2" t="s">
        <v>1471</v>
      </c>
    </row>
    <row r="341" spans="1:4">
      <c r="A341" s="943" t="s">
        <v>1472</v>
      </c>
      <c r="B341" s="943"/>
    </row>
    <row r="343" spans="1:4">
      <c r="A343" s="2" t="s">
        <v>1463</v>
      </c>
    </row>
    <row r="345" spans="1:4">
      <c r="A345" s="980">
        <v>800</v>
      </c>
      <c r="B345" s="980"/>
      <c r="C345" s="664">
        <v>5.67</v>
      </c>
      <c r="D345" s="2" t="s">
        <v>1473</v>
      </c>
    </row>
    <row r="346" spans="1:4">
      <c r="A346" s="943" t="s">
        <v>1474</v>
      </c>
      <c r="B346" s="943"/>
    </row>
    <row r="348" spans="1:4">
      <c r="A348" s="666" t="s">
        <v>1452</v>
      </c>
    </row>
    <row r="349" spans="1:4">
      <c r="A349" s="2" t="s">
        <v>1476</v>
      </c>
    </row>
    <row r="351" spans="1:4">
      <c r="A351" s="2" t="s">
        <v>1477</v>
      </c>
    </row>
    <row r="368" spans="1:1">
      <c r="A368" s="2" t="s">
        <v>1478</v>
      </c>
    </row>
    <row r="370" spans="1:6">
      <c r="A370" s="2" t="s">
        <v>1479</v>
      </c>
      <c r="C370" s="667">
        <v>6035</v>
      </c>
    </row>
    <row r="372" spans="1:6">
      <c r="A372" s="2" t="s">
        <v>1490</v>
      </c>
    </row>
    <row r="374" spans="1:6">
      <c r="A374" s="2" t="s">
        <v>1480</v>
      </c>
      <c r="B374" s="2" t="s">
        <v>1481</v>
      </c>
    </row>
    <row r="375" spans="1:6">
      <c r="B375" s="2" t="s">
        <v>1488</v>
      </c>
      <c r="D375" s="664">
        <v>165</v>
      </c>
      <c r="E375" s="2" t="s">
        <v>1482</v>
      </c>
    </row>
    <row r="377" spans="1:6">
      <c r="A377" s="2" t="s">
        <v>1483</v>
      </c>
      <c r="B377" s="2" t="s">
        <v>1484</v>
      </c>
    </row>
    <row r="378" spans="1:6">
      <c r="B378" s="2" t="s">
        <v>1489</v>
      </c>
      <c r="D378" s="664">
        <v>540</v>
      </c>
      <c r="E378" s="2" t="s">
        <v>1482</v>
      </c>
    </row>
    <row r="379" spans="1:6">
      <c r="D379" s="46"/>
    </row>
    <row r="380" spans="1:6">
      <c r="A380" s="2" t="s">
        <v>606</v>
      </c>
      <c r="D380" s="664">
        <v>705</v>
      </c>
      <c r="E380" s="2" t="s">
        <v>1482</v>
      </c>
    </row>
    <row r="383" spans="1:6">
      <c r="A383" s="2" t="s">
        <v>1485</v>
      </c>
      <c r="B383" s="980">
        <v>6035</v>
      </c>
      <c r="C383" s="980"/>
      <c r="D383" s="604" t="s">
        <v>1164</v>
      </c>
      <c r="E383" s="49">
        <v>8.56</v>
      </c>
      <c r="F383" s="2" t="s">
        <v>1486</v>
      </c>
    </row>
    <row r="384" spans="1:6">
      <c r="B384" s="668">
        <v>705</v>
      </c>
      <c r="C384" s="2" t="s">
        <v>1487</v>
      </c>
    </row>
    <row r="395" spans="1:6" ht="13.5" thickBot="1"/>
    <row r="396" spans="1:6" ht="13.5" thickBot="1">
      <c r="A396" s="833" t="s">
        <v>2094</v>
      </c>
      <c r="B396" s="51"/>
      <c r="C396" s="51"/>
      <c r="D396" s="13"/>
      <c r="E396" s="13"/>
    </row>
    <row r="397" spans="1:6">
      <c r="A397" s="1" t="s">
        <v>2095</v>
      </c>
      <c r="C397" s="2" t="s">
        <v>2096</v>
      </c>
      <c r="F397" s="2" t="s">
        <v>2097</v>
      </c>
    </row>
    <row r="398" spans="1:6" ht="13.5" thickBot="1">
      <c r="A398" s="1"/>
      <c r="C398" s="2" t="s">
        <v>2098</v>
      </c>
      <c r="F398" s="149" t="s">
        <v>2099</v>
      </c>
    </row>
    <row r="399" spans="1:6" ht="13.5" thickBot="1">
      <c r="A399" s="1"/>
      <c r="C399" s="833" t="s">
        <v>2100</v>
      </c>
      <c r="D399" s="834"/>
      <c r="E399" s="834"/>
      <c r="F399" s="835" t="s">
        <v>2101</v>
      </c>
    </row>
    <row r="400" spans="1:6" ht="13.5" thickBot="1">
      <c r="A400" s="1"/>
    </row>
    <row r="401" spans="1:6" ht="13.5" thickBot="1">
      <c r="A401" s="1" t="s">
        <v>2102</v>
      </c>
      <c r="C401" s="2" t="s">
        <v>2103</v>
      </c>
      <c r="D401" s="836" t="s">
        <v>2104</v>
      </c>
    </row>
    <row r="402" spans="1:6" ht="13.5" thickBot="1">
      <c r="A402" s="1"/>
    </row>
    <row r="403" spans="1:6" ht="13.5" thickBot="1">
      <c r="A403" s="15" t="s">
        <v>2105</v>
      </c>
      <c r="B403" s="51"/>
      <c r="C403" s="970" t="s">
        <v>2106</v>
      </c>
      <c r="D403" s="971"/>
      <c r="E403" s="970" t="s">
        <v>2107</v>
      </c>
      <c r="F403" s="971"/>
    </row>
    <row r="404" spans="1:6">
      <c r="A404" s="837"/>
      <c r="B404" s="838"/>
      <c r="C404" s="837"/>
      <c r="D404" s="838"/>
      <c r="E404" s="14"/>
      <c r="F404" s="839"/>
    </row>
    <row r="405" spans="1:6">
      <c r="A405" s="840" t="s">
        <v>2108</v>
      </c>
      <c r="B405" s="839"/>
      <c r="C405" s="841"/>
      <c r="D405" s="842" t="s">
        <v>2109</v>
      </c>
      <c r="E405" s="670"/>
      <c r="F405" s="842" t="s">
        <v>2110</v>
      </c>
    </row>
    <row r="406" spans="1:6">
      <c r="A406" s="843" t="s">
        <v>2111</v>
      </c>
      <c r="B406" s="844"/>
      <c r="C406" s="841" t="s">
        <v>2112</v>
      </c>
      <c r="D406" s="842" t="s">
        <v>2113</v>
      </c>
      <c r="E406" s="14" t="s">
        <v>2114</v>
      </c>
      <c r="F406" s="842" t="s">
        <v>2115</v>
      </c>
    </row>
    <row r="407" spans="1:6" ht="13.5" thickBot="1">
      <c r="A407" s="845" t="s">
        <v>2116</v>
      </c>
      <c r="B407" s="846"/>
      <c r="C407" s="471"/>
      <c r="D407" s="847" t="s">
        <v>2117</v>
      </c>
      <c r="E407" s="784"/>
      <c r="F407" s="847" t="s">
        <v>2118</v>
      </c>
    </row>
    <row r="409" spans="1:6">
      <c r="A409" s="1" t="s">
        <v>2189</v>
      </c>
    </row>
    <row r="411" spans="1:6">
      <c r="A411" s="149" t="s">
        <v>1655</v>
      </c>
    </row>
    <row r="412" spans="1:6">
      <c r="A412" s="149"/>
    </row>
    <row r="413" spans="1:6">
      <c r="A413" s="2" t="s">
        <v>378</v>
      </c>
    </row>
    <row r="414" spans="1:6">
      <c r="A414" s="2" t="s">
        <v>1646</v>
      </c>
      <c r="B414" s="49">
        <v>25000</v>
      </c>
    </row>
    <row r="415" spans="1:6">
      <c r="A415" s="2" t="s">
        <v>1642</v>
      </c>
      <c r="B415" s="49">
        <v>55000</v>
      </c>
      <c r="D415" s="17">
        <v>3125</v>
      </c>
    </row>
    <row r="416" spans="1:6" ht="13.5" thickBot="1">
      <c r="A416" s="2" t="s">
        <v>1643</v>
      </c>
      <c r="B416" s="709">
        <v>5500</v>
      </c>
      <c r="D416" s="20">
        <v>4000</v>
      </c>
    </row>
    <row r="417" spans="1:7" ht="13.5" thickBot="1">
      <c r="B417" s="348">
        <f>B414+B415+B416</f>
        <v>85500</v>
      </c>
      <c r="C417" s="830" t="s">
        <v>1644</v>
      </c>
      <c r="D417" s="711">
        <v>7125</v>
      </c>
      <c r="F417" s="710">
        <f>B417/D417</f>
        <v>12</v>
      </c>
      <c r="G417" s="13" t="s">
        <v>1645</v>
      </c>
    </row>
    <row r="419" spans="1:7">
      <c r="A419" s="2" t="s">
        <v>1647</v>
      </c>
    </row>
    <row r="420" spans="1:7">
      <c r="B420" s="49">
        <v>34000</v>
      </c>
      <c r="D420" s="2">
        <v>100</v>
      </c>
    </row>
    <row r="421" spans="1:7" ht="13.5" thickBot="1">
      <c r="B421" s="709">
        <v>28000</v>
      </c>
      <c r="D421" s="46">
        <v>148</v>
      </c>
    </row>
    <row r="422" spans="1:7" ht="13.5" thickBot="1">
      <c r="B422" s="49">
        <f>SUM(B420:B421)</f>
        <v>62000</v>
      </c>
      <c r="C422" s="695" t="s">
        <v>1648</v>
      </c>
      <c r="D422" s="2">
        <f>SUM(D420:D421)</f>
        <v>248</v>
      </c>
      <c r="F422" s="712">
        <f>B422/D422</f>
        <v>250</v>
      </c>
      <c r="G422" s="13" t="s">
        <v>1649</v>
      </c>
    </row>
    <row r="424" spans="1:7">
      <c r="A424" s="2" t="s">
        <v>1650</v>
      </c>
      <c r="D424" s="2">
        <v>100</v>
      </c>
    </row>
    <row r="425" spans="1:7" ht="13.5" thickBot="1">
      <c r="D425" s="46">
        <v>150</v>
      </c>
    </row>
    <row r="426" spans="1:7" ht="13.5" thickBot="1">
      <c r="A426" s="2" t="s">
        <v>1651</v>
      </c>
      <c r="B426" s="49">
        <v>30000</v>
      </c>
      <c r="C426" s="695" t="s">
        <v>1653</v>
      </c>
      <c r="D426" s="2">
        <f>D424+D425</f>
        <v>250</v>
      </c>
      <c r="F426" s="710">
        <f>B426/D426</f>
        <v>120</v>
      </c>
      <c r="G426" s="13" t="s">
        <v>1652</v>
      </c>
    </row>
    <row r="429" spans="1:7">
      <c r="A429" s="149" t="s">
        <v>1654</v>
      </c>
    </row>
    <row r="431" spans="1:7" ht="26.25" thickBot="1">
      <c r="A431" s="2" t="s">
        <v>1656</v>
      </c>
      <c r="D431" s="713" t="s">
        <v>1658</v>
      </c>
      <c r="E431" s="713" t="s">
        <v>1659</v>
      </c>
    </row>
    <row r="432" spans="1:7">
      <c r="A432" s="695" t="s">
        <v>62</v>
      </c>
      <c r="B432" s="695" t="s">
        <v>1657</v>
      </c>
    </row>
    <row r="433" spans="1:5">
      <c r="A433" s="30">
        <v>100000</v>
      </c>
      <c r="B433" s="695">
        <v>600</v>
      </c>
      <c r="D433" s="49">
        <f>A433/B433</f>
        <v>166.66666666666666</v>
      </c>
    </row>
    <row r="434" spans="1:5">
      <c r="A434" s="30">
        <v>130000</v>
      </c>
      <c r="B434" s="695">
        <v>400</v>
      </c>
      <c r="E434" s="49">
        <f>A434/B434</f>
        <v>325</v>
      </c>
    </row>
    <row r="436" spans="1:5">
      <c r="A436" s="2" t="s">
        <v>1650</v>
      </c>
    </row>
    <row r="437" spans="1:5">
      <c r="A437" s="695" t="s">
        <v>1660</v>
      </c>
      <c r="B437" s="695" t="s">
        <v>1653</v>
      </c>
      <c r="C437" s="695" t="s">
        <v>1657</v>
      </c>
    </row>
    <row r="438" spans="1:5">
      <c r="A438" s="695">
        <v>200</v>
      </c>
      <c r="B438" s="695">
        <v>100</v>
      </c>
      <c r="C438" s="695">
        <v>600</v>
      </c>
      <c r="D438" s="49">
        <f>A438*B438/C438</f>
        <v>33.333333333333336</v>
      </c>
    </row>
    <row r="439" spans="1:5">
      <c r="A439" s="695">
        <v>200</v>
      </c>
      <c r="B439" s="695">
        <v>50</v>
      </c>
      <c r="C439" s="695">
        <v>400</v>
      </c>
      <c r="E439" s="49">
        <f>A439*B439/C439</f>
        <v>25</v>
      </c>
    </row>
    <row r="441" spans="1:5">
      <c r="A441" s="2" t="s">
        <v>378</v>
      </c>
    </row>
    <row r="442" spans="1:5">
      <c r="A442" s="695" t="s">
        <v>1661</v>
      </c>
      <c r="B442" s="695" t="s">
        <v>443</v>
      </c>
      <c r="C442" s="695" t="s">
        <v>1657</v>
      </c>
    </row>
    <row r="443" spans="1:5">
      <c r="A443" s="695">
        <v>12</v>
      </c>
      <c r="B443" s="695">
        <v>3125</v>
      </c>
      <c r="C443" s="695">
        <v>600</v>
      </c>
      <c r="D443" s="49">
        <f>A443*B443/C443</f>
        <v>62.5</v>
      </c>
    </row>
    <row r="444" spans="1:5">
      <c r="A444" s="695">
        <v>12</v>
      </c>
      <c r="B444" s="695">
        <v>4000</v>
      </c>
      <c r="C444" s="695">
        <v>400</v>
      </c>
      <c r="E444" s="49">
        <f>A444*B444/C444</f>
        <v>120</v>
      </c>
    </row>
    <row r="446" spans="1:5">
      <c r="A446" s="2" t="s">
        <v>1647</v>
      </c>
    </row>
    <row r="447" spans="1:5">
      <c r="A447" s="695" t="s">
        <v>1662</v>
      </c>
      <c r="B447" s="695" t="s">
        <v>1648</v>
      </c>
      <c r="C447" s="695" t="s">
        <v>1663</v>
      </c>
    </row>
    <row r="448" spans="1:5">
      <c r="A448" s="695">
        <v>250</v>
      </c>
      <c r="B448" s="695">
        <v>100</v>
      </c>
      <c r="C448" s="695">
        <v>600</v>
      </c>
      <c r="D448" s="49">
        <f>A448*B448/C448</f>
        <v>41.666666666666664</v>
      </c>
    </row>
    <row r="449" spans="1:5">
      <c r="A449" s="695">
        <v>250</v>
      </c>
      <c r="B449" s="695">
        <v>148</v>
      </c>
      <c r="C449" s="695">
        <v>400</v>
      </c>
      <c r="E449" s="49">
        <f>A449*B449/C449</f>
        <v>92.5</v>
      </c>
    </row>
    <row r="451" spans="1:5" ht="13.5" thickBot="1">
      <c r="C451" s="28" t="s">
        <v>677</v>
      </c>
      <c r="D451" s="527">
        <f>D433+D438+D443+D448</f>
        <v>304.16666666666669</v>
      </c>
      <c r="E451" s="527">
        <f>E434+E439+E444+E449</f>
        <v>562.5</v>
      </c>
    </row>
    <row r="453" spans="1:5">
      <c r="A453" s="2" t="s">
        <v>1664</v>
      </c>
    </row>
    <row r="455" spans="1:5">
      <c r="A455" s="2" t="s">
        <v>1671</v>
      </c>
    </row>
    <row r="456" spans="1:5">
      <c r="A456" s="2" t="s">
        <v>1665</v>
      </c>
      <c r="C456" s="43">
        <v>30000</v>
      </c>
    </row>
    <row r="457" spans="1:5">
      <c r="A457" s="2" t="s">
        <v>1666</v>
      </c>
      <c r="C457" s="43">
        <v>25000</v>
      </c>
    </row>
    <row r="458" spans="1:5">
      <c r="A458" s="2" t="s">
        <v>1667</v>
      </c>
      <c r="C458" s="43">
        <v>34000</v>
      </c>
    </row>
    <row r="459" spans="1:5">
      <c r="A459" s="2" t="s">
        <v>1668</v>
      </c>
      <c r="C459" s="43">
        <v>55000</v>
      </c>
    </row>
    <row r="460" spans="1:5">
      <c r="A460" s="2" t="s">
        <v>1669</v>
      </c>
      <c r="C460" s="43">
        <v>5500</v>
      </c>
    </row>
    <row r="461" spans="1:5">
      <c r="A461" s="2" t="s">
        <v>1670</v>
      </c>
      <c r="C461" s="84">
        <v>28000</v>
      </c>
    </row>
    <row r="462" spans="1:5">
      <c r="C462" s="43">
        <v>177500</v>
      </c>
    </row>
    <row r="464" spans="1:5">
      <c r="A464" s="2" t="s">
        <v>1672</v>
      </c>
    </row>
    <row r="465" spans="1:6">
      <c r="A465" s="2" t="s">
        <v>1673</v>
      </c>
      <c r="B465" s="17">
        <v>3125</v>
      </c>
    </row>
    <row r="466" spans="1:6">
      <c r="A466" s="2" t="s">
        <v>1674</v>
      </c>
      <c r="B466" s="20">
        <v>4000</v>
      </c>
    </row>
    <row r="467" spans="1:6">
      <c r="B467" s="17">
        <v>7125</v>
      </c>
    </row>
    <row r="469" spans="1:6">
      <c r="A469" s="2" t="s">
        <v>1675</v>
      </c>
      <c r="B469" s="714">
        <f>C462</f>
        <v>177500</v>
      </c>
      <c r="C469" s="361">
        <f>B469/B470</f>
        <v>24.912280701754387</v>
      </c>
      <c r="D469" s="2" t="s">
        <v>1661</v>
      </c>
    </row>
    <row r="470" spans="1:6">
      <c r="B470" s="30">
        <f>B467</f>
        <v>7125</v>
      </c>
    </row>
    <row r="472" spans="1:6" ht="26.25" thickBot="1">
      <c r="E472" s="713" t="s">
        <v>1658</v>
      </c>
      <c r="F472" s="713" t="s">
        <v>1659</v>
      </c>
    </row>
    <row r="473" spans="1:6">
      <c r="A473" s="2" t="s">
        <v>1104</v>
      </c>
    </row>
    <row r="474" spans="1:6">
      <c r="A474" s="695" t="s">
        <v>62</v>
      </c>
      <c r="B474" s="695" t="s">
        <v>1657</v>
      </c>
    </row>
    <row r="475" spans="1:6">
      <c r="A475" s="2">
        <v>100000</v>
      </c>
      <c r="B475" s="2">
        <v>600</v>
      </c>
      <c r="E475" s="49">
        <f>A475/B475</f>
        <v>166.66666666666666</v>
      </c>
      <c r="F475" s="49"/>
    </row>
    <row r="476" spans="1:6">
      <c r="A476" s="2">
        <v>130000</v>
      </c>
      <c r="B476" s="2">
        <v>400</v>
      </c>
      <c r="E476" s="49"/>
      <c r="F476" s="49">
        <f>A476/B476</f>
        <v>325</v>
      </c>
    </row>
    <row r="478" spans="1:6">
      <c r="A478" s="2" t="s">
        <v>1676</v>
      </c>
    </row>
    <row r="479" spans="1:6">
      <c r="A479" s="695" t="s">
        <v>1661</v>
      </c>
      <c r="B479" s="695" t="s">
        <v>443</v>
      </c>
      <c r="C479" s="695" t="s">
        <v>1663</v>
      </c>
      <c r="D479" s="695" t="s">
        <v>1677</v>
      </c>
    </row>
    <row r="480" spans="1:6">
      <c r="A480" s="47">
        <f>C469</f>
        <v>24.912280701754387</v>
      </c>
      <c r="B480" s="695">
        <v>3125</v>
      </c>
      <c r="C480" s="695">
        <v>600</v>
      </c>
      <c r="D480" s="47">
        <f>B480/C480</f>
        <v>5.208333333333333</v>
      </c>
      <c r="E480" s="49">
        <f>D480*A480</f>
        <v>129.7514619883041</v>
      </c>
      <c r="F480" s="49"/>
    </row>
    <row r="481" spans="1:6">
      <c r="A481" s="47">
        <f>C469</f>
        <v>24.912280701754387</v>
      </c>
      <c r="B481" s="695">
        <v>4000</v>
      </c>
      <c r="C481" s="695">
        <v>400</v>
      </c>
      <c r="D481" s="47">
        <f>B481/C481</f>
        <v>10</v>
      </c>
      <c r="E481" s="49"/>
      <c r="F481" s="49">
        <f>A481*D481</f>
        <v>249.12280701754386</v>
      </c>
    </row>
    <row r="483" spans="1:6" ht="13.5" thickBot="1">
      <c r="D483" s="28" t="s">
        <v>677</v>
      </c>
      <c r="E483" s="715">
        <f>E475+E480</f>
        <v>296.41812865497076</v>
      </c>
      <c r="F483" s="715">
        <f>F476+F481</f>
        <v>574.12280701754389</v>
      </c>
    </row>
    <row r="485" spans="1:6">
      <c r="A485" s="2" t="s">
        <v>1678</v>
      </c>
    </row>
    <row r="486" spans="1:6">
      <c r="A486" s="2" t="s">
        <v>1679</v>
      </c>
      <c r="B486" s="2">
        <v>600</v>
      </c>
      <c r="C486" s="54">
        <f>E480</f>
        <v>129.7514619883041</v>
      </c>
      <c r="D486" s="54">
        <f>B486*C486</f>
        <v>77850.877192982458</v>
      </c>
    </row>
    <row r="488" spans="1:6">
      <c r="A488" s="2" t="s">
        <v>1680</v>
      </c>
      <c r="B488" s="2">
        <v>400</v>
      </c>
      <c r="C488" s="54">
        <f>F481</f>
        <v>249.12280701754386</v>
      </c>
      <c r="D488" s="54">
        <f>B488*C488</f>
        <v>99649.122807017542</v>
      </c>
    </row>
    <row r="489" spans="1:6">
      <c r="D489" s="58">
        <f>D486+D488</f>
        <v>177500</v>
      </c>
    </row>
  </sheetData>
  <mergeCells count="54">
    <mergeCell ref="A1:M1"/>
    <mergeCell ref="H249:I249"/>
    <mergeCell ref="B267:C267"/>
    <mergeCell ref="D267:E267"/>
    <mergeCell ref="F267:G267"/>
    <mergeCell ref="H267:I267"/>
    <mergeCell ref="B190:C190"/>
    <mergeCell ref="D190:E190"/>
    <mergeCell ref="F190:G190"/>
    <mergeCell ref="H190:I190"/>
    <mergeCell ref="A97:C97"/>
    <mergeCell ref="F97:H97"/>
    <mergeCell ref="A121:B121"/>
    <mergeCell ref="A120:B120"/>
    <mergeCell ref="A119:B119"/>
    <mergeCell ref="A118:B118"/>
    <mergeCell ref="A345:B345"/>
    <mergeCell ref="A346:B346"/>
    <mergeCell ref="E255:F255"/>
    <mergeCell ref="B249:C249"/>
    <mergeCell ref="D249:E249"/>
    <mergeCell ref="F249:G249"/>
    <mergeCell ref="E273:F273"/>
    <mergeCell ref="K115:O115"/>
    <mergeCell ref="K116:O116"/>
    <mergeCell ref="A117:B117"/>
    <mergeCell ref="A131:A132"/>
    <mergeCell ref="A341:B341"/>
    <mergeCell ref="H232:I232"/>
    <mergeCell ref="H210:I210"/>
    <mergeCell ref="B232:C232"/>
    <mergeCell ref="A139:A140"/>
    <mergeCell ref="A123:B123"/>
    <mergeCell ref="B210:C210"/>
    <mergeCell ref="D210:E210"/>
    <mergeCell ref="F210:G210"/>
    <mergeCell ref="E216:F216"/>
    <mergeCell ref="A143:A144"/>
    <mergeCell ref="C403:D403"/>
    <mergeCell ref="E403:F403"/>
    <mergeCell ref="A18:C18"/>
    <mergeCell ref="E196:F196"/>
    <mergeCell ref="D232:E232"/>
    <mergeCell ref="F232:G232"/>
    <mergeCell ref="A122:B122"/>
    <mergeCell ref="E238:F238"/>
    <mergeCell ref="A330:B330"/>
    <mergeCell ref="C328:D328"/>
    <mergeCell ref="E317:E319"/>
    <mergeCell ref="E313:E315"/>
    <mergeCell ref="E305:E307"/>
    <mergeCell ref="B383:C383"/>
    <mergeCell ref="A331:B331"/>
    <mergeCell ref="A340:B340"/>
  </mergeCells>
  <pageMargins left="0.70866141732283472" right="0.70866141732283472" top="0.74803149606299213" bottom="0.74803149606299213" header="0.31496062992125984" footer="0.31496062992125984"/>
  <pageSetup paperSize="9" scale="62" orientation="landscape" r:id="rId1"/>
  <headerFooter>
    <oddHeader>&amp;L&amp;"+,Negrita"Resolución Guía de trabajos prácticos - Sistemas de Costos</oddHeader>
    <oddFooter>&amp;C&amp;"+,Normal"Departamento de Contabilidad e Impuestos
Universidad Argentina de la Empresa</oddFooter>
  </headerFooter>
  <rowBreaks count="10" manualBreakCount="10">
    <brk id="51" max="12" man="1"/>
    <brk id="94" max="12" man="1"/>
    <brk id="125" max="12" man="1"/>
    <brk id="187" max="12" man="1"/>
    <brk id="246" max="12" man="1"/>
    <brk id="282" max="12" man="1"/>
    <brk id="325" max="12" man="1"/>
    <brk id="367" max="12" man="1"/>
    <brk id="408" max="12" man="1"/>
    <brk id="452" max="1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53"/>
  <sheetViews>
    <sheetView showGridLines="0" view="pageBreakPreview" zoomScale="85" zoomScaleNormal="100" zoomScaleSheetLayoutView="85" workbookViewId="0">
      <selection activeCell="E34" sqref="E34"/>
    </sheetView>
  </sheetViews>
  <sheetFormatPr baseColWidth="10" defaultRowHeight="15"/>
  <cols>
    <col min="1" max="1" width="24.42578125" customWidth="1"/>
    <col min="2" max="2" width="13.140625" customWidth="1"/>
    <col min="3" max="3" width="13.7109375" customWidth="1"/>
    <col min="4" max="4" width="12.85546875" customWidth="1"/>
    <col min="5" max="5" width="15.42578125" customWidth="1"/>
    <col min="6" max="6" width="16.28515625" customWidth="1"/>
    <col min="7" max="7" width="13.140625" customWidth="1"/>
    <col min="8" max="8" width="12.42578125" bestFit="1" customWidth="1"/>
    <col min="9" max="9" width="15.5703125" customWidth="1"/>
    <col min="10" max="10" width="18.28515625" customWidth="1"/>
  </cols>
  <sheetData>
    <row r="1" spans="1:10" ht="18.75" customHeight="1">
      <c r="A1" s="1002" t="s">
        <v>1604</v>
      </c>
      <c r="B1" s="1002"/>
      <c r="C1" s="1002"/>
      <c r="D1" s="1002"/>
      <c r="E1" s="1002"/>
      <c r="F1" s="1002"/>
      <c r="G1" s="1002"/>
      <c r="H1" s="1002"/>
      <c r="I1" s="1002"/>
      <c r="J1" s="1002"/>
    </row>
    <row r="2" spans="1:10" s="511" customFormat="1" ht="12.75" customHeight="1">
      <c r="A2" s="73"/>
      <c r="B2" s="73"/>
      <c r="C2" s="73"/>
      <c r="D2" s="73"/>
      <c r="E2" s="73"/>
      <c r="F2" s="73"/>
      <c r="G2" s="73"/>
      <c r="H2" s="73"/>
      <c r="I2" s="73"/>
    </row>
    <row r="3" spans="1:10">
      <c r="A3" s="1" t="s">
        <v>2190</v>
      </c>
    </row>
    <row r="4" spans="1:10">
      <c r="A4" s="2" t="s">
        <v>542</v>
      </c>
      <c r="B4" s="2"/>
      <c r="C4" s="2"/>
      <c r="D4" s="2"/>
      <c r="E4" s="2"/>
      <c r="F4" s="2"/>
      <c r="G4" s="2"/>
      <c r="H4" s="2"/>
      <c r="I4" s="2"/>
    </row>
    <row r="5" spans="1:10">
      <c r="A5" s="2"/>
      <c r="B5" s="2"/>
      <c r="C5" s="2"/>
      <c r="D5" s="2"/>
      <c r="E5" s="2"/>
      <c r="F5" s="2"/>
      <c r="G5" s="2"/>
      <c r="H5" s="2"/>
      <c r="I5" s="2"/>
    </row>
    <row r="6" spans="1:10">
      <c r="A6" s="309" t="s">
        <v>543</v>
      </c>
      <c r="B6" s="310">
        <v>2000</v>
      </c>
      <c r="C6" s="310">
        <v>3</v>
      </c>
      <c r="D6" s="310">
        <f>B6*C6</f>
        <v>6000</v>
      </c>
      <c r="E6" s="2"/>
      <c r="F6" s="2"/>
      <c r="G6" s="2"/>
      <c r="H6" s="2"/>
      <c r="I6" s="2"/>
    </row>
    <row r="7" spans="1:10">
      <c r="A7" s="311" t="s">
        <v>544</v>
      </c>
      <c r="B7" s="310">
        <v>30000</v>
      </c>
      <c r="C7" s="310">
        <v>4</v>
      </c>
      <c r="D7" s="310">
        <f>B7*C7</f>
        <v>120000</v>
      </c>
      <c r="E7" s="2"/>
      <c r="F7" s="2"/>
      <c r="G7" s="2"/>
      <c r="H7" s="2"/>
      <c r="I7" s="2"/>
    </row>
    <row r="8" spans="1:10" ht="25.5">
      <c r="A8" s="311" t="s">
        <v>545</v>
      </c>
      <c r="B8" s="310">
        <v>-8000</v>
      </c>
      <c r="C8" s="312" t="s">
        <v>2192</v>
      </c>
      <c r="D8" s="310">
        <f>-(6000*4+2000*3)</f>
        <v>-30000</v>
      </c>
      <c r="E8" s="2"/>
      <c r="F8" s="2"/>
      <c r="G8" s="2"/>
      <c r="H8" s="2"/>
      <c r="I8" s="2"/>
    </row>
    <row r="9" spans="1:10" ht="15.75" thickBot="1">
      <c r="A9" s="313" t="s">
        <v>53</v>
      </c>
      <c r="B9" s="314">
        <f>B6+B7+B8</f>
        <v>24000</v>
      </c>
      <c r="C9" s="314">
        <v>4</v>
      </c>
      <c r="D9" s="314">
        <f>B9*C9</f>
        <v>96000</v>
      </c>
      <c r="E9" s="2"/>
      <c r="F9" s="2"/>
      <c r="G9" s="2"/>
      <c r="H9" s="2"/>
      <c r="I9" s="2"/>
    </row>
    <row r="10" spans="1:10" ht="15.75" thickTop="1">
      <c r="A10" s="2"/>
      <c r="B10" s="2"/>
      <c r="C10" s="2"/>
      <c r="D10" s="2"/>
      <c r="E10" s="2"/>
      <c r="F10" s="2"/>
      <c r="G10" s="2"/>
      <c r="H10" s="2"/>
      <c r="I10" s="2"/>
    </row>
    <row r="11" spans="1:10">
      <c r="A11" s="2" t="s">
        <v>554</v>
      </c>
      <c r="B11" s="2"/>
      <c r="C11" s="2"/>
      <c r="D11" s="2"/>
      <c r="E11" s="2"/>
      <c r="F11" s="2"/>
      <c r="G11" s="2"/>
      <c r="H11" s="2"/>
      <c r="I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</row>
    <row r="13" spans="1:10">
      <c r="A13" s="2" t="s">
        <v>546</v>
      </c>
      <c r="B13" s="2"/>
      <c r="C13" s="2"/>
      <c r="D13" s="2"/>
      <c r="E13" s="2"/>
      <c r="F13" s="2"/>
      <c r="G13" s="2"/>
      <c r="H13" s="2"/>
      <c r="I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</row>
    <row r="15" spans="1:10">
      <c r="A15" s="304" t="s">
        <v>555</v>
      </c>
      <c r="B15" s="2" t="s">
        <v>556</v>
      </c>
      <c r="C15" s="2"/>
      <c r="D15" s="2"/>
      <c r="E15" s="2"/>
      <c r="F15" s="2"/>
      <c r="G15" s="2"/>
      <c r="H15" s="2"/>
      <c r="I15" s="2"/>
    </row>
    <row r="16" spans="1:10">
      <c r="A16" s="304" t="s">
        <v>555</v>
      </c>
      <c r="B16" s="2" t="s">
        <v>557</v>
      </c>
      <c r="C16" s="2"/>
      <c r="D16" s="2"/>
      <c r="E16" s="2"/>
      <c r="F16" s="2"/>
      <c r="G16" s="2"/>
      <c r="H16" s="2"/>
      <c r="I16" s="2"/>
    </row>
    <row r="17" spans="1:9">
      <c r="A17" s="76" t="s">
        <v>555</v>
      </c>
      <c r="B17" s="318">
        <f>9000*6</f>
        <v>54000</v>
      </c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>
      <c r="A19" s="2" t="s">
        <v>547</v>
      </c>
      <c r="B19" s="2"/>
      <c r="C19" s="2"/>
      <c r="D19" s="2"/>
      <c r="E19" s="2"/>
      <c r="F19" s="2"/>
      <c r="G19" s="2"/>
      <c r="H19" s="2"/>
      <c r="I19" s="2"/>
    </row>
    <row r="20" spans="1:9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2"/>
      <c r="B21" s="918" t="s">
        <v>505</v>
      </c>
      <c r="C21" s="918"/>
      <c r="D21" s="918" t="s">
        <v>506</v>
      </c>
      <c r="E21" s="918"/>
      <c r="F21" s="918" t="s">
        <v>507</v>
      </c>
      <c r="G21" s="918"/>
      <c r="H21" s="918" t="s">
        <v>508</v>
      </c>
      <c r="I21" s="918"/>
    </row>
    <row r="22" spans="1:9">
      <c r="A22" s="204" t="s">
        <v>509</v>
      </c>
      <c r="B22" s="1005" t="s">
        <v>558</v>
      </c>
      <c r="C22" s="1038"/>
      <c r="D22" s="1005" t="s">
        <v>559</v>
      </c>
      <c r="E22" s="1038"/>
      <c r="F22" s="1005" t="s">
        <v>560</v>
      </c>
      <c r="G22" s="1006"/>
      <c r="H22" s="1005" t="s">
        <v>560</v>
      </c>
      <c r="I22" s="1006"/>
    </row>
    <row r="23" spans="1:9">
      <c r="A23" s="204" t="s">
        <v>510</v>
      </c>
      <c r="B23" s="679">
        <v>3</v>
      </c>
      <c r="C23" s="277" t="s">
        <v>561</v>
      </c>
      <c r="D23" s="297">
        <v>3</v>
      </c>
      <c r="E23" s="277" t="s">
        <v>562</v>
      </c>
      <c r="F23" s="297">
        <v>3.75</v>
      </c>
      <c r="G23" s="277">
        <v>40500</v>
      </c>
      <c r="H23" s="297"/>
      <c r="I23" s="277" t="s">
        <v>563</v>
      </c>
    </row>
    <row r="24" spans="1:9">
      <c r="A24" s="204" t="s">
        <v>511</v>
      </c>
      <c r="B24" s="297">
        <v>2</v>
      </c>
      <c r="C24" s="277">
        <v>27000</v>
      </c>
      <c r="D24" s="297">
        <v>2</v>
      </c>
      <c r="E24" s="277">
        <v>21600</v>
      </c>
      <c r="F24" s="297" t="s">
        <v>564</v>
      </c>
      <c r="G24" s="277" t="s">
        <v>565</v>
      </c>
      <c r="H24" s="297"/>
      <c r="I24" s="277" t="s">
        <v>566</v>
      </c>
    </row>
    <row r="25" spans="1:9">
      <c r="A25" s="204" t="s">
        <v>512</v>
      </c>
      <c r="B25" s="297">
        <v>5</v>
      </c>
      <c r="C25" s="277">
        <v>67500</v>
      </c>
      <c r="D25" s="297">
        <v>5</v>
      </c>
      <c r="E25" s="277">
        <v>54000</v>
      </c>
      <c r="F25" s="297">
        <v>5.75</v>
      </c>
      <c r="G25" s="680">
        <v>62100</v>
      </c>
      <c r="H25" s="297"/>
      <c r="I25" s="277" t="s">
        <v>567</v>
      </c>
    </row>
    <row r="26" spans="1:9">
      <c r="A26" s="14"/>
      <c r="B26" s="315"/>
      <c r="C26" s="316"/>
      <c r="D26" s="319"/>
      <c r="E26" s="320" t="s">
        <v>568</v>
      </c>
      <c r="F26" s="321">
        <v>-8100</v>
      </c>
      <c r="G26" s="320" t="s">
        <v>569</v>
      </c>
      <c r="H26" s="321">
        <v>3000</v>
      </c>
      <c r="I26" s="316"/>
    </row>
    <row r="27" spans="1:9">
      <c r="A27" s="2"/>
      <c r="B27" s="2"/>
      <c r="C27" s="2"/>
      <c r="D27" s="2"/>
      <c r="E27" s="1011" t="s">
        <v>767</v>
      </c>
      <c r="F27" s="1011"/>
      <c r="G27" s="1011"/>
      <c r="H27" s="17">
        <f>F26+H26</f>
        <v>-5100</v>
      </c>
      <c r="I27" s="2"/>
    </row>
    <row r="28" spans="1:9">
      <c r="A28" s="2" t="s">
        <v>548</v>
      </c>
      <c r="B28" s="2"/>
      <c r="C28" s="2"/>
      <c r="D28" s="2"/>
      <c r="E28" s="2"/>
      <c r="F28" s="2"/>
      <c r="G28" s="2"/>
      <c r="H28" s="2"/>
      <c r="I28" s="2"/>
    </row>
    <row r="29" spans="1:9">
      <c r="A29" s="2" t="s">
        <v>570</v>
      </c>
      <c r="B29" s="2"/>
      <c r="C29" s="2"/>
      <c r="D29" s="2"/>
      <c r="E29" s="2"/>
      <c r="F29" s="2"/>
      <c r="G29" s="2"/>
      <c r="H29" s="2"/>
      <c r="I29" s="2"/>
    </row>
    <row r="30" spans="1:9">
      <c r="A30" s="2" t="s">
        <v>571</v>
      </c>
      <c r="B30" s="2"/>
      <c r="C30" s="2"/>
      <c r="D30" s="2"/>
      <c r="E30" s="2"/>
      <c r="F30" s="2"/>
      <c r="G30" s="2"/>
      <c r="H30" s="2"/>
      <c r="I30" s="2"/>
    </row>
    <row r="31" spans="1:9">
      <c r="A31" s="2" t="s">
        <v>572</v>
      </c>
      <c r="B31" s="2"/>
      <c r="C31" s="2"/>
      <c r="D31" s="2"/>
      <c r="E31" s="2"/>
      <c r="F31" s="2"/>
      <c r="G31" s="2"/>
      <c r="H31" s="2"/>
      <c r="I31" s="2"/>
    </row>
    <row r="32" spans="1:9">
      <c r="A32" s="2" t="s">
        <v>573</v>
      </c>
      <c r="B32" s="2"/>
      <c r="C32" s="2"/>
      <c r="D32" s="2"/>
      <c r="E32" s="2"/>
      <c r="F32" s="2"/>
      <c r="G32" s="2"/>
      <c r="H32" s="2"/>
      <c r="I32" s="2"/>
    </row>
    <row r="33" spans="1:9">
      <c r="A33" s="2" t="s">
        <v>574</v>
      </c>
      <c r="B33" s="2"/>
      <c r="C33" s="2"/>
      <c r="D33" s="2"/>
      <c r="E33" s="2"/>
      <c r="F33" s="2"/>
      <c r="G33" s="2"/>
      <c r="H33" s="2"/>
      <c r="I33" s="2"/>
    </row>
    <row r="34" spans="1:9">
      <c r="A34" s="2" t="s">
        <v>575</v>
      </c>
      <c r="B34" s="2"/>
      <c r="C34" s="2"/>
      <c r="D34" s="2"/>
      <c r="E34" s="2"/>
      <c r="F34" s="2"/>
      <c r="G34" s="2"/>
      <c r="H34" s="2"/>
      <c r="I34" s="2"/>
    </row>
    <row r="35" spans="1:9">
      <c r="A35" s="2" t="s">
        <v>576</v>
      </c>
      <c r="B35" s="2"/>
      <c r="C35" s="2"/>
      <c r="D35" s="2"/>
      <c r="E35" s="2"/>
      <c r="F35" s="2"/>
      <c r="G35" s="2"/>
      <c r="H35" s="2"/>
      <c r="I35" s="2"/>
    </row>
    <row r="36" spans="1:9">
      <c r="A36" s="2" t="s">
        <v>577</v>
      </c>
      <c r="B36" s="2"/>
      <c r="C36" s="2"/>
      <c r="D36" s="2"/>
      <c r="E36" s="2"/>
      <c r="F36" s="2"/>
      <c r="G36" s="2"/>
      <c r="H36" s="2"/>
      <c r="I36" s="2"/>
    </row>
    <row r="37" spans="1:9">
      <c r="A37" s="2" t="s">
        <v>2193</v>
      </c>
      <c r="B37" s="2"/>
      <c r="C37" s="2"/>
      <c r="D37" s="2"/>
      <c r="E37" s="2"/>
      <c r="F37" s="2"/>
      <c r="G37" s="2"/>
      <c r="H37" s="2"/>
      <c r="I37" s="2"/>
    </row>
    <row r="38" spans="1:9">
      <c r="A38" s="2" t="s">
        <v>2194</v>
      </c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>
      <c r="A40" s="2" t="s">
        <v>549</v>
      </c>
      <c r="B40" s="2"/>
      <c r="C40" s="2"/>
      <c r="D40" s="2"/>
      <c r="E40" s="2"/>
      <c r="F40" s="2"/>
      <c r="G40" s="2"/>
      <c r="H40" s="2"/>
      <c r="I40" s="2"/>
    </row>
    <row r="41" spans="1:9">
      <c r="A41" s="2" t="s">
        <v>550</v>
      </c>
      <c r="B41" s="2"/>
      <c r="C41" s="43">
        <f>D9</f>
        <v>96000</v>
      </c>
      <c r="D41" s="2"/>
      <c r="E41" s="2"/>
      <c r="F41" s="2"/>
      <c r="G41" s="2"/>
      <c r="H41" s="2"/>
      <c r="I41" s="2"/>
    </row>
    <row r="42" spans="1:9">
      <c r="A42" s="2" t="s">
        <v>551</v>
      </c>
      <c r="B42" s="2"/>
      <c r="C42" s="43">
        <f>B17</f>
        <v>54000</v>
      </c>
      <c r="D42" s="2"/>
      <c r="E42" s="2"/>
      <c r="F42" s="2"/>
      <c r="G42" s="2"/>
      <c r="H42" s="2"/>
      <c r="I42" s="2"/>
    </row>
    <row r="43" spans="1:9">
      <c r="A43" s="2" t="s">
        <v>552</v>
      </c>
      <c r="B43" s="2"/>
      <c r="C43" s="43">
        <f>E25</f>
        <v>54000</v>
      </c>
      <c r="D43" s="2"/>
      <c r="E43" s="2"/>
      <c r="F43" s="2"/>
      <c r="G43" s="2"/>
      <c r="H43" s="2"/>
      <c r="I43" s="2"/>
    </row>
    <row r="44" spans="1:9">
      <c r="A44" s="125" t="s">
        <v>553</v>
      </c>
      <c r="B44" s="126"/>
      <c r="C44" s="317">
        <f>SUM(C41:C43)</f>
        <v>204000</v>
      </c>
      <c r="D44" s="2"/>
      <c r="E44" s="2"/>
      <c r="F44" s="2"/>
      <c r="G44" s="2"/>
      <c r="H44" s="2"/>
      <c r="I44" s="2"/>
    </row>
    <row r="45" spans="1:9">
      <c r="A45" s="2"/>
      <c r="B45" s="2"/>
      <c r="C45" s="2"/>
      <c r="D45" s="2"/>
      <c r="E45" s="2"/>
      <c r="F45" s="2"/>
      <c r="G45" s="2"/>
      <c r="H45" s="2"/>
      <c r="I45" s="2"/>
    </row>
    <row r="46" spans="1:9">
      <c r="A46" s="969" t="s">
        <v>578</v>
      </c>
      <c r="B46" s="969"/>
      <c r="C46" s="2" t="s">
        <v>579</v>
      </c>
      <c r="D46" s="2"/>
      <c r="E46" s="2"/>
      <c r="F46" s="2"/>
      <c r="G46" s="2"/>
      <c r="H46" s="2"/>
      <c r="I46" s="2"/>
    </row>
    <row r="47" spans="1:9">
      <c r="A47" s="953" t="s">
        <v>580</v>
      </c>
      <c r="B47" s="954"/>
      <c r="C47" s="121">
        <f>C44/12000</f>
        <v>17</v>
      </c>
      <c r="D47" s="2" t="s">
        <v>1598</v>
      </c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 s="850" customFormat="1">
      <c r="A49" s="1" t="s">
        <v>2191</v>
      </c>
      <c r="B49" s="2"/>
      <c r="C49" s="2"/>
      <c r="D49" s="2"/>
      <c r="E49" s="2"/>
      <c r="F49" s="2"/>
      <c r="G49" s="2"/>
      <c r="H49" s="2"/>
      <c r="I49" s="2"/>
    </row>
    <row r="50" spans="1:9" s="850" customFormat="1">
      <c r="A50" s="2" t="s">
        <v>2195</v>
      </c>
      <c r="B50" s="2"/>
      <c r="C50" s="2"/>
      <c r="D50" s="2"/>
      <c r="E50" s="2"/>
      <c r="F50" s="2"/>
      <c r="G50" s="2"/>
      <c r="H50" s="2"/>
      <c r="I50" s="2"/>
    </row>
    <row r="51" spans="1:9" s="850" customFormat="1">
      <c r="A51" s="2"/>
      <c r="B51" s="2"/>
      <c r="C51" s="2"/>
      <c r="D51" s="2"/>
      <c r="E51" s="2"/>
      <c r="F51" s="2"/>
      <c r="G51" s="2"/>
      <c r="H51" s="2"/>
      <c r="I51" s="2"/>
    </row>
    <row r="52" spans="1:9" s="850" customFormat="1">
      <c r="A52" s="2"/>
      <c r="B52" s="918" t="s">
        <v>505</v>
      </c>
      <c r="C52" s="918"/>
      <c r="D52" s="918" t="s">
        <v>506</v>
      </c>
      <c r="E52" s="918"/>
      <c r="F52" s="918" t="s">
        <v>507</v>
      </c>
      <c r="G52" s="918"/>
      <c r="H52" s="918" t="s">
        <v>508</v>
      </c>
      <c r="I52" s="918"/>
    </row>
    <row r="53" spans="1:9" s="850" customFormat="1">
      <c r="A53" s="204" t="s">
        <v>509</v>
      </c>
      <c r="B53" s="1005" t="s">
        <v>2196</v>
      </c>
      <c r="C53" s="1038"/>
      <c r="D53" s="1005" t="s">
        <v>2199</v>
      </c>
      <c r="E53" s="1038"/>
      <c r="F53" s="1005" t="s">
        <v>2204</v>
      </c>
      <c r="G53" s="1006"/>
      <c r="H53" s="1005" t="s">
        <v>2204</v>
      </c>
      <c r="I53" s="1006"/>
    </row>
    <row r="54" spans="1:9" s="850" customFormat="1">
      <c r="A54" s="204" t="s">
        <v>510</v>
      </c>
      <c r="B54" s="679">
        <f>30600/2550</f>
        <v>12</v>
      </c>
      <c r="C54" s="277">
        <v>30600</v>
      </c>
      <c r="D54" s="297">
        <f>B54</f>
        <v>12</v>
      </c>
      <c r="E54" s="277" t="s">
        <v>2200</v>
      </c>
      <c r="F54" s="297">
        <f>30600/2250</f>
        <v>13.6</v>
      </c>
      <c r="G54" s="277">
        <f>C54</f>
        <v>30600</v>
      </c>
      <c r="H54" s="297"/>
      <c r="I54" s="277">
        <v>30850</v>
      </c>
    </row>
    <row r="55" spans="1:9" s="850" customFormat="1">
      <c r="A55" s="204" t="s">
        <v>511</v>
      </c>
      <c r="B55" s="297">
        <f>22950/2550</f>
        <v>9</v>
      </c>
      <c r="C55" s="277">
        <v>22950</v>
      </c>
      <c r="D55" s="297">
        <f>B55</f>
        <v>9</v>
      </c>
      <c r="E55" s="277" t="s">
        <v>2201</v>
      </c>
      <c r="F55" s="297">
        <f>B55</f>
        <v>9</v>
      </c>
      <c r="G55" s="277">
        <f>9*2250</f>
        <v>20250</v>
      </c>
      <c r="H55" s="297"/>
      <c r="I55" s="277">
        <v>20250</v>
      </c>
    </row>
    <row r="56" spans="1:9" s="850" customFormat="1">
      <c r="A56" s="204" t="s">
        <v>512</v>
      </c>
      <c r="B56" s="297">
        <f>SUM(B54:B55)</f>
        <v>21</v>
      </c>
      <c r="C56" s="277">
        <f>SUM(C54:C55)</f>
        <v>53550</v>
      </c>
      <c r="D56" s="297">
        <f>B56</f>
        <v>21</v>
      </c>
      <c r="E56" s="277">
        <f>27000+20250</f>
        <v>47250</v>
      </c>
      <c r="F56" s="297">
        <f>F54+F55</f>
        <v>22.6</v>
      </c>
      <c r="G56" s="680">
        <f>SUM(G54:G55)</f>
        <v>50850</v>
      </c>
      <c r="H56" s="297"/>
      <c r="I56" s="277">
        <f>SUM(I54:I55)</f>
        <v>51100</v>
      </c>
    </row>
    <row r="57" spans="1:9" s="850" customFormat="1">
      <c r="A57" s="14"/>
      <c r="B57" s="315"/>
      <c r="C57" s="316"/>
      <c r="D57" s="319"/>
      <c r="E57" s="856" t="s">
        <v>568</v>
      </c>
      <c r="F57" s="855">
        <f>E56-G56</f>
        <v>-3600</v>
      </c>
      <c r="G57" s="856" t="s">
        <v>569</v>
      </c>
      <c r="H57" s="855">
        <f>G56-I56</f>
        <v>-250</v>
      </c>
      <c r="I57" s="316"/>
    </row>
    <row r="58" spans="1:9" s="850" customFormat="1">
      <c r="A58" s="2"/>
      <c r="B58" s="2"/>
      <c r="C58" s="2"/>
      <c r="D58" s="2"/>
      <c r="E58" s="1001" t="s">
        <v>2257</v>
      </c>
      <c r="F58" s="1001"/>
      <c r="G58" s="1001"/>
      <c r="H58" s="1001"/>
      <c r="I58" s="2"/>
    </row>
    <row r="59" spans="1:9" s="850" customFormat="1">
      <c r="A59" s="2" t="s">
        <v>2197</v>
      </c>
      <c r="B59" s="2"/>
      <c r="C59" s="2"/>
      <c r="D59" s="2"/>
      <c r="E59" s="2"/>
      <c r="F59" s="2"/>
      <c r="G59" s="2"/>
      <c r="H59" s="2"/>
      <c r="I59" s="2"/>
    </row>
    <row r="60" spans="1:9" s="850" customFormat="1">
      <c r="A60" s="2" t="s">
        <v>2198</v>
      </c>
      <c r="B60" s="2"/>
      <c r="C60" s="2"/>
      <c r="D60" s="2"/>
      <c r="E60" s="2"/>
      <c r="F60" s="2"/>
      <c r="G60" s="2"/>
      <c r="H60" s="2"/>
      <c r="I60" s="2"/>
    </row>
    <row r="61" spans="1:9" s="850" customFormat="1">
      <c r="A61" s="2" t="s">
        <v>2202</v>
      </c>
      <c r="B61" s="2"/>
      <c r="C61" s="2"/>
      <c r="D61" s="2"/>
      <c r="E61" s="2"/>
      <c r="F61" s="2"/>
      <c r="G61" s="2"/>
      <c r="H61" s="2"/>
      <c r="I61" s="2"/>
    </row>
    <row r="62" spans="1:9" s="850" customFormat="1">
      <c r="A62" s="2" t="s">
        <v>2203</v>
      </c>
      <c r="B62" s="2"/>
      <c r="C62" s="2"/>
      <c r="D62" s="2"/>
      <c r="E62" s="2"/>
      <c r="F62" s="2"/>
      <c r="G62" s="2"/>
      <c r="H62" s="2"/>
      <c r="I62" s="2"/>
    </row>
    <row r="63" spans="1:9" s="850" customFormat="1">
      <c r="A63" s="2"/>
      <c r="B63" s="2"/>
      <c r="C63" s="2"/>
      <c r="D63" s="2"/>
      <c r="E63" s="2"/>
      <c r="F63" s="2"/>
      <c r="G63" s="2"/>
      <c r="H63" s="2"/>
      <c r="I63" s="2"/>
    </row>
    <row r="64" spans="1:9" s="850" customFormat="1">
      <c r="A64" s="2" t="s">
        <v>2205</v>
      </c>
      <c r="B64" s="2"/>
      <c r="C64" s="2"/>
      <c r="D64" s="2"/>
      <c r="E64" s="2"/>
      <c r="F64" s="2"/>
      <c r="G64" s="2"/>
      <c r="H64" s="2"/>
      <c r="I64" s="2"/>
    </row>
    <row r="65" spans="1:9" s="850" customFormat="1">
      <c r="A65" s="2" t="s">
        <v>2207</v>
      </c>
      <c r="B65" s="2" t="s">
        <v>2208</v>
      </c>
      <c r="C65" s="2"/>
      <c r="D65" s="18" t="s">
        <v>2206</v>
      </c>
      <c r="E65" s="2"/>
      <c r="F65" s="2"/>
      <c r="G65" s="2"/>
      <c r="H65" s="2"/>
      <c r="I65" s="2"/>
    </row>
    <row r="66" spans="1:9" s="850" customFormat="1">
      <c r="A66" s="85" t="s">
        <v>2209</v>
      </c>
      <c r="B66" s="126" t="s">
        <v>2210</v>
      </c>
      <c r="C66" s="100"/>
      <c r="D66" s="2" t="s">
        <v>2248</v>
      </c>
      <c r="E66" s="2"/>
      <c r="F66" s="2"/>
      <c r="G66" s="2"/>
      <c r="H66" s="2"/>
      <c r="I66" s="2"/>
    </row>
    <row r="67" spans="1:9" s="850" customFormat="1">
      <c r="A67" s="14"/>
      <c r="B67" s="661"/>
      <c r="C67" s="14"/>
      <c r="D67" s="2"/>
      <c r="E67" s="2"/>
      <c r="F67" s="2"/>
      <c r="G67" s="2"/>
      <c r="H67" s="2"/>
      <c r="I67" s="2"/>
    </row>
    <row r="68" spans="1:9" s="850" customFormat="1">
      <c r="A68" s="874" t="s">
        <v>2242</v>
      </c>
      <c r="B68" s="661"/>
      <c r="C68" s="14"/>
      <c r="D68" s="2"/>
      <c r="E68" s="2"/>
      <c r="F68" s="2"/>
      <c r="G68" s="2"/>
      <c r="H68" s="2"/>
      <c r="I68" s="2"/>
    </row>
    <row r="69" spans="1:9" s="850" customFormat="1">
      <c r="A69" s="14" t="s">
        <v>2243</v>
      </c>
      <c r="B69" s="72">
        <v>8000</v>
      </c>
      <c r="C69" s="14" t="s">
        <v>2244</v>
      </c>
      <c r="D69" s="2"/>
      <c r="E69" s="2"/>
      <c r="F69" s="2"/>
      <c r="G69" s="2"/>
      <c r="H69" s="2"/>
      <c r="I69" s="2"/>
    </row>
    <row r="70" spans="1:9" s="850" customFormat="1">
      <c r="A70" s="46" t="s">
        <v>2245</v>
      </c>
      <c r="B70" s="20">
        <f>B71-B69</f>
        <v>7000</v>
      </c>
      <c r="C70" s="14" t="s">
        <v>2247</v>
      </c>
      <c r="D70" s="2"/>
      <c r="E70" s="2"/>
      <c r="F70" s="2"/>
      <c r="G70" s="2"/>
      <c r="H70" s="2"/>
      <c r="I70" s="2"/>
    </row>
    <row r="71" spans="1:9" s="850" customFormat="1">
      <c r="A71" s="14" t="s">
        <v>2246</v>
      </c>
      <c r="B71" s="72">
        <v>15000</v>
      </c>
      <c r="C71" s="14" t="s">
        <v>361</v>
      </c>
      <c r="D71" s="2"/>
      <c r="E71" s="2"/>
      <c r="F71" s="2"/>
      <c r="G71" s="2"/>
      <c r="H71" s="2"/>
      <c r="I71" s="2"/>
    </row>
    <row r="72" spans="1:9" s="850" customFormat="1">
      <c r="A72" s="14"/>
      <c r="B72" s="661"/>
      <c r="C72" s="14"/>
      <c r="D72" s="2"/>
      <c r="E72" s="2"/>
      <c r="F72" s="2"/>
      <c r="G72" s="2"/>
      <c r="H72" s="2"/>
      <c r="I72" s="2"/>
    </row>
    <row r="73" spans="1:9" s="850" customFormat="1">
      <c r="A73" s="2" t="s">
        <v>2211</v>
      </c>
      <c r="B73" s="2"/>
      <c r="C73" s="2"/>
      <c r="D73" s="2"/>
      <c r="E73" s="2"/>
      <c r="F73" s="2"/>
      <c r="G73" s="2"/>
      <c r="H73" s="2"/>
      <c r="I73" s="2"/>
    </row>
    <row r="74" spans="1:9" s="850" customFormat="1">
      <c r="A74" s="309" t="s">
        <v>543</v>
      </c>
      <c r="B74" s="854">
        <v>2500</v>
      </c>
      <c r="C74" s="854">
        <v>3</v>
      </c>
      <c r="D74" s="854">
        <f>B74*C74</f>
        <v>7500</v>
      </c>
      <c r="E74" s="2"/>
      <c r="F74" s="2"/>
      <c r="G74" s="2"/>
      <c r="H74" s="2"/>
      <c r="I74" s="2"/>
    </row>
    <row r="75" spans="1:9" s="850" customFormat="1">
      <c r="A75" s="311" t="s">
        <v>544</v>
      </c>
      <c r="B75" s="854">
        <v>65000</v>
      </c>
      <c r="C75" s="854">
        <v>4</v>
      </c>
      <c r="D75" s="854">
        <f>B75*C75</f>
        <v>260000</v>
      </c>
      <c r="E75" s="2"/>
      <c r="F75" s="2"/>
      <c r="G75" s="2"/>
      <c r="H75" s="2"/>
      <c r="I75" s="2"/>
    </row>
    <row r="76" spans="1:9" s="850" customFormat="1">
      <c r="A76" s="997" t="s">
        <v>545</v>
      </c>
      <c r="B76" s="999">
        <f>B78-B75-B74</f>
        <v>-7500</v>
      </c>
      <c r="C76" s="312" t="s">
        <v>2216</v>
      </c>
      <c r="D76" s="999">
        <f>-(2500*3+5000*4)</f>
        <v>-27500</v>
      </c>
      <c r="E76" s="2"/>
      <c r="F76" s="2"/>
      <c r="G76" s="2"/>
      <c r="H76" s="2"/>
      <c r="I76" s="2"/>
    </row>
    <row r="77" spans="1:9" s="850" customFormat="1">
      <c r="A77" s="998"/>
      <c r="B77" s="1000"/>
      <c r="C77" s="312" t="s">
        <v>2217</v>
      </c>
      <c r="D77" s="1000"/>
      <c r="E77" s="2" t="s">
        <v>1158</v>
      </c>
      <c r="F77" s="2"/>
      <c r="G77" s="2"/>
      <c r="H77" s="2"/>
      <c r="I77" s="2"/>
    </row>
    <row r="78" spans="1:9" s="850" customFormat="1" ht="15.75" thickBot="1">
      <c r="A78" s="313" t="s">
        <v>53</v>
      </c>
      <c r="B78" s="314">
        <v>60000</v>
      </c>
      <c r="C78" s="314">
        <v>4</v>
      </c>
      <c r="D78" s="314">
        <f>B78*C78</f>
        <v>240000</v>
      </c>
      <c r="E78" s="2"/>
      <c r="F78" s="2"/>
      <c r="G78" s="2"/>
      <c r="H78" s="2"/>
      <c r="I78" s="2"/>
    </row>
    <row r="79" spans="1:9" s="850" customFormat="1" ht="15.75" thickTop="1">
      <c r="A79" s="2"/>
      <c r="B79" s="2"/>
      <c r="C79" s="2"/>
      <c r="D79" s="2"/>
      <c r="E79" s="2"/>
      <c r="F79" s="2"/>
      <c r="G79" s="2"/>
      <c r="H79" s="2"/>
      <c r="I79" s="2"/>
    </row>
    <row r="80" spans="1:9" s="850" customFormat="1">
      <c r="A80" s="2" t="s">
        <v>2214</v>
      </c>
      <c r="B80" s="2"/>
      <c r="C80" s="2" t="s">
        <v>2212</v>
      </c>
      <c r="D80" s="2"/>
      <c r="E80" s="2"/>
      <c r="F80" s="2"/>
      <c r="G80" s="2"/>
      <c r="H80" s="2"/>
      <c r="I80" s="2"/>
    </row>
    <row r="81" spans="1:9" s="850" customFormat="1">
      <c r="A81" s="204" t="s">
        <v>2215</v>
      </c>
      <c r="B81" s="2"/>
      <c r="C81" s="2" t="s">
        <v>2213</v>
      </c>
      <c r="D81" s="2"/>
      <c r="E81" s="2"/>
      <c r="F81" s="2"/>
      <c r="G81" s="2"/>
      <c r="H81" s="2"/>
      <c r="I81" s="2"/>
    </row>
    <row r="82" spans="1:9" s="850" customFormat="1">
      <c r="A82" s="2"/>
      <c r="B82" s="2"/>
      <c r="C82" s="2"/>
      <c r="D82" s="2"/>
      <c r="E82" s="2"/>
      <c r="F82" s="2"/>
      <c r="G82" s="2"/>
      <c r="H82" s="2"/>
      <c r="I82" s="2"/>
    </row>
    <row r="83" spans="1:9" s="850" customFormat="1">
      <c r="A83" s="2" t="s">
        <v>2218</v>
      </c>
      <c r="B83" s="2"/>
      <c r="C83" s="2"/>
      <c r="D83" s="149" t="s">
        <v>1381</v>
      </c>
      <c r="E83" s="2"/>
      <c r="F83" s="2"/>
      <c r="G83" s="2"/>
      <c r="H83" s="2"/>
      <c r="I83" s="2"/>
    </row>
    <row r="84" spans="1:9" s="850" customFormat="1">
      <c r="A84" s="2" t="s">
        <v>134</v>
      </c>
      <c r="B84" s="2">
        <f>17*25*8</f>
        <v>3400</v>
      </c>
      <c r="C84" s="2" t="s">
        <v>108</v>
      </c>
      <c r="D84" s="2" t="s">
        <v>2219</v>
      </c>
      <c r="E84" s="2"/>
      <c r="F84" s="2"/>
      <c r="G84" s="2"/>
      <c r="H84" s="2"/>
      <c r="I84" s="2"/>
    </row>
    <row r="85" spans="1:9" s="850" customFormat="1">
      <c r="A85" s="2" t="s">
        <v>2220</v>
      </c>
      <c r="B85" s="2">
        <v>-370</v>
      </c>
      <c r="C85" s="2" t="s">
        <v>108</v>
      </c>
      <c r="D85" s="2" t="s">
        <v>1866</v>
      </c>
      <c r="E85" s="2"/>
      <c r="F85" s="2"/>
      <c r="G85" s="2"/>
      <c r="H85" s="2"/>
      <c r="I85" s="2"/>
    </row>
    <row r="86" spans="1:9" s="850" customFormat="1">
      <c r="A86" s="46" t="s">
        <v>2221</v>
      </c>
      <c r="B86" s="46">
        <v>0</v>
      </c>
      <c r="C86" s="2" t="s">
        <v>108</v>
      </c>
      <c r="D86" s="2"/>
      <c r="E86" s="2"/>
      <c r="F86" s="2"/>
      <c r="G86" s="2"/>
      <c r="H86" s="2"/>
      <c r="I86" s="2"/>
    </row>
    <row r="87" spans="1:9" s="850" customFormat="1">
      <c r="A87" s="2" t="s">
        <v>133</v>
      </c>
      <c r="B87" s="2">
        <f>SUM(B84:B86)</f>
        <v>3030</v>
      </c>
      <c r="C87" s="2" t="s">
        <v>108</v>
      </c>
      <c r="D87" s="2"/>
      <c r="E87" s="2"/>
      <c r="F87" s="2"/>
      <c r="G87" s="2"/>
      <c r="H87" s="2"/>
      <c r="I87" s="2"/>
    </row>
    <row r="88" spans="1:9" s="850" customFormat="1">
      <c r="A88" s="46" t="s">
        <v>2222</v>
      </c>
      <c r="B88" s="46">
        <v>0</v>
      </c>
      <c r="C88" s="2" t="s">
        <v>108</v>
      </c>
      <c r="D88" s="2" t="s">
        <v>1866</v>
      </c>
      <c r="E88" s="2"/>
      <c r="F88" s="2"/>
      <c r="G88" s="2"/>
      <c r="H88" s="2"/>
      <c r="I88" s="2"/>
    </row>
    <row r="89" spans="1:9" s="850" customFormat="1">
      <c r="A89" s="2" t="s">
        <v>136</v>
      </c>
      <c r="B89" s="2">
        <f>SUM(B87:B88)</f>
        <v>3030</v>
      </c>
      <c r="C89" s="2" t="s">
        <v>108</v>
      </c>
      <c r="D89" s="2"/>
      <c r="E89" s="2"/>
      <c r="F89" s="2"/>
      <c r="G89" s="2"/>
      <c r="H89" s="2"/>
      <c r="I89" s="2"/>
    </row>
    <row r="90" spans="1:9" s="850" customFormat="1">
      <c r="A90" s="46" t="s">
        <v>2223</v>
      </c>
      <c r="B90" s="46">
        <f>B91-B89</f>
        <v>-30</v>
      </c>
      <c r="C90" s="2" t="s">
        <v>108</v>
      </c>
      <c r="D90" s="2" t="s">
        <v>2227</v>
      </c>
      <c r="E90" s="2"/>
      <c r="F90" s="2"/>
      <c r="G90" s="2"/>
      <c r="H90" s="2"/>
      <c r="I90" s="2"/>
    </row>
    <row r="91" spans="1:9" s="850" customFormat="1" ht="15.75" thickBot="1">
      <c r="A91" s="55" t="s">
        <v>138</v>
      </c>
      <c r="B91" s="55">
        <f>15000*0.2</f>
        <v>3000</v>
      </c>
      <c r="C91" s="2" t="s">
        <v>108</v>
      </c>
      <c r="D91" s="2" t="s">
        <v>2226</v>
      </c>
      <c r="E91" s="2"/>
      <c r="F91" s="2" t="s">
        <v>2224</v>
      </c>
      <c r="G91" s="2"/>
      <c r="H91" s="2"/>
      <c r="I91" s="2"/>
    </row>
    <row r="92" spans="1:9" s="850" customFormat="1" ht="15.75" thickTop="1">
      <c r="A92" s="2"/>
      <c r="B92" s="2"/>
      <c r="C92" s="2"/>
      <c r="D92" s="2"/>
      <c r="E92" s="2"/>
      <c r="F92" s="2" t="s">
        <v>2225</v>
      </c>
      <c r="G92" s="2"/>
      <c r="H92" s="2"/>
      <c r="I92" s="2"/>
    </row>
    <row r="93" spans="1:9" s="850" customFormat="1">
      <c r="A93" s="2" t="s">
        <v>2228</v>
      </c>
      <c r="B93" s="2"/>
      <c r="C93" s="2"/>
      <c r="D93" s="2"/>
      <c r="E93" s="2"/>
      <c r="F93" s="2"/>
      <c r="G93" s="2"/>
      <c r="H93" s="2"/>
      <c r="I93" s="2"/>
    </row>
    <row r="94" spans="1:9" s="850" customFormat="1">
      <c r="A94" s="2" t="s">
        <v>2233</v>
      </c>
      <c r="B94" s="2"/>
      <c r="C94" s="2"/>
      <c r="D94" s="2"/>
      <c r="E94" s="2"/>
      <c r="F94" s="2"/>
      <c r="G94" s="2"/>
      <c r="H94" s="2"/>
      <c r="I94" s="2"/>
    </row>
    <row r="95" spans="1:9" s="850" customFormat="1">
      <c r="A95" s="204" t="s">
        <v>2234</v>
      </c>
      <c r="B95" s="2"/>
      <c r="C95" s="2"/>
      <c r="D95" s="2"/>
      <c r="E95" s="2"/>
      <c r="F95" s="2"/>
      <c r="G95" s="2"/>
      <c r="H95" s="2"/>
      <c r="I95" s="2"/>
    </row>
    <row r="96" spans="1:9" s="850" customFormat="1">
      <c r="A96" s="2"/>
      <c r="B96" s="2"/>
      <c r="C96" s="2"/>
      <c r="D96" s="2"/>
      <c r="E96" s="2"/>
      <c r="F96" s="2"/>
      <c r="G96" s="2"/>
      <c r="H96" s="2"/>
      <c r="I96" s="2"/>
    </row>
    <row r="97" spans="1:9" s="850" customFormat="1">
      <c r="A97" s="2" t="s">
        <v>2229</v>
      </c>
      <c r="B97" s="2"/>
      <c r="C97" s="2"/>
      <c r="D97" s="2"/>
      <c r="E97" s="2"/>
      <c r="F97" s="2"/>
      <c r="G97" s="2"/>
      <c r="H97" s="2"/>
      <c r="I97" s="2"/>
    </row>
    <row r="98" spans="1:9" s="850" customFormat="1">
      <c r="A98" s="204" t="s">
        <v>2230</v>
      </c>
      <c r="B98" s="2"/>
      <c r="C98" s="2"/>
      <c r="D98" s="2"/>
      <c r="E98" s="2"/>
      <c r="F98" s="2"/>
      <c r="G98" s="2"/>
      <c r="H98" s="2"/>
      <c r="I98" s="2"/>
    </row>
    <row r="99" spans="1:9" s="850" customFormat="1">
      <c r="A99" s="14"/>
      <c r="B99" s="2"/>
      <c r="C99" s="2"/>
      <c r="D99" s="2"/>
      <c r="E99" s="2"/>
      <c r="F99" s="2"/>
      <c r="G99" s="2"/>
      <c r="H99" s="2"/>
      <c r="I99" s="2"/>
    </row>
    <row r="100" spans="1:9" s="850" customFormat="1">
      <c r="A100" s="19" t="s">
        <v>2231</v>
      </c>
      <c r="B100" s="2" t="s">
        <v>2232</v>
      </c>
      <c r="C100" s="2"/>
      <c r="D100" s="2"/>
      <c r="E100" s="2"/>
      <c r="F100" s="2"/>
      <c r="G100" s="2"/>
      <c r="H100" s="2"/>
      <c r="I100" s="2"/>
    </row>
    <row r="101" spans="1:9" s="850" customFormat="1">
      <c r="A101" s="19" t="s">
        <v>2231</v>
      </c>
      <c r="B101" s="2" t="s">
        <v>2235</v>
      </c>
      <c r="C101" s="2"/>
      <c r="D101" s="2"/>
      <c r="E101" s="2"/>
      <c r="F101" s="2"/>
      <c r="G101" s="2"/>
      <c r="H101" s="2"/>
      <c r="I101" s="2"/>
    </row>
    <row r="102" spans="1:9" s="850" customFormat="1">
      <c r="A102" s="852" t="s">
        <v>2231</v>
      </c>
      <c r="B102" s="155">
        <f>3000*14.5</f>
        <v>43500</v>
      </c>
      <c r="C102" s="2"/>
      <c r="D102" s="2"/>
      <c r="E102" s="2"/>
      <c r="F102" s="2"/>
      <c r="G102" s="2"/>
      <c r="H102" s="2"/>
      <c r="I102" s="2"/>
    </row>
    <row r="103" spans="1:9" s="850" customFormat="1">
      <c r="A103" s="19"/>
      <c r="B103" s="152"/>
      <c r="C103" s="2"/>
      <c r="D103" s="2"/>
      <c r="E103" s="2"/>
      <c r="F103" s="2"/>
      <c r="G103" s="2"/>
      <c r="H103" s="2"/>
      <c r="I103" s="2"/>
    </row>
    <row r="104" spans="1:9" s="850" customFormat="1">
      <c r="A104" s="323" t="s">
        <v>2236</v>
      </c>
      <c r="B104" s="152"/>
      <c r="C104" s="2"/>
      <c r="D104" s="2"/>
      <c r="G104" s="2"/>
      <c r="H104" s="2"/>
      <c r="I104" s="2"/>
    </row>
    <row r="105" spans="1:9" s="850" customFormat="1">
      <c r="A105" s="19" t="s">
        <v>2237</v>
      </c>
      <c r="B105" s="152">
        <f>D78</f>
        <v>240000</v>
      </c>
      <c r="C105" s="2"/>
      <c r="D105" s="2"/>
      <c r="E105" s="149" t="s">
        <v>2249</v>
      </c>
      <c r="F105" s="2"/>
      <c r="G105" s="2"/>
      <c r="H105" s="2"/>
      <c r="I105" s="2"/>
    </row>
    <row r="106" spans="1:9" s="850" customFormat="1">
      <c r="A106" s="19" t="s">
        <v>2238</v>
      </c>
      <c r="B106" s="152">
        <f>B102</f>
        <v>43500</v>
      </c>
      <c r="C106" s="2"/>
      <c r="D106" s="2"/>
      <c r="E106" s="849" t="s">
        <v>2256</v>
      </c>
      <c r="F106" s="2" t="s">
        <v>2250</v>
      </c>
      <c r="G106" s="2"/>
      <c r="H106" s="2"/>
      <c r="I106" s="2"/>
    </row>
    <row r="107" spans="1:9" s="850" customFormat="1">
      <c r="A107" s="872" t="s">
        <v>2239</v>
      </c>
      <c r="B107" s="709">
        <f>E56</f>
        <v>47250</v>
      </c>
      <c r="C107" s="2"/>
      <c r="D107" s="2"/>
      <c r="E107" s="849" t="s">
        <v>2255</v>
      </c>
      <c r="F107" s="2" t="s">
        <v>2251</v>
      </c>
      <c r="G107" s="2"/>
      <c r="H107" s="2"/>
      <c r="I107" s="2"/>
    </row>
    <row r="108" spans="1:9" s="850" customFormat="1">
      <c r="A108" s="545" t="s">
        <v>606</v>
      </c>
      <c r="B108" s="544">
        <f>B105+B106+B107</f>
        <v>330750</v>
      </c>
      <c r="C108" s="2"/>
      <c r="D108" s="2"/>
      <c r="E108" s="849" t="s">
        <v>2254</v>
      </c>
      <c r="F108" s="2" t="s">
        <v>2252</v>
      </c>
      <c r="G108" s="2"/>
      <c r="H108" s="2"/>
      <c r="I108" s="2"/>
    </row>
    <row r="109" spans="1:9" s="850" customFormat="1">
      <c r="A109" s="19"/>
      <c r="B109" s="152"/>
      <c r="C109" s="2"/>
      <c r="D109" s="2"/>
      <c r="E109" s="76" t="s">
        <v>2240</v>
      </c>
      <c r="F109" s="851" t="s">
        <v>2253</v>
      </c>
      <c r="G109" s="2"/>
      <c r="H109" s="2"/>
      <c r="I109" s="2"/>
    </row>
    <row r="110" spans="1:9" s="850" customFormat="1">
      <c r="A110" s="19" t="s">
        <v>2240</v>
      </c>
      <c r="B110" s="152" t="s">
        <v>2241</v>
      </c>
      <c r="C110" s="2"/>
      <c r="D110" s="2"/>
      <c r="E110" s="2"/>
      <c r="F110" s="2"/>
      <c r="G110" s="2"/>
      <c r="H110" s="2"/>
      <c r="I110" s="2"/>
    </row>
    <row r="111" spans="1:9" s="850" customFormat="1">
      <c r="A111" s="76" t="s">
        <v>2240</v>
      </c>
      <c r="B111" s="873">
        <f>B108/15000</f>
        <v>22.05</v>
      </c>
      <c r="C111" s="2"/>
      <c r="D111" s="2"/>
      <c r="E111" s="2"/>
      <c r="F111" s="2"/>
      <c r="G111" s="2"/>
      <c r="H111" s="2"/>
      <c r="I111" s="2"/>
    </row>
    <row r="112" spans="1:9" s="850" customFormat="1">
      <c r="A112" s="19"/>
      <c r="B112" s="152"/>
      <c r="C112" s="2"/>
      <c r="D112" s="2"/>
      <c r="E112" s="2"/>
      <c r="F112" s="2"/>
      <c r="G112" s="2"/>
      <c r="H112" s="2"/>
      <c r="I112" s="2"/>
    </row>
    <row r="113" spans="1:9">
      <c r="A113" s="1" t="s">
        <v>2258</v>
      </c>
    </row>
    <row r="114" spans="1:9">
      <c r="A114" s="2" t="s">
        <v>581</v>
      </c>
      <c r="B114" s="2"/>
      <c r="C114" s="2"/>
      <c r="D114" s="2"/>
      <c r="E114" s="2"/>
      <c r="F114" s="2"/>
      <c r="G114" s="2"/>
      <c r="H114" s="2"/>
      <c r="I114" s="2"/>
    </row>
    <row r="115" spans="1:9">
      <c r="A115" s="2"/>
      <c r="B115" s="918" t="s">
        <v>505</v>
      </c>
      <c r="C115" s="918"/>
      <c r="D115" s="918" t="s">
        <v>506</v>
      </c>
      <c r="E115" s="918"/>
      <c r="F115" s="918" t="s">
        <v>507</v>
      </c>
      <c r="G115" s="918"/>
      <c r="H115" s="918" t="s">
        <v>508</v>
      </c>
      <c r="I115" s="918"/>
    </row>
    <row r="116" spans="1:9">
      <c r="A116" s="204" t="s">
        <v>509</v>
      </c>
      <c r="B116" s="1039" t="s">
        <v>629</v>
      </c>
      <c r="C116" s="1038"/>
      <c r="D116" s="1005" t="s">
        <v>633</v>
      </c>
      <c r="E116" s="1006"/>
      <c r="F116" s="1005" t="s">
        <v>630</v>
      </c>
      <c r="G116" s="1006"/>
      <c r="H116" s="1005" t="s">
        <v>630</v>
      </c>
      <c r="I116" s="1006"/>
    </row>
    <row r="117" spans="1:9">
      <c r="A117" s="204" t="s">
        <v>510</v>
      </c>
      <c r="B117" s="297" t="s">
        <v>636</v>
      </c>
      <c r="C117" s="277">
        <v>9000</v>
      </c>
      <c r="D117" s="297">
        <v>3</v>
      </c>
      <c r="E117" s="277">
        <v>7875</v>
      </c>
      <c r="F117" s="297">
        <v>3.43</v>
      </c>
      <c r="G117" s="277">
        <v>9000</v>
      </c>
      <c r="H117" s="1007" t="s">
        <v>638</v>
      </c>
      <c r="I117" s="1008"/>
    </row>
    <row r="118" spans="1:9">
      <c r="A118" s="204" t="s">
        <v>511</v>
      </c>
      <c r="B118" s="297">
        <v>1.8</v>
      </c>
      <c r="C118" s="277">
        <v>5400</v>
      </c>
      <c r="D118" s="297">
        <v>1.8</v>
      </c>
      <c r="E118" s="277">
        <v>4725</v>
      </c>
      <c r="F118" s="297" t="s">
        <v>637</v>
      </c>
      <c r="G118" s="277">
        <v>4725</v>
      </c>
      <c r="H118" s="1009"/>
      <c r="I118" s="1010"/>
    </row>
    <row r="119" spans="1:9">
      <c r="A119" s="204" t="s">
        <v>512</v>
      </c>
      <c r="B119" s="297">
        <v>4.8</v>
      </c>
      <c r="C119" s="277">
        <v>14400</v>
      </c>
      <c r="D119" s="297">
        <v>4.8</v>
      </c>
      <c r="E119" s="277">
        <v>12600</v>
      </c>
      <c r="F119" s="297">
        <v>5.23</v>
      </c>
      <c r="G119" s="277" t="s">
        <v>631</v>
      </c>
      <c r="H119" s="297">
        <v>5.38</v>
      </c>
      <c r="I119" s="277">
        <v>14110</v>
      </c>
    </row>
    <row r="120" spans="1:9">
      <c r="A120" s="2"/>
      <c r="B120" s="2"/>
      <c r="C120" s="2"/>
      <c r="D120" s="82"/>
      <c r="E120" s="85" t="s">
        <v>568</v>
      </c>
      <c r="F120" s="341">
        <v>-1125</v>
      </c>
      <c r="G120" s="85" t="s">
        <v>569</v>
      </c>
      <c r="H120" s="341">
        <f>-385</f>
        <v>-385</v>
      </c>
      <c r="I120" s="2"/>
    </row>
    <row r="121" spans="1:9" s="345" customFormat="1">
      <c r="A121" s="2"/>
      <c r="B121" s="2"/>
      <c r="C121" s="2"/>
      <c r="D121" s="14"/>
      <c r="E121" s="1011" t="s">
        <v>767</v>
      </c>
      <c r="F121" s="1011"/>
      <c r="G121" s="1011"/>
      <c r="H121" s="362">
        <f>F120+H120</f>
        <v>-1510</v>
      </c>
      <c r="I121" s="2"/>
    </row>
    <row r="122" spans="1:9">
      <c r="A122" s="2"/>
      <c r="B122" s="2"/>
      <c r="C122" s="2"/>
      <c r="D122" s="2"/>
      <c r="E122" s="2"/>
      <c r="F122" s="2"/>
      <c r="G122" s="2"/>
      <c r="H122" s="2"/>
      <c r="I122" s="2"/>
    </row>
    <row r="123" spans="1:9">
      <c r="A123" s="2" t="s">
        <v>632</v>
      </c>
      <c r="B123" s="2"/>
      <c r="C123" s="2"/>
      <c r="D123" s="2"/>
      <c r="E123" s="2"/>
      <c r="F123" s="2"/>
      <c r="G123" s="2"/>
      <c r="H123" s="2"/>
      <c r="I123" s="2"/>
    </row>
    <row r="124" spans="1:9">
      <c r="A124" s="2" t="s">
        <v>634</v>
      </c>
      <c r="B124" s="2"/>
      <c r="C124" s="2"/>
      <c r="D124" s="2"/>
      <c r="E124" s="2"/>
      <c r="F124" s="2"/>
      <c r="G124" s="2"/>
      <c r="H124" s="2"/>
      <c r="I124" s="2"/>
    </row>
    <row r="125" spans="1:9">
      <c r="A125" s="2" t="s">
        <v>635</v>
      </c>
      <c r="B125" s="2"/>
      <c r="C125" s="2"/>
      <c r="D125" s="2"/>
      <c r="E125" s="2"/>
      <c r="F125" s="2"/>
      <c r="G125" s="2"/>
      <c r="H125" s="2"/>
      <c r="I125" s="2"/>
    </row>
    <row r="126" spans="1:9">
      <c r="A126" s="2" t="s">
        <v>639</v>
      </c>
      <c r="B126" s="2"/>
      <c r="C126" s="2"/>
      <c r="D126" s="2"/>
      <c r="E126" s="2"/>
      <c r="F126" s="2"/>
      <c r="G126" s="2"/>
      <c r="H126" s="2"/>
      <c r="I126" s="2"/>
    </row>
    <row r="127" spans="1:9">
      <c r="A127" s="2"/>
      <c r="B127" s="2"/>
      <c r="C127" s="2"/>
      <c r="D127" s="2"/>
      <c r="E127" s="2"/>
      <c r="F127" s="2"/>
      <c r="G127" s="2"/>
      <c r="H127" s="2"/>
      <c r="I127" s="2"/>
    </row>
    <row r="128" spans="1:9">
      <c r="A128" s="2" t="s">
        <v>640</v>
      </c>
      <c r="B128" s="2"/>
      <c r="C128" s="2"/>
      <c r="D128" s="2"/>
      <c r="E128" s="2"/>
      <c r="F128" s="2"/>
      <c r="G128" s="2"/>
      <c r="H128" s="2"/>
      <c r="I128" s="2"/>
    </row>
    <row r="129" spans="1:9">
      <c r="A129" s="2" t="s">
        <v>641</v>
      </c>
      <c r="B129" s="2"/>
      <c r="C129" s="2"/>
      <c r="D129" s="2"/>
      <c r="E129" s="2"/>
      <c r="F129" s="2"/>
      <c r="G129" s="2"/>
      <c r="H129" s="2"/>
      <c r="I129" s="2"/>
    </row>
    <row r="130" spans="1:9">
      <c r="A130" s="2" t="s">
        <v>582</v>
      </c>
      <c r="B130" s="2"/>
      <c r="C130" s="2"/>
      <c r="D130" s="2"/>
      <c r="E130" s="2"/>
      <c r="F130" s="2"/>
      <c r="G130" s="2"/>
      <c r="H130" s="2"/>
      <c r="I130" s="2"/>
    </row>
    <row r="131" spans="1:9">
      <c r="A131" s="2" t="s">
        <v>642</v>
      </c>
      <c r="B131" s="2"/>
      <c r="C131" s="2"/>
      <c r="D131" s="2"/>
      <c r="E131" s="2"/>
      <c r="F131" s="2"/>
      <c r="G131" s="2"/>
      <c r="H131" s="2"/>
      <c r="I131" s="2"/>
    </row>
    <row r="132" spans="1:9">
      <c r="A132" s="2" t="s">
        <v>643</v>
      </c>
      <c r="B132" s="2"/>
      <c r="C132" s="2"/>
      <c r="D132" s="2"/>
      <c r="E132" s="2"/>
      <c r="F132" s="2"/>
      <c r="G132" s="2"/>
      <c r="H132" s="2"/>
      <c r="I132" s="2"/>
    </row>
    <row r="133" spans="1:9">
      <c r="A133" s="2" t="s">
        <v>1599</v>
      </c>
      <c r="B133" s="2"/>
      <c r="C133" s="2"/>
      <c r="D133" s="2"/>
      <c r="E133" s="2"/>
      <c r="F133" s="2"/>
      <c r="G133" s="2"/>
      <c r="H133" s="2"/>
      <c r="I133" s="2"/>
    </row>
    <row r="134" spans="1:9">
      <c r="A134" s="2"/>
      <c r="B134" s="2"/>
      <c r="C134" s="2"/>
      <c r="D134" s="2"/>
      <c r="E134" s="2"/>
      <c r="F134" s="2"/>
      <c r="G134" s="2"/>
      <c r="H134" s="2"/>
      <c r="I134" s="2"/>
    </row>
    <row r="135" spans="1:9">
      <c r="A135" s="2" t="s">
        <v>583</v>
      </c>
      <c r="B135" s="2"/>
      <c r="C135" s="2"/>
      <c r="D135" s="2"/>
      <c r="E135" s="2"/>
      <c r="F135" s="2"/>
      <c r="G135" s="2"/>
      <c r="H135" s="2"/>
      <c r="I135" s="2"/>
    </row>
    <row r="136" spans="1:9">
      <c r="A136" s="1" t="s">
        <v>584</v>
      </c>
      <c r="B136" s="1" t="s">
        <v>651</v>
      </c>
      <c r="C136" s="1"/>
      <c r="D136" s="1"/>
      <c r="E136" s="2"/>
      <c r="F136" s="2"/>
      <c r="G136" s="2"/>
      <c r="H136" s="2"/>
      <c r="I136" s="2"/>
    </row>
    <row r="137" spans="1:9">
      <c r="A137" s="1" t="s">
        <v>585</v>
      </c>
      <c r="B137" s="1" t="s">
        <v>652</v>
      </c>
      <c r="C137" s="1"/>
      <c r="D137" s="1"/>
      <c r="E137" s="2"/>
      <c r="F137" s="2"/>
      <c r="G137" s="2"/>
      <c r="H137" s="2"/>
      <c r="I137" s="2"/>
    </row>
    <row r="138" spans="1:9">
      <c r="A138" s="2"/>
      <c r="B138" s="2"/>
      <c r="C138" s="2"/>
      <c r="D138" s="2"/>
      <c r="E138" s="2"/>
      <c r="F138" s="2"/>
      <c r="G138" s="2"/>
      <c r="H138" s="2"/>
      <c r="I138" s="2"/>
    </row>
    <row r="139" spans="1:9">
      <c r="A139" s="2" t="s">
        <v>586</v>
      </c>
      <c r="B139" s="2"/>
      <c r="C139" s="2"/>
      <c r="D139" s="2"/>
      <c r="E139" s="2"/>
      <c r="F139" s="2"/>
      <c r="G139" s="2"/>
      <c r="H139" s="2"/>
      <c r="I139" s="2"/>
    </row>
    <row r="140" spans="1:9">
      <c r="A140" s="2"/>
      <c r="B140" s="2"/>
      <c r="C140" s="2"/>
      <c r="D140" s="2"/>
      <c r="E140" s="2"/>
      <c r="F140" s="2"/>
      <c r="G140" s="2"/>
      <c r="H140" s="2"/>
      <c r="I140" s="2"/>
    </row>
    <row r="141" spans="1:9">
      <c r="A141" s="304" t="s">
        <v>587</v>
      </c>
      <c r="B141" s="2" t="s">
        <v>588</v>
      </c>
      <c r="C141" s="2"/>
      <c r="D141" s="2"/>
      <c r="E141" s="2"/>
      <c r="F141" s="2"/>
      <c r="G141" s="2"/>
      <c r="H141" s="2"/>
      <c r="I141" s="2"/>
    </row>
    <row r="142" spans="1:9">
      <c r="A142" s="305" t="s">
        <v>587</v>
      </c>
      <c r="B142" s="307">
        <v>0.52</v>
      </c>
      <c r="C142" s="2"/>
      <c r="D142" s="2"/>
      <c r="E142" s="2"/>
      <c r="F142" s="2"/>
      <c r="G142" s="2"/>
      <c r="H142" s="2"/>
      <c r="I142" s="2"/>
    </row>
    <row r="143" spans="1:9">
      <c r="A143" s="2"/>
      <c r="B143" s="2"/>
      <c r="C143" s="2"/>
      <c r="D143" s="2"/>
      <c r="E143" s="2"/>
      <c r="F143" s="2"/>
      <c r="G143" s="2"/>
      <c r="H143" s="2"/>
      <c r="I143" s="2"/>
    </row>
    <row r="144" spans="1:9">
      <c r="A144" s="2" t="s">
        <v>589</v>
      </c>
      <c r="B144" s="2"/>
      <c r="C144" s="2"/>
      <c r="D144" s="2"/>
      <c r="E144" s="2"/>
      <c r="F144" s="2"/>
      <c r="G144" s="2"/>
      <c r="H144" s="2"/>
      <c r="I144" s="2"/>
    </row>
    <row r="145" spans="1:9">
      <c r="A145" s="2"/>
      <c r="B145" s="2"/>
      <c r="C145" s="2"/>
      <c r="D145" s="2"/>
      <c r="E145" s="2"/>
      <c r="F145" s="2"/>
      <c r="G145" s="2"/>
      <c r="H145" s="2"/>
      <c r="I145" s="2"/>
    </row>
    <row r="146" spans="1:9">
      <c r="A146" s="60" t="s">
        <v>644</v>
      </c>
      <c r="B146" s="18"/>
      <c r="C146" s="17">
        <v>2400</v>
      </c>
      <c r="D146" s="2" t="s">
        <v>108</v>
      </c>
      <c r="E146" s="2" t="s">
        <v>645</v>
      </c>
      <c r="F146" s="2"/>
      <c r="G146" s="2"/>
      <c r="H146" s="2"/>
      <c r="I146" s="2"/>
    </row>
    <row r="147" spans="1:9">
      <c r="A147" s="59" t="s">
        <v>131</v>
      </c>
      <c r="B147" s="18"/>
      <c r="C147" s="17">
        <v>-110</v>
      </c>
      <c r="D147" s="2" t="s">
        <v>108</v>
      </c>
      <c r="E147" s="2" t="s">
        <v>164</v>
      </c>
      <c r="F147" s="2"/>
      <c r="G147" s="2"/>
      <c r="H147" s="2"/>
      <c r="I147" s="2"/>
    </row>
    <row r="148" spans="1:9">
      <c r="A148" s="59" t="s">
        <v>132</v>
      </c>
      <c r="B148" s="18"/>
      <c r="C148" s="17">
        <v>0</v>
      </c>
      <c r="D148" s="2" t="s">
        <v>108</v>
      </c>
      <c r="E148" s="2"/>
      <c r="F148" s="2"/>
      <c r="G148" s="2"/>
      <c r="H148" s="2"/>
      <c r="I148" s="2"/>
    </row>
    <row r="149" spans="1:9">
      <c r="A149" s="62" t="s">
        <v>133</v>
      </c>
      <c r="B149" s="63"/>
      <c r="C149" s="66">
        <f>SUM(C146:C148)</f>
        <v>2290</v>
      </c>
      <c r="D149" s="57" t="s">
        <v>108</v>
      </c>
      <c r="E149" s="2"/>
      <c r="F149" s="2"/>
      <c r="G149" s="2"/>
      <c r="H149" s="2"/>
      <c r="I149" s="2"/>
    </row>
    <row r="150" spans="1:9">
      <c r="A150" s="59" t="s">
        <v>135</v>
      </c>
      <c r="B150" s="18"/>
      <c r="C150" s="17">
        <v>-120</v>
      </c>
      <c r="D150" s="2" t="s">
        <v>108</v>
      </c>
      <c r="E150" s="2" t="s">
        <v>164</v>
      </c>
      <c r="F150" s="2"/>
      <c r="G150" s="2"/>
      <c r="H150" s="2"/>
      <c r="I150" s="2"/>
    </row>
    <row r="151" spans="1:9">
      <c r="A151" s="62" t="s">
        <v>136</v>
      </c>
      <c r="B151" s="63"/>
      <c r="C151" s="66">
        <f>C149+C150</f>
        <v>2170</v>
      </c>
      <c r="D151" s="57" t="s">
        <v>108</v>
      </c>
      <c r="E151" s="2"/>
      <c r="F151" s="2"/>
      <c r="G151" s="2"/>
      <c r="H151" s="2"/>
      <c r="I151" s="2"/>
    </row>
    <row r="152" spans="1:9">
      <c r="A152" s="59" t="s">
        <v>137</v>
      </c>
      <c r="B152" s="18"/>
      <c r="C152" s="17">
        <v>-70</v>
      </c>
      <c r="D152" s="2" t="s">
        <v>108</v>
      </c>
      <c r="E152" s="2"/>
      <c r="F152" s="2"/>
      <c r="G152" s="2"/>
      <c r="H152" s="2"/>
      <c r="I152" s="2"/>
    </row>
    <row r="153" spans="1:9" ht="15.75" thickBot="1">
      <c r="A153" s="64" t="s">
        <v>138</v>
      </c>
      <c r="B153" s="65"/>
      <c r="C153" s="67">
        <f>C151+C152</f>
        <v>2100</v>
      </c>
      <c r="D153" s="55" t="s">
        <v>108</v>
      </c>
      <c r="E153" s="2" t="s">
        <v>647</v>
      </c>
      <c r="F153" s="2"/>
      <c r="G153" s="2"/>
      <c r="H153" s="2"/>
      <c r="I153" s="2"/>
    </row>
    <row r="154" spans="1:9" ht="15.75" thickTop="1">
      <c r="A154" s="322"/>
      <c r="B154" s="323"/>
      <c r="C154" s="72"/>
      <c r="D154" s="14"/>
      <c r="E154" s="2"/>
      <c r="F154" s="2"/>
      <c r="G154" s="2"/>
      <c r="H154" s="2"/>
      <c r="I154" s="2"/>
    </row>
    <row r="155" spans="1:9">
      <c r="A155" s="2" t="s">
        <v>590</v>
      </c>
      <c r="B155" s="2"/>
      <c r="C155" s="2"/>
      <c r="D155" s="2"/>
      <c r="E155" s="2"/>
      <c r="F155" s="2"/>
      <c r="G155" s="2"/>
      <c r="H155" s="2"/>
      <c r="I155" s="2"/>
    </row>
    <row r="156" spans="1:9">
      <c r="A156" s="2" t="s">
        <v>646</v>
      </c>
      <c r="B156" s="2"/>
      <c r="C156" s="2"/>
      <c r="D156" s="2"/>
      <c r="E156" s="2"/>
      <c r="F156" s="2"/>
      <c r="G156" s="2"/>
      <c r="H156" s="2"/>
      <c r="I156" s="2"/>
    </row>
    <row r="157" spans="1:9">
      <c r="A157" s="2"/>
      <c r="B157" s="2"/>
      <c r="C157" s="2"/>
      <c r="D157" s="2"/>
      <c r="E157" s="2"/>
      <c r="F157" s="2"/>
      <c r="G157" s="2"/>
      <c r="H157" s="2"/>
      <c r="I157" s="2"/>
    </row>
    <row r="158" spans="1:9">
      <c r="A158" s="2" t="s">
        <v>653</v>
      </c>
      <c r="B158" s="2"/>
      <c r="C158" s="2"/>
      <c r="D158" s="2"/>
      <c r="E158" s="2"/>
      <c r="F158" s="2"/>
      <c r="G158" s="2"/>
      <c r="H158" s="2"/>
      <c r="I158" s="2"/>
    </row>
    <row r="159" spans="1:9">
      <c r="A159" s="204" t="s">
        <v>591</v>
      </c>
      <c r="B159" s="14"/>
      <c r="C159" s="2"/>
      <c r="D159" s="2"/>
      <c r="E159" s="2"/>
      <c r="F159" s="2"/>
      <c r="G159" s="2"/>
      <c r="H159" s="2"/>
      <c r="I159" s="2"/>
    </row>
    <row r="160" spans="1:9">
      <c r="A160" s="2"/>
      <c r="B160" s="2"/>
      <c r="C160" s="2"/>
      <c r="D160" s="2"/>
      <c r="E160" s="2"/>
      <c r="F160" s="2"/>
      <c r="G160" s="2"/>
      <c r="H160" s="2"/>
      <c r="I160" s="2"/>
    </row>
    <row r="161" spans="1:9">
      <c r="A161" s="2" t="s">
        <v>592</v>
      </c>
      <c r="B161" s="2"/>
      <c r="C161" s="2"/>
      <c r="D161" s="2"/>
      <c r="E161" s="2"/>
      <c r="F161" s="2"/>
      <c r="G161" s="2"/>
      <c r="H161" s="2"/>
      <c r="I161" s="2"/>
    </row>
    <row r="162" spans="1:9">
      <c r="A162" s="2" t="s">
        <v>593</v>
      </c>
      <c r="B162" s="2" t="s">
        <v>594</v>
      </c>
      <c r="C162" s="2"/>
      <c r="D162" s="2"/>
      <c r="E162" s="2"/>
      <c r="F162" s="2"/>
      <c r="G162" s="2"/>
      <c r="H162" s="2"/>
      <c r="I162" s="2"/>
    </row>
    <row r="163" spans="1:9">
      <c r="A163" s="2" t="s">
        <v>593</v>
      </c>
      <c r="B163" s="2" t="s">
        <v>648</v>
      </c>
      <c r="C163" s="2"/>
      <c r="D163" s="2"/>
      <c r="E163" s="2"/>
      <c r="F163" s="2"/>
      <c r="G163" s="2"/>
      <c r="H163" s="2"/>
      <c r="I163" s="2"/>
    </row>
    <row r="164" spans="1:9">
      <c r="A164" s="85" t="s">
        <v>593</v>
      </c>
      <c r="B164" s="324">
        <v>9576</v>
      </c>
      <c r="C164" s="2"/>
      <c r="D164" s="2"/>
      <c r="E164" s="2"/>
      <c r="F164" s="2"/>
      <c r="G164" s="2"/>
      <c r="H164" s="2"/>
      <c r="I164" s="2"/>
    </row>
    <row r="165" spans="1:9">
      <c r="A165" s="2"/>
      <c r="B165" s="2"/>
      <c r="C165" s="2"/>
      <c r="D165" s="2"/>
      <c r="E165" s="2"/>
      <c r="F165" s="2"/>
      <c r="G165" s="2"/>
      <c r="H165" s="2"/>
      <c r="I165" s="2"/>
    </row>
    <row r="166" spans="1:9">
      <c r="A166" s="2" t="s">
        <v>595</v>
      </c>
      <c r="B166" s="2"/>
      <c r="C166" s="2"/>
      <c r="D166" s="2"/>
      <c r="E166" s="2"/>
      <c r="F166" s="2"/>
      <c r="G166" s="2"/>
      <c r="H166" s="2"/>
      <c r="I166" s="2"/>
    </row>
    <row r="167" spans="1:9">
      <c r="A167" s="1" t="s">
        <v>584</v>
      </c>
      <c r="B167" s="1" t="s">
        <v>649</v>
      </c>
      <c r="C167" s="1"/>
      <c r="D167" s="1"/>
      <c r="E167" s="2"/>
      <c r="F167" s="2"/>
      <c r="G167" s="2"/>
      <c r="H167" s="2"/>
      <c r="I167" s="2"/>
    </row>
    <row r="168" spans="1:9">
      <c r="A168" s="1" t="s">
        <v>585</v>
      </c>
      <c r="B168" s="1" t="s">
        <v>650</v>
      </c>
      <c r="C168" s="1"/>
      <c r="D168" s="1"/>
      <c r="E168" s="2"/>
      <c r="F168" s="2"/>
      <c r="G168" s="2"/>
      <c r="H168" s="2"/>
      <c r="I168" s="2"/>
    </row>
    <row r="169" spans="1:9">
      <c r="A169" s="2"/>
      <c r="B169" s="2"/>
      <c r="C169" s="2"/>
      <c r="D169" s="2"/>
      <c r="E169" s="2"/>
      <c r="F169" s="2"/>
      <c r="G169" s="2"/>
      <c r="H169" s="2"/>
      <c r="I169" s="2"/>
    </row>
    <row r="170" spans="1:9">
      <c r="A170" s="2" t="s">
        <v>596</v>
      </c>
      <c r="B170" s="2"/>
      <c r="C170" s="2"/>
      <c r="D170" s="2"/>
      <c r="E170" s="2"/>
      <c r="F170" s="2"/>
      <c r="G170" s="2"/>
      <c r="H170" s="2"/>
      <c r="I170" s="2"/>
    </row>
    <row r="171" spans="1:9">
      <c r="A171" s="2"/>
      <c r="B171" s="2"/>
      <c r="C171" s="2"/>
      <c r="D171" s="2"/>
      <c r="E171" s="2"/>
      <c r="F171" s="2"/>
      <c r="G171" s="2"/>
      <c r="H171" s="2"/>
      <c r="I171" s="2"/>
    </row>
    <row r="172" spans="1:9">
      <c r="A172" s="2" t="s">
        <v>597</v>
      </c>
      <c r="B172" s="2"/>
      <c r="C172" s="2"/>
      <c r="D172" s="2" t="s">
        <v>598</v>
      </c>
      <c r="E172" s="2"/>
      <c r="F172" s="2"/>
      <c r="G172" s="2"/>
      <c r="H172" s="2"/>
      <c r="I172" s="2"/>
    </row>
    <row r="173" spans="1:9">
      <c r="A173" s="309" t="s">
        <v>543</v>
      </c>
      <c r="B173" s="325">
        <v>212.5</v>
      </c>
      <c r="C173" s="325">
        <f>D173/B173</f>
        <v>0.7</v>
      </c>
      <c r="D173" s="325">
        <v>148.75</v>
      </c>
      <c r="E173" s="2"/>
      <c r="F173" s="2"/>
      <c r="G173" s="2"/>
      <c r="H173" s="2"/>
      <c r="I173" s="2"/>
    </row>
    <row r="174" spans="1:9">
      <c r="A174" s="311" t="s">
        <v>544</v>
      </c>
      <c r="B174" s="310">
        <v>1400</v>
      </c>
      <c r="C174" s="325">
        <f>D174/B174</f>
        <v>0.8</v>
      </c>
      <c r="D174" s="310">
        <v>1120</v>
      </c>
      <c r="E174" s="2"/>
      <c r="F174" s="2"/>
      <c r="G174" s="2"/>
      <c r="H174" s="2"/>
      <c r="I174" s="2"/>
    </row>
    <row r="175" spans="1:9" ht="25.5">
      <c r="A175" s="311" t="s">
        <v>545</v>
      </c>
      <c r="B175" s="310">
        <f>B176-B174-B173</f>
        <v>-300</v>
      </c>
      <c r="C175" s="312" t="s">
        <v>599</v>
      </c>
      <c r="D175" s="325">
        <v>-218.75</v>
      </c>
      <c r="E175" s="2"/>
      <c r="F175" s="2"/>
      <c r="G175" s="2"/>
      <c r="H175" s="2"/>
      <c r="I175" s="2"/>
    </row>
    <row r="176" spans="1:9" ht="15.75" thickBot="1">
      <c r="A176" s="313" t="s">
        <v>53</v>
      </c>
      <c r="B176" s="326">
        <v>1312.5</v>
      </c>
      <c r="C176" s="326">
        <v>0.8</v>
      </c>
      <c r="D176" s="314">
        <f>B176*C176</f>
        <v>1050</v>
      </c>
      <c r="E176" s="2"/>
      <c r="F176" s="2"/>
      <c r="G176" s="2"/>
      <c r="H176" s="2"/>
      <c r="I176" s="2"/>
    </row>
    <row r="177" spans="1:9" ht="15.75" thickTop="1">
      <c r="A177" s="2"/>
      <c r="B177" s="2"/>
      <c r="C177" s="2"/>
      <c r="D177" s="2"/>
      <c r="E177" s="2"/>
      <c r="F177" s="2"/>
      <c r="G177" s="2"/>
      <c r="H177" s="2"/>
      <c r="I177" s="2"/>
    </row>
    <row r="178" spans="1:9">
      <c r="A178" s="2" t="s">
        <v>655</v>
      </c>
      <c r="B178" s="2"/>
      <c r="C178" s="2"/>
      <c r="D178" s="2"/>
      <c r="E178" s="2"/>
      <c r="F178" s="2"/>
      <c r="G178" s="2"/>
      <c r="H178" s="2"/>
      <c r="I178" s="2"/>
    </row>
    <row r="179" spans="1:9">
      <c r="A179" s="1" t="s">
        <v>600</v>
      </c>
      <c r="B179" s="1" t="s">
        <v>654</v>
      </c>
      <c r="C179" s="1"/>
      <c r="D179" s="1"/>
      <c r="E179" s="1"/>
      <c r="F179" s="2"/>
      <c r="G179" s="2"/>
      <c r="H179" s="2"/>
      <c r="I179" s="2"/>
    </row>
    <row r="180" spans="1:9">
      <c r="A180" s="1" t="s">
        <v>601</v>
      </c>
      <c r="B180" s="1" t="s">
        <v>656</v>
      </c>
      <c r="C180" s="1"/>
      <c r="D180" s="1"/>
      <c r="E180" s="1"/>
      <c r="F180" s="2"/>
      <c r="G180" s="2"/>
      <c r="H180" s="2"/>
      <c r="I180" s="2"/>
    </row>
    <row r="181" spans="1:9">
      <c r="A181" s="2"/>
      <c r="B181" s="2"/>
      <c r="C181" s="2"/>
      <c r="D181" s="2"/>
      <c r="E181" s="2"/>
      <c r="F181" s="2"/>
      <c r="G181" s="2"/>
      <c r="H181" s="2"/>
      <c r="I181" s="2"/>
    </row>
    <row r="182" spans="1:9">
      <c r="A182" s="2" t="s">
        <v>657</v>
      </c>
      <c r="B182" s="2"/>
      <c r="C182" s="2"/>
      <c r="D182" s="2"/>
      <c r="E182" s="2"/>
      <c r="F182" s="2"/>
      <c r="G182" s="2"/>
      <c r="H182" s="2"/>
      <c r="I182" s="2"/>
    </row>
    <row r="183" spans="1:9">
      <c r="A183" s="2"/>
      <c r="B183" s="2"/>
      <c r="C183" s="2"/>
      <c r="D183" s="2"/>
      <c r="E183" s="2"/>
      <c r="F183" s="2"/>
      <c r="G183" s="2"/>
      <c r="H183" s="2"/>
      <c r="I183" s="2"/>
    </row>
    <row r="184" spans="1:9">
      <c r="A184" s="2" t="s">
        <v>602</v>
      </c>
      <c r="B184" s="2"/>
      <c r="C184" s="2"/>
      <c r="D184" s="2" t="s">
        <v>598</v>
      </c>
      <c r="E184" s="2"/>
      <c r="F184" s="2"/>
      <c r="G184" s="2"/>
      <c r="H184" s="2"/>
      <c r="I184" s="2"/>
    </row>
    <row r="185" spans="1:9">
      <c r="A185" s="309" t="s">
        <v>543</v>
      </c>
      <c r="B185" s="310">
        <v>200</v>
      </c>
      <c r="C185" s="325">
        <f>D185/B185</f>
        <v>2</v>
      </c>
      <c r="D185" s="310">
        <v>400</v>
      </c>
      <c r="E185" s="2"/>
      <c r="F185" s="2"/>
      <c r="G185" s="2"/>
      <c r="H185" s="2"/>
      <c r="I185" s="2"/>
    </row>
    <row r="186" spans="1:9">
      <c r="A186" s="311" t="s">
        <v>544</v>
      </c>
      <c r="B186" s="310">
        <v>1600</v>
      </c>
      <c r="C186" s="325">
        <f>C185</f>
        <v>2</v>
      </c>
      <c r="D186" s="310">
        <f>B186*C186</f>
        <v>3200</v>
      </c>
      <c r="E186" s="2"/>
      <c r="F186" s="2"/>
      <c r="G186" s="2"/>
      <c r="H186" s="2"/>
      <c r="I186" s="2"/>
    </row>
    <row r="187" spans="1:9">
      <c r="A187" s="311" t="s">
        <v>545</v>
      </c>
      <c r="B187" s="310">
        <f>B188-B186-B185</f>
        <v>-750</v>
      </c>
      <c r="C187" s="325">
        <v>2</v>
      </c>
      <c r="D187" s="310">
        <f>B187*C187</f>
        <v>-1500</v>
      </c>
      <c r="E187" s="2"/>
      <c r="F187" s="2"/>
      <c r="G187" s="2"/>
      <c r="H187" s="2"/>
      <c r="I187" s="2"/>
    </row>
    <row r="188" spans="1:9" ht="15.75" thickBot="1">
      <c r="A188" s="313" t="s">
        <v>53</v>
      </c>
      <c r="B188" s="314">
        <v>1050</v>
      </c>
      <c r="C188" s="326">
        <v>2</v>
      </c>
      <c r="D188" s="314">
        <f>B188*C188</f>
        <v>2100</v>
      </c>
      <c r="E188" s="2"/>
      <c r="F188" s="2"/>
      <c r="G188" s="2"/>
      <c r="H188" s="2"/>
      <c r="I188" s="2"/>
    </row>
    <row r="189" spans="1:9" ht="15.75" thickTop="1">
      <c r="A189" s="2"/>
      <c r="B189" s="2"/>
      <c r="C189" s="2"/>
      <c r="D189" s="2"/>
      <c r="E189" s="2"/>
      <c r="F189" s="2"/>
      <c r="G189" s="2"/>
      <c r="H189" s="2"/>
      <c r="I189" s="2"/>
    </row>
    <row r="190" spans="1:9">
      <c r="A190" s="2" t="s">
        <v>658</v>
      </c>
      <c r="B190" s="2"/>
      <c r="C190" s="2"/>
      <c r="D190" s="2"/>
      <c r="E190" s="2"/>
      <c r="F190" s="2"/>
      <c r="G190" s="2"/>
      <c r="H190" s="2"/>
      <c r="I190" s="2"/>
    </row>
    <row r="191" spans="1:9">
      <c r="A191" s="1" t="s">
        <v>600</v>
      </c>
      <c r="B191" s="1" t="s">
        <v>659</v>
      </c>
      <c r="C191" s="1"/>
      <c r="D191" s="1"/>
      <c r="E191" s="1"/>
      <c r="F191" s="2"/>
      <c r="G191" s="2"/>
      <c r="H191" s="2"/>
      <c r="I191" s="2"/>
    </row>
    <row r="192" spans="1:9">
      <c r="A192" s="1" t="s">
        <v>601</v>
      </c>
      <c r="B192" s="1" t="s">
        <v>660</v>
      </c>
      <c r="C192" s="1"/>
      <c r="D192" s="1"/>
      <c r="E192" s="1"/>
      <c r="F192" s="2"/>
      <c r="G192" s="2"/>
      <c r="H192" s="2"/>
      <c r="I192" s="2"/>
    </row>
    <row r="193" spans="1:9">
      <c r="A193" s="2"/>
      <c r="B193" s="2"/>
      <c r="C193" s="2"/>
      <c r="D193" s="2"/>
      <c r="E193" s="2"/>
      <c r="F193" s="2"/>
      <c r="G193" s="2"/>
      <c r="H193" s="2"/>
      <c r="I193" s="2"/>
    </row>
    <row r="194" spans="1:9">
      <c r="A194" s="2" t="s">
        <v>661</v>
      </c>
      <c r="B194" s="2"/>
      <c r="C194" s="2"/>
      <c r="D194" s="2"/>
      <c r="E194" s="2"/>
      <c r="F194" s="2"/>
      <c r="G194" s="2"/>
      <c r="H194" s="2"/>
      <c r="I194" s="2"/>
    </row>
    <row r="195" spans="1:9">
      <c r="A195" s="2"/>
      <c r="B195" s="2"/>
      <c r="C195" s="2"/>
      <c r="D195" s="2"/>
      <c r="E195" s="2"/>
      <c r="F195" s="2"/>
      <c r="G195" s="2"/>
      <c r="H195" s="2"/>
      <c r="I195" s="2"/>
    </row>
    <row r="196" spans="1:9">
      <c r="A196" s="327"/>
      <c r="B196" s="328" t="s">
        <v>603</v>
      </c>
      <c r="C196" s="306" t="s">
        <v>604</v>
      </c>
      <c r="D196" s="306" t="s">
        <v>605</v>
      </c>
      <c r="E196" s="306" t="s">
        <v>606</v>
      </c>
      <c r="F196" s="2"/>
      <c r="G196" s="2"/>
      <c r="H196" s="2"/>
      <c r="I196" s="2"/>
    </row>
    <row r="197" spans="1:9">
      <c r="A197" s="193" t="s">
        <v>607</v>
      </c>
      <c r="B197" s="329">
        <v>7236</v>
      </c>
      <c r="C197" s="329">
        <v>0</v>
      </c>
      <c r="D197" s="329">
        <v>0</v>
      </c>
      <c r="E197" s="330">
        <f t="shared" ref="E197:E205" si="0">SUM(B197:D197)</f>
        <v>7236</v>
      </c>
      <c r="F197" s="2"/>
      <c r="G197" s="2"/>
      <c r="H197" s="2"/>
      <c r="I197" s="2"/>
    </row>
    <row r="198" spans="1:9">
      <c r="A198" s="193" t="s">
        <v>608</v>
      </c>
      <c r="B198" s="329"/>
      <c r="C198" s="329"/>
      <c r="D198" s="329"/>
      <c r="E198" s="331">
        <f t="shared" si="0"/>
        <v>0</v>
      </c>
      <c r="F198" s="2"/>
      <c r="G198" s="2"/>
      <c r="H198" s="2"/>
      <c r="I198" s="2"/>
    </row>
    <row r="199" spans="1:9">
      <c r="A199" s="332" t="s">
        <v>609</v>
      </c>
      <c r="B199" s="329">
        <v>0</v>
      </c>
      <c r="C199" s="329">
        <v>480</v>
      </c>
      <c r="D199" s="329">
        <v>570</v>
      </c>
      <c r="E199" s="331">
        <f t="shared" si="0"/>
        <v>1050</v>
      </c>
      <c r="F199" s="2"/>
      <c r="G199" s="2"/>
      <c r="H199" s="2"/>
      <c r="I199" s="2"/>
    </row>
    <row r="200" spans="1:9">
      <c r="A200" s="332" t="s">
        <v>610</v>
      </c>
      <c r="B200" s="329">
        <v>0</v>
      </c>
      <c r="C200" s="329">
        <v>960</v>
      </c>
      <c r="D200" s="329">
        <v>1140</v>
      </c>
      <c r="E200" s="331">
        <f t="shared" si="0"/>
        <v>2100</v>
      </c>
      <c r="F200" s="2"/>
      <c r="G200" s="2"/>
      <c r="H200" s="2"/>
      <c r="I200" s="2"/>
    </row>
    <row r="201" spans="1:9">
      <c r="A201" s="332" t="s">
        <v>611</v>
      </c>
      <c r="B201" s="329">
        <v>0</v>
      </c>
      <c r="C201" s="329">
        <v>4377.6000000000004</v>
      </c>
      <c r="D201" s="329">
        <v>5198.3999999999996</v>
      </c>
      <c r="E201" s="331">
        <f t="shared" si="0"/>
        <v>9576</v>
      </c>
      <c r="F201" s="2"/>
      <c r="G201" s="2"/>
      <c r="H201" s="2"/>
      <c r="I201" s="2"/>
    </row>
    <row r="202" spans="1:9">
      <c r="A202" s="332" t="s">
        <v>612</v>
      </c>
      <c r="B202" s="329">
        <v>0</v>
      </c>
      <c r="C202" s="329">
        <v>5760</v>
      </c>
      <c r="D202" s="329">
        <v>6840</v>
      </c>
      <c r="E202" s="331">
        <f t="shared" si="0"/>
        <v>12600</v>
      </c>
      <c r="F202" s="2"/>
      <c r="G202" s="2"/>
      <c r="H202" s="2"/>
      <c r="I202" s="2"/>
    </row>
    <row r="203" spans="1:9">
      <c r="A203" s="333" t="s">
        <v>613</v>
      </c>
      <c r="B203" s="329">
        <v>0</v>
      </c>
      <c r="C203" s="334">
        <f>SUM(C199:C202)</f>
        <v>11577.6</v>
      </c>
      <c r="D203" s="334">
        <f>SUM(D199:D202)</f>
        <v>13748.4</v>
      </c>
      <c r="E203" s="335">
        <f t="shared" si="0"/>
        <v>25326</v>
      </c>
      <c r="F203" s="2"/>
      <c r="G203" s="2"/>
      <c r="H203" s="2"/>
      <c r="I203" s="2"/>
    </row>
    <row r="204" spans="1:9">
      <c r="A204" s="336" t="s">
        <v>614</v>
      </c>
      <c r="B204" s="329">
        <v>0</v>
      </c>
      <c r="C204" s="329">
        <v>0</v>
      </c>
      <c r="D204" s="329">
        <f>-D203</f>
        <v>-13748.4</v>
      </c>
      <c r="E204" s="331">
        <f t="shared" si="0"/>
        <v>-13748.4</v>
      </c>
      <c r="F204" s="2"/>
      <c r="G204" s="2"/>
      <c r="H204" s="2"/>
      <c r="I204" s="2"/>
    </row>
    <row r="205" spans="1:9">
      <c r="A205" s="204" t="s">
        <v>615</v>
      </c>
      <c r="B205" s="337">
        <v>7236</v>
      </c>
      <c r="C205" s="337">
        <f>C197+C203-C204</f>
        <v>11577.6</v>
      </c>
      <c r="D205" s="337">
        <f>D197+D203+D204</f>
        <v>0</v>
      </c>
      <c r="E205" s="338">
        <f t="shared" si="0"/>
        <v>18813.599999999999</v>
      </c>
      <c r="F205" s="2"/>
      <c r="G205" s="2"/>
      <c r="H205" s="2"/>
      <c r="I205" s="2"/>
    </row>
    <row r="206" spans="1:9">
      <c r="A206" s="2"/>
      <c r="B206" s="2"/>
      <c r="C206" s="2"/>
      <c r="D206" s="2"/>
      <c r="E206" s="2"/>
      <c r="F206" s="2"/>
      <c r="G206" s="2"/>
      <c r="H206" s="2"/>
      <c r="I206" s="2"/>
    </row>
    <row r="207" spans="1:9">
      <c r="A207" s="2" t="s">
        <v>616</v>
      </c>
      <c r="B207" s="2"/>
      <c r="C207" s="2"/>
      <c r="D207" s="2"/>
      <c r="E207" s="2"/>
      <c r="F207" s="2"/>
      <c r="G207" s="2"/>
      <c r="H207" s="2"/>
      <c r="I207" s="2"/>
    </row>
    <row r="208" spans="1:9">
      <c r="A208" s="2"/>
      <c r="B208" s="2"/>
      <c r="C208" s="2"/>
      <c r="D208" s="2"/>
      <c r="E208" s="2"/>
      <c r="F208" s="2"/>
      <c r="G208" s="2"/>
      <c r="H208" s="2"/>
      <c r="I208" s="339"/>
    </row>
    <row r="209" spans="1:10">
      <c r="A209" s="2" t="s">
        <v>617</v>
      </c>
      <c r="B209" s="54">
        <f>1500*7+2400*7</f>
        <v>27300</v>
      </c>
      <c r="C209" s="2" t="s">
        <v>618</v>
      </c>
      <c r="D209" s="2"/>
      <c r="E209" s="2"/>
      <c r="F209" s="2"/>
      <c r="G209" s="2"/>
      <c r="H209" s="2"/>
      <c r="I209" s="2"/>
    </row>
    <row r="210" spans="1:10">
      <c r="A210" s="46" t="s">
        <v>619</v>
      </c>
      <c r="B210" s="340">
        <f>-E205</f>
        <v>-18813.599999999999</v>
      </c>
      <c r="C210" s="2" t="s">
        <v>620</v>
      </c>
      <c r="D210" s="2"/>
      <c r="E210" s="2"/>
      <c r="F210" s="2"/>
      <c r="G210" s="2"/>
      <c r="H210" s="2"/>
      <c r="I210" s="2"/>
    </row>
    <row r="211" spans="1:10">
      <c r="A211" s="1" t="s">
        <v>621</v>
      </c>
      <c r="B211" s="342">
        <f>B209+B210</f>
        <v>8486.4000000000015</v>
      </c>
      <c r="C211" s="2"/>
      <c r="D211" s="2"/>
      <c r="E211" s="2"/>
      <c r="F211" s="2"/>
      <c r="G211" s="2"/>
      <c r="H211" s="2"/>
      <c r="I211" s="2"/>
    </row>
    <row r="212" spans="1:10">
      <c r="A212" s="2" t="s">
        <v>622</v>
      </c>
      <c r="B212" s="54">
        <v>-3000</v>
      </c>
      <c r="C212" s="2" t="s">
        <v>164</v>
      </c>
      <c r="D212" s="2"/>
      <c r="E212" s="2"/>
      <c r="F212" s="2"/>
      <c r="G212" s="2"/>
      <c r="H212" s="2"/>
      <c r="I212" s="2"/>
    </row>
    <row r="213" spans="1:10">
      <c r="A213" s="2" t="s">
        <v>623</v>
      </c>
      <c r="B213" s="54">
        <f>-(0.03*B209+0.25*(1500+2400))</f>
        <v>-1794</v>
      </c>
      <c r="C213" s="2" t="s">
        <v>624</v>
      </c>
      <c r="D213" s="2"/>
      <c r="E213" s="2"/>
      <c r="F213" s="2"/>
      <c r="G213" s="2"/>
      <c r="H213" s="2"/>
      <c r="I213" s="2"/>
    </row>
    <row r="214" spans="1:10">
      <c r="A214" s="2" t="s">
        <v>625</v>
      </c>
      <c r="B214" s="54">
        <f>-1125-385</f>
        <v>-1510</v>
      </c>
      <c r="C214" s="2" t="s">
        <v>626</v>
      </c>
      <c r="D214" s="2"/>
      <c r="E214" s="2"/>
      <c r="F214" s="2"/>
      <c r="G214" s="2"/>
      <c r="H214" s="2"/>
      <c r="I214" s="2"/>
    </row>
    <row r="215" spans="1:10">
      <c r="A215" s="46" t="s">
        <v>627</v>
      </c>
      <c r="B215" s="340">
        <f>-190*4.56</f>
        <v>-866.4</v>
      </c>
      <c r="C215" s="2" t="s">
        <v>1600</v>
      </c>
      <c r="D215" s="2"/>
      <c r="E215" s="2"/>
      <c r="F215" s="2"/>
      <c r="G215" s="2"/>
      <c r="H215" s="2"/>
      <c r="I215" s="2"/>
    </row>
    <row r="216" spans="1:10" ht="15.75" thickBot="1">
      <c r="A216" s="294" t="s">
        <v>628</v>
      </c>
      <c r="B216" s="343">
        <f>B211+B212+B213+B214+B215</f>
        <v>1316.0000000000014</v>
      </c>
      <c r="C216" s="2"/>
      <c r="D216" s="2"/>
      <c r="E216" s="2"/>
      <c r="F216" s="2"/>
      <c r="G216" s="2"/>
      <c r="H216" s="2"/>
      <c r="I216" s="2"/>
    </row>
    <row r="217" spans="1:10" ht="15.75" thickTop="1">
      <c r="A217" s="2"/>
      <c r="B217" s="2"/>
      <c r="C217" s="2"/>
      <c r="D217" s="2"/>
      <c r="E217" s="2"/>
      <c r="F217" s="2"/>
      <c r="G217" s="2"/>
      <c r="H217" s="2"/>
      <c r="I217" s="2"/>
    </row>
    <row r="218" spans="1:10" s="850" customFormat="1">
      <c r="A218" s="1" t="s">
        <v>2259</v>
      </c>
      <c r="B218" s="2"/>
      <c r="C218" s="2"/>
      <c r="D218" s="2"/>
      <c r="E218" s="2"/>
      <c r="F218" s="2"/>
      <c r="G218" s="2"/>
      <c r="H218" s="2"/>
      <c r="I218" s="2"/>
    </row>
    <row r="219" spans="1:10" s="850" customFormat="1">
      <c r="A219" s="666"/>
      <c r="B219"/>
      <c r="C219"/>
      <c r="D219"/>
      <c r="E219"/>
      <c r="F219"/>
      <c r="G219"/>
      <c r="H219"/>
      <c r="I219"/>
      <c r="J219"/>
    </row>
    <row r="220" spans="1:10" s="850" customFormat="1">
      <c r="A220" s="2" t="s">
        <v>1047</v>
      </c>
      <c r="B220"/>
      <c r="C220"/>
      <c r="D220"/>
      <c r="E220"/>
      <c r="F220"/>
      <c r="G220"/>
      <c r="H220"/>
      <c r="I220"/>
      <c r="J220"/>
    </row>
    <row r="221" spans="1:10" s="850" customFormat="1">
      <c r="A221" s="309" t="s">
        <v>543</v>
      </c>
      <c r="B221" s="310">
        <v>500</v>
      </c>
      <c r="C221" s="417">
        <f>D221/B221</f>
        <v>0.25</v>
      </c>
      <c r="D221" s="417">
        <v>125</v>
      </c>
      <c r="E221" s="423">
        <v>43100</v>
      </c>
      <c r="F221"/>
      <c r="G221"/>
      <c r="H221"/>
      <c r="I221"/>
      <c r="J221"/>
    </row>
    <row r="222" spans="1:10" s="850" customFormat="1">
      <c r="A222" s="997" t="s">
        <v>544</v>
      </c>
      <c r="B222" s="310">
        <v>1500</v>
      </c>
      <c r="C222" s="417">
        <v>0.26</v>
      </c>
      <c r="D222" s="417">
        <f>B222*C222</f>
        <v>390</v>
      </c>
      <c r="E222" s="423">
        <v>42737</v>
      </c>
      <c r="F222"/>
      <c r="G222"/>
      <c r="H222"/>
      <c r="I222"/>
      <c r="J222"/>
    </row>
    <row r="223" spans="1:10" s="850" customFormat="1">
      <c r="A223" s="998"/>
      <c r="B223" s="310">
        <f>B225-B224-B222-B221</f>
        <v>2000</v>
      </c>
      <c r="C223" s="417">
        <f>D223/B223</f>
        <v>0.27</v>
      </c>
      <c r="D223" s="417">
        <v>540</v>
      </c>
      <c r="E223" s="423">
        <v>42750</v>
      </c>
      <c r="F223" s="423" t="s">
        <v>985</v>
      </c>
      <c r="G223" s="410"/>
      <c r="H223" s="410"/>
      <c r="I223" s="410"/>
      <c r="J223" s="410"/>
    </row>
    <row r="224" spans="1:10" s="850" customFormat="1">
      <c r="A224" s="311" t="s">
        <v>545</v>
      </c>
      <c r="B224" s="310">
        <f>-(B221*2)</f>
        <v>-1000</v>
      </c>
      <c r="C224" s="417">
        <f>C223</f>
        <v>0.27</v>
      </c>
      <c r="D224" s="417">
        <f>B224*C224</f>
        <v>-270</v>
      </c>
      <c r="E224" s="423">
        <v>42766</v>
      </c>
      <c r="F224"/>
      <c r="G224"/>
      <c r="H224"/>
      <c r="I224"/>
      <c r="J224"/>
    </row>
    <row r="225" spans="1:10" s="850" customFormat="1">
      <c r="A225" s="1028" t="s">
        <v>53</v>
      </c>
      <c r="B225" s="1029">
        <f>B233*0.25</f>
        <v>3000</v>
      </c>
      <c r="C225" s="310" t="s">
        <v>980</v>
      </c>
      <c r="D225" s="1040">
        <f>D221+D222+1000*C223</f>
        <v>785</v>
      </c>
      <c r="E225" s="2"/>
      <c r="F225"/>
      <c r="G225"/>
      <c r="H225"/>
      <c r="I225"/>
      <c r="J225"/>
    </row>
    <row r="226" spans="1:10" s="850" customFormat="1">
      <c r="A226" s="1028"/>
      <c r="B226" s="1029"/>
      <c r="C226" s="310" t="s">
        <v>981</v>
      </c>
      <c r="D226" s="1041"/>
      <c r="E226" s="2"/>
      <c r="F226"/>
      <c r="G226"/>
      <c r="H226"/>
      <c r="I226"/>
      <c r="J226"/>
    </row>
    <row r="227" spans="1:10" s="850" customFormat="1">
      <c r="A227" s="1028"/>
      <c r="B227" s="1029"/>
      <c r="C227" s="310" t="s">
        <v>982</v>
      </c>
      <c r="D227" s="1042"/>
      <c r="E227" s="2"/>
      <c r="F227" s="410"/>
      <c r="G227" s="410"/>
      <c r="H227" s="410"/>
      <c r="I227" s="410"/>
      <c r="J227" s="410"/>
    </row>
    <row r="228" spans="1:10" s="850" customFormat="1">
      <c r="A228" s="418"/>
      <c r="B228" s="419"/>
      <c r="C228" s="419"/>
      <c r="D228" s="420"/>
      <c r="E228" s="410"/>
      <c r="F228" s="410"/>
      <c r="G228" s="410"/>
      <c r="H228" s="410"/>
      <c r="I228" s="410"/>
      <c r="J228" s="410"/>
    </row>
    <row r="229" spans="1:10" s="850" customFormat="1">
      <c r="A229" s="418" t="s">
        <v>994</v>
      </c>
      <c r="B229" s="419"/>
      <c r="C229" s="419"/>
      <c r="D229" s="420"/>
      <c r="E229" s="410"/>
      <c r="F229" s="410"/>
      <c r="G229" s="410"/>
      <c r="H229" s="410"/>
      <c r="I229" s="410"/>
      <c r="J229" s="410"/>
    </row>
    <row r="230" spans="1:10" s="850" customFormat="1">
      <c r="A230" s="418" t="s">
        <v>995</v>
      </c>
      <c r="B230" s="419">
        <v>3000</v>
      </c>
      <c r="C230" s="419"/>
      <c r="D230" s="420"/>
      <c r="E230" s="410"/>
      <c r="F230" s="410"/>
      <c r="G230" s="410"/>
      <c r="H230" s="410"/>
      <c r="I230" s="410"/>
      <c r="J230" s="410"/>
    </row>
    <row r="231" spans="1:10" s="850" customFormat="1">
      <c r="A231" s="418" t="s">
        <v>996</v>
      </c>
      <c r="B231" s="419">
        <v>5000</v>
      </c>
      <c r="C231" s="419"/>
      <c r="D231" s="420"/>
      <c r="E231" s="410"/>
      <c r="F231" s="410"/>
      <c r="G231" s="410"/>
      <c r="H231" s="410"/>
      <c r="I231" s="410"/>
      <c r="J231" s="410"/>
    </row>
    <row r="232" spans="1:10" s="850" customFormat="1">
      <c r="A232" s="418" t="s">
        <v>997</v>
      </c>
      <c r="B232" s="419">
        <v>4000</v>
      </c>
      <c r="C232" s="419"/>
      <c r="D232" s="420"/>
      <c r="E232" s="410"/>
      <c r="F232" s="410"/>
      <c r="G232" s="410"/>
      <c r="H232" s="410"/>
      <c r="I232" s="410"/>
      <c r="J232" s="410"/>
    </row>
    <row r="233" spans="1:10" s="850" customFormat="1">
      <c r="A233" s="424" t="s">
        <v>606</v>
      </c>
      <c r="B233" s="425">
        <f>B230+B231+B232</f>
        <v>12000</v>
      </c>
      <c r="C233" s="419"/>
      <c r="D233" s="420"/>
      <c r="E233" s="410"/>
      <c r="F233" s="410"/>
      <c r="G233" s="410"/>
      <c r="H233" s="410"/>
      <c r="I233" s="410"/>
      <c r="J233" s="410"/>
    </row>
    <row r="234" spans="1:10" s="850" customFormat="1">
      <c r="A234" s="418"/>
      <c r="B234" s="419"/>
      <c r="C234" s="419"/>
      <c r="D234" s="420"/>
      <c r="E234" s="410"/>
      <c r="F234" s="410"/>
      <c r="G234" s="410"/>
      <c r="H234" s="410"/>
      <c r="I234" s="410"/>
      <c r="J234" s="410"/>
    </row>
    <row r="235" spans="1:10" s="850" customFormat="1">
      <c r="A235" s="2" t="s">
        <v>979</v>
      </c>
      <c r="B235" s="2"/>
      <c r="C235" s="2"/>
      <c r="D235" s="2"/>
      <c r="E235"/>
      <c r="F235"/>
      <c r="G235"/>
      <c r="H235"/>
      <c r="I235"/>
      <c r="J235"/>
    </row>
    <row r="236" spans="1:10" s="850" customFormat="1" ht="17.25">
      <c r="A236" s="85" t="s">
        <v>976</v>
      </c>
      <c r="B236" s="100"/>
      <c r="C236" s="2"/>
      <c r="D236" s="2"/>
      <c r="E236"/>
      <c r="F236"/>
      <c r="G236"/>
      <c r="H236"/>
      <c r="I236"/>
      <c r="J236"/>
    </row>
    <row r="237" spans="1:10" s="850" customFormat="1">
      <c r="A237" s="14"/>
      <c r="B237" s="14"/>
      <c r="C237" s="2"/>
      <c r="D237" s="2"/>
      <c r="E237" s="410"/>
      <c r="F237" s="410"/>
      <c r="G237" s="410"/>
      <c r="H237" s="410"/>
      <c r="I237" s="410"/>
      <c r="J237" s="410"/>
    </row>
    <row r="238" spans="1:10" s="850" customFormat="1">
      <c r="A238" s="2" t="s">
        <v>977</v>
      </c>
      <c r="B238"/>
      <c r="C238"/>
      <c r="D238"/>
      <c r="E238"/>
      <c r="F238"/>
      <c r="G238"/>
      <c r="H238"/>
      <c r="I238"/>
      <c r="J238"/>
    </row>
    <row r="239" spans="1:10" s="850" customFormat="1">
      <c r="A239" s="211" t="s">
        <v>978</v>
      </c>
      <c r="B239"/>
      <c r="C239"/>
      <c r="D239"/>
      <c r="E239"/>
      <c r="F239"/>
      <c r="G239"/>
      <c r="H239"/>
      <c r="I239"/>
      <c r="J239"/>
    </row>
    <row r="240" spans="1:10" s="850" customFormat="1">
      <c r="A240" s="211" t="s">
        <v>983</v>
      </c>
      <c r="B240"/>
      <c r="C240"/>
      <c r="D240"/>
      <c r="E240"/>
      <c r="F240"/>
      <c r="G240"/>
      <c r="H240"/>
      <c r="I240"/>
      <c r="J240"/>
    </row>
    <row r="241" spans="1:10" s="850" customFormat="1">
      <c r="A241" s="421" t="s">
        <v>984</v>
      </c>
      <c r="B241" s="422"/>
      <c r="C241"/>
      <c r="D241"/>
      <c r="E241"/>
      <c r="F241"/>
      <c r="G241"/>
      <c r="H241"/>
      <c r="I241"/>
      <c r="J241"/>
    </row>
    <row r="242" spans="1:10" s="850" customFormat="1">
      <c r="A242"/>
      <c r="B242"/>
      <c r="C242"/>
      <c r="D242"/>
      <c r="E242"/>
      <c r="F242"/>
      <c r="G242"/>
      <c r="H242"/>
      <c r="I242"/>
      <c r="J242"/>
    </row>
    <row r="243" spans="1:10" s="850" customFormat="1">
      <c r="A243" s="211" t="s">
        <v>1048</v>
      </c>
      <c r="B243"/>
      <c r="C243"/>
      <c r="D243"/>
      <c r="E243"/>
      <c r="F243"/>
      <c r="G243"/>
      <c r="H243"/>
      <c r="I243"/>
      <c r="J243"/>
    </row>
    <row r="244" spans="1:10" s="850" customFormat="1">
      <c r="A244" s="18" t="s">
        <v>134</v>
      </c>
      <c r="B244" s="18"/>
      <c r="C244" s="17">
        <v>7500</v>
      </c>
      <c r="D244" s="2" t="s">
        <v>108</v>
      </c>
      <c r="E244" s="2" t="s">
        <v>986</v>
      </c>
      <c r="F244" s="2"/>
      <c r="G244" s="2"/>
      <c r="H244" s="2"/>
      <c r="I244"/>
      <c r="J244"/>
    </row>
    <row r="245" spans="1:10" s="850" customFormat="1">
      <c r="A245" s="59" t="s">
        <v>131</v>
      </c>
      <c r="B245" s="18"/>
      <c r="C245" s="17">
        <f>-(9*14*7.5)</f>
        <v>-945</v>
      </c>
      <c r="D245" s="2" t="s">
        <v>108</v>
      </c>
      <c r="E245" s="2" t="s">
        <v>987</v>
      </c>
      <c r="F245" s="2"/>
      <c r="G245" s="2"/>
      <c r="H245" s="2"/>
      <c r="I245"/>
      <c r="J245"/>
    </row>
    <row r="246" spans="1:10" s="850" customFormat="1">
      <c r="A246" s="59" t="s">
        <v>132</v>
      </c>
      <c r="B246" s="18"/>
      <c r="C246" s="17">
        <v>-55</v>
      </c>
      <c r="D246" s="2" t="s">
        <v>108</v>
      </c>
      <c r="E246" s="2" t="s">
        <v>988</v>
      </c>
      <c r="F246" s="2"/>
      <c r="G246" s="2"/>
      <c r="H246" s="2"/>
      <c r="I246"/>
      <c r="J246"/>
    </row>
    <row r="247" spans="1:10" s="850" customFormat="1">
      <c r="A247" s="63" t="s">
        <v>133</v>
      </c>
      <c r="B247" s="63"/>
      <c r="C247" s="66">
        <f>C244+C245+C246</f>
        <v>6500</v>
      </c>
      <c r="D247" s="57" t="s">
        <v>108</v>
      </c>
      <c r="E247" s="2"/>
      <c r="F247" s="2"/>
      <c r="G247" s="2"/>
      <c r="H247" s="2"/>
      <c r="I247"/>
      <c r="J247"/>
    </row>
    <row r="248" spans="1:10" s="850" customFormat="1">
      <c r="A248" s="59" t="s">
        <v>135</v>
      </c>
      <c r="B248" s="18"/>
      <c r="C248" s="17">
        <v>-500</v>
      </c>
      <c r="D248" s="2" t="s">
        <v>108</v>
      </c>
      <c r="E248" s="2" t="s">
        <v>164</v>
      </c>
      <c r="F248" s="2"/>
      <c r="G248" s="2"/>
      <c r="H248" s="2"/>
      <c r="I248"/>
      <c r="J248"/>
    </row>
    <row r="249" spans="1:10" s="850" customFormat="1">
      <c r="A249" s="63" t="s">
        <v>136</v>
      </c>
      <c r="B249" s="63"/>
      <c r="C249" s="66">
        <f>C247+C248</f>
        <v>6000</v>
      </c>
      <c r="D249" s="57" t="s">
        <v>108</v>
      </c>
      <c r="E249" s="2"/>
      <c r="F249" s="2"/>
      <c r="G249" s="2"/>
      <c r="H249" s="2"/>
      <c r="I249"/>
      <c r="J249"/>
    </row>
    <row r="250" spans="1:10" s="850" customFormat="1">
      <c r="A250" s="59" t="s">
        <v>137</v>
      </c>
      <c r="B250" s="18"/>
      <c r="C250" s="17">
        <v>0</v>
      </c>
      <c r="D250" s="2" t="s">
        <v>108</v>
      </c>
      <c r="E250" s="2" t="s">
        <v>989</v>
      </c>
      <c r="F250" s="2"/>
      <c r="G250" s="2"/>
      <c r="H250" s="2"/>
      <c r="I250"/>
      <c r="J250"/>
    </row>
    <row r="251" spans="1:10" s="850" customFormat="1" ht="15.75" thickBot="1">
      <c r="A251" s="64" t="s">
        <v>138</v>
      </c>
      <c r="B251" s="64"/>
      <c r="C251" s="426">
        <f>C249</f>
        <v>6000</v>
      </c>
      <c r="D251" s="294" t="s">
        <v>108</v>
      </c>
      <c r="E251" s="2"/>
      <c r="F251" s="2"/>
      <c r="G251" s="2"/>
      <c r="H251" s="2"/>
      <c r="I251"/>
      <c r="J251"/>
    </row>
    <row r="252" spans="1:10" s="850" customFormat="1" ht="15.75" thickTop="1">
      <c r="A252" s="2"/>
      <c r="B252" s="2"/>
      <c r="C252" s="2"/>
      <c r="D252" s="2"/>
      <c r="E252" s="2"/>
      <c r="F252" s="2"/>
      <c r="G252" s="2"/>
      <c r="H252" s="2"/>
      <c r="I252"/>
      <c r="J252"/>
    </row>
    <row r="253" spans="1:10" s="850" customFormat="1">
      <c r="A253" s="2" t="s">
        <v>171</v>
      </c>
      <c r="B253" s="412" t="s">
        <v>990</v>
      </c>
      <c r="C253" s="409"/>
      <c r="D253" s="409"/>
      <c r="E253"/>
      <c r="F253"/>
      <c r="G253"/>
      <c r="H253"/>
      <c r="I253"/>
      <c r="J253"/>
    </row>
    <row r="254" spans="1:10" s="850" customFormat="1">
      <c r="A254" s="2"/>
      <c r="B254" s="411" t="s">
        <v>991</v>
      </c>
      <c r="C254" s="409"/>
      <c r="D254" s="409"/>
      <c r="E254"/>
      <c r="F254"/>
      <c r="G254"/>
      <c r="H254"/>
      <c r="I254"/>
      <c r="J254"/>
    </row>
    <row r="255" spans="1:10" s="850" customFormat="1">
      <c r="A255" s="2"/>
      <c r="B255" s="411"/>
      <c r="C255" s="409"/>
      <c r="D255" s="409"/>
      <c r="E255" s="410"/>
      <c r="F255" s="410"/>
      <c r="G255" s="410"/>
      <c r="H255" s="410"/>
      <c r="I255" s="410"/>
      <c r="J255" s="410"/>
    </row>
    <row r="256" spans="1:10" s="850" customFormat="1">
      <c r="A256" s="2" t="s">
        <v>171</v>
      </c>
      <c r="B256" s="412" t="s">
        <v>992</v>
      </c>
      <c r="C256" s="409"/>
      <c r="D256" s="409"/>
      <c r="E256"/>
      <c r="F256"/>
      <c r="G256"/>
      <c r="H256"/>
      <c r="I256"/>
      <c r="J256"/>
    </row>
    <row r="257" spans="1:10" s="850" customFormat="1">
      <c r="A257" s="409"/>
      <c r="B257" s="411" t="s">
        <v>993</v>
      </c>
      <c r="C257" s="409"/>
      <c r="D257" s="409"/>
      <c r="E257"/>
      <c r="F257"/>
      <c r="G257"/>
      <c r="H257"/>
      <c r="I257"/>
      <c r="J257"/>
    </row>
    <row r="258" spans="1:10" s="850" customFormat="1">
      <c r="A258" s="2"/>
      <c r="B258" s="2"/>
      <c r="C258" s="2"/>
      <c r="D258" s="409"/>
      <c r="E258"/>
      <c r="F258"/>
      <c r="G258"/>
      <c r="H258"/>
      <c r="I258"/>
      <c r="J258"/>
    </row>
    <row r="259" spans="1:10" s="850" customFormat="1">
      <c r="A259" s="2" t="s">
        <v>171</v>
      </c>
      <c r="B259" s="414">
        <f>C251/B233</f>
        <v>0.5</v>
      </c>
      <c r="C259" s="100" t="s">
        <v>113</v>
      </c>
      <c r="D259" s="409"/>
      <c r="E259"/>
      <c r="F259"/>
      <c r="G259"/>
      <c r="H259"/>
      <c r="I259"/>
      <c r="J259"/>
    </row>
    <row r="260" spans="1:10" s="850" customFormat="1">
      <c r="A260" s="377"/>
      <c r="B260" s="368"/>
      <c r="C260" s="368"/>
      <c r="D260"/>
      <c r="E260"/>
      <c r="F260"/>
      <c r="G260"/>
      <c r="H260"/>
      <c r="I260"/>
      <c r="J260"/>
    </row>
    <row r="261" spans="1:10" s="850" customFormat="1">
      <c r="A261" s="323" t="s">
        <v>1034</v>
      </c>
      <c r="B261"/>
      <c r="C261"/>
      <c r="D261"/>
      <c r="E261"/>
      <c r="F261"/>
      <c r="G261"/>
      <c r="H261"/>
      <c r="I261"/>
      <c r="J261"/>
    </row>
    <row r="262" spans="1:10" s="850" customFormat="1">
      <c r="A262" s="323"/>
      <c r="B262" s="410"/>
      <c r="C262" s="410"/>
      <c r="D262" s="410"/>
      <c r="E262" s="410"/>
      <c r="F262" s="410"/>
      <c r="G262" s="410"/>
      <c r="H262" s="410"/>
      <c r="I262" s="410"/>
      <c r="J262" s="410"/>
    </row>
    <row r="263" spans="1:10" s="850" customFormat="1">
      <c r="A263" s="2" t="s">
        <v>998</v>
      </c>
      <c r="B263" s="2"/>
      <c r="C263" s="2"/>
      <c r="D263" s="2"/>
      <c r="E263" s="2"/>
      <c r="F263" s="2"/>
      <c r="G263" s="2"/>
      <c r="H263"/>
      <c r="I263"/>
      <c r="J263"/>
    </row>
    <row r="264" spans="1:10" s="850" customFormat="1">
      <c r="A264" s="85" t="s">
        <v>999</v>
      </c>
      <c r="B264" s="86"/>
      <c r="C264" s="114">
        <f>((1+0.04+0.05+0.01)*(1.0833)*(1.239)+(0.0135+0.01008))-1</f>
        <v>0.50000957000000001</v>
      </c>
      <c r="D264" s="2"/>
      <c r="E264" s="2"/>
      <c r="F264" s="2"/>
      <c r="G264" s="2"/>
      <c r="H264"/>
      <c r="I264"/>
      <c r="J264"/>
    </row>
    <row r="265" spans="1:10" s="850" customFormat="1">
      <c r="A265"/>
      <c r="B265"/>
      <c r="C265"/>
      <c r="D265"/>
      <c r="E265"/>
      <c r="F265"/>
      <c r="G265"/>
      <c r="H265"/>
      <c r="I265"/>
      <c r="J265"/>
    </row>
    <row r="266" spans="1:10" s="850" customFormat="1">
      <c r="A266" s="323" t="s">
        <v>1049</v>
      </c>
      <c r="B266" s="427"/>
      <c r="C266"/>
      <c r="D266"/>
      <c r="E266"/>
      <c r="F266"/>
      <c r="G266"/>
      <c r="H266"/>
      <c r="I266"/>
      <c r="J266"/>
    </row>
    <row r="267" spans="1:10" s="850" customFormat="1">
      <c r="A267" s="323"/>
      <c r="B267" s="427"/>
      <c r="C267" s="410"/>
      <c r="D267" s="410"/>
      <c r="E267" s="410"/>
      <c r="F267" s="410"/>
      <c r="G267" s="410"/>
      <c r="H267" s="410"/>
      <c r="I267" s="410"/>
      <c r="J267" s="410"/>
    </row>
    <row r="268" spans="1:10" s="850" customFormat="1">
      <c r="A268" s="323" t="s">
        <v>1001</v>
      </c>
      <c r="B268" s="427"/>
      <c r="C268" s="427"/>
      <c r="D268" s="427"/>
      <c r="E268"/>
      <c r="F268"/>
      <c r="G268"/>
      <c r="H268"/>
      <c r="I268"/>
      <c r="J268"/>
    </row>
    <row r="269" spans="1:10" s="850" customFormat="1">
      <c r="A269" s="323" t="s">
        <v>1002</v>
      </c>
      <c r="B269" s="323"/>
      <c r="C269" s="323"/>
      <c r="D269" s="323"/>
      <c r="E269"/>
      <c r="F269"/>
      <c r="G269"/>
      <c r="H269"/>
      <c r="I269"/>
      <c r="J269"/>
    </row>
    <row r="270" spans="1:10" s="850" customFormat="1" ht="16.5" customHeight="1">
      <c r="A270" s="113" t="s">
        <v>1000</v>
      </c>
      <c r="B270" s="428">
        <f>5*(1+C264)</f>
        <v>7.5000478499999996</v>
      </c>
      <c r="C270" s="323"/>
      <c r="D270" s="323"/>
      <c r="E270"/>
      <c r="F270"/>
      <c r="G270"/>
      <c r="H270"/>
      <c r="I270"/>
      <c r="J270"/>
    </row>
    <row r="271" spans="1:10" s="850" customFormat="1">
      <c r="A271"/>
      <c r="B271"/>
      <c r="C271"/>
      <c r="D271"/>
      <c r="E271"/>
      <c r="F271"/>
      <c r="G271"/>
      <c r="H271"/>
      <c r="I271"/>
      <c r="J271"/>
    </row>
    <row r="272" spans="1:10" s="850" customFormat="1">
      <c r="A272" s="429" t="s">
        <v>1050</v>
      </c>
      <c r="B272" s="410"/>
      <c r="C272" s="410"/>
      <c r="D272" s="410"/>
      <c r="E272" s="410"/>
      <c r="F272" s="410"/>
      <c r="G272" s="410"/>
      <c r="H272" s="410"/>
      <c r="I272" s="410"/>
      <c r="J272" s="410"/>
    </row>
    <row r="273" spans="1:10" s="850" customFormat="1">
      <c r="A273" s="2"/>
      <c r="B273" s="918" t="s">
        <v>505</v>
      </c>
      <c r="C273" s="918"/>
      <c r="D273" s="918" t="s">
        <v>506</v>
      </c>
      <c r="E273" s="918"/>
      <c r="F273" s="918" t="s">
        <v>507</v>
      </c>
      <c r="G273" s="918"/>
      <c r="H273" s="918" t="s">
        <v>508</v>
      </c>
      <c r="I273" s="918"/>
      <c r="J273" s="410"/>
    </row>
    <row r="274" spans="1:10" s="850" customFormat="1">
      <c r="A274" s="204" t="s">
        <v>729</v>
      </c>
      <c r="B274" s="1003" t="s">
        <v>1004</v>
      </c>
      <c r="C274" s="1004"/>
      <c r="D274" s="1005" t="s">
        <v>1006</v>
      </c>
      <c r="E274" s="1006"/>
      <c r="F274" s="1005" t="str">
        <f>D274</f>
        <v>2,880 HM (1)</v>
      </c>
      <c r="G274" s="1006"/>
      <c r="H274" s="1005" t="str">
        <f>F274</f>
        <v>2,880 HM (1)</v>
      </c>
      <c r="I274" s="1006"/>
      <c r="J274" s="410"/>
    </row>
    <row r="275" spans="1:10" s="850" customFormat="1">
      <c r="A275" s="204" t="s">
        <v>510</v>
      </c>
      <c r="B275" s="297" t="s">
        <v>1009</v>
      </c>
      <c r="C275" s="277">
        <v>1680</v>
      </c>
      <c r="D275" s="297">
        <v>0.28000000000000003</v>
      </c>
      <c r="E275" s="277">
        <v>806.40000000000009</v>
      </c>
      <c r="F275" s="297">
        <v>0.58333333333333337</v>
      </c>
      <c r="G275" s="277">
        <v>1680</v>
      </c>
      <c r="H275" s="1007" t="s">
        <v>638</v>
      </c>
      <c r="I275" s="1008"/>
      <c r="J275" s="410"/>
    </row>
    <row r="276" spans="1:10" s="850" customFormat="1">
      <c r="A276" s="204" t="s">
        <v>511</v>
      </c>
      <c r="B276" s="297">
        <v>0.15</v>
      </c>
      <c r="C276" s="277">
        <v>900</v>
      </c>
      <c r="D276" s="297">
        <v>0.15</v>
      </c>
      <c r="E276" s="277">
        <v>432</v>
      </c>
      <c r="F276" s="297">
        <v>0.15</v>
      </c>
      <c r="G276" s="277">
        <v>432</v>
      </c>
      <c r="H276" s="1009"/>
      <c r="I276" s="1010"/>
      <c r="J276" s="410"/>
    </row>
    <row r="277" spans="1:10" s="850" customFormat="1">
      <c r="A277" s="204" t="s">
        <v>512</v>
      </c>
      <c r="B277" s="297">
        <v>0.43</v>
      </c>
      <c r="C277" s="277">
        <v>2580</v>
      </c>
      <c r="D277" s="297">
        <v>0.43</v>
      </c>
      <c r="E277" s="353">
        <v>1238.4000000000001</v>
      </c>
      <c r="F277" s="297">
        <v>0.73333333333333339</v>
      </c>
      <c r="G277" s="277">
        <v>2112</v>
      </c>
      <c r="H277" s="297"/>
      <c r="I277" s="277">
        <v>2064</v>
      </c>
      <c r="J277" s="410"/>
    </row>
    <row r="278" spans="1:10" s="850" customFormat="1">
      <c r="A278" s="2" t="s">
        <v>724</v>
      </c>
      <c r="B278" s="2"/>
      <c r="C278" s="2"/>
      <c r="D278" s="2"/>
      <c r="E278" s="85" t="s">
        <v>568</v>
      </c>
      <c r="F278" s="355">
        <f>E277-G277</f>
        <v>-873.59999999999991</v>
      </c>
      <c r="G278" s="85" t="s">
        <v>569</v>
      </c>
      <c r="H278" s="355">
        <f>G277-I277</f>
        <v>48</v>
      </c>
      <c r="I278" s="2"/>
      <c r="J278" s="410"/>
    </row>
    <row r="279" spans="1:10" s="850" customFormat="1">
      <c r="A279" s="2"/>
      <c r="B279" s="2"/>
      <c r="C279" s="2"/>
      <c r="D279" s="2"/>
      <c r="E279" s="1011" t="s">
        <v>738</v>
      </c>
      <c r="F279" s="1011"/>
      <c r="G279" s="1011"/>
      <c r="H279" s="359">
        <f>F278+H278</f>
        <v>-825.59999999999991</v>
      </c>
      <c r="I279" s="2"/>
      <c r="J279" s="410"/>
    </row>
    <row r="280" spans="1:10" s="850" customFormat="1">
      <c r="A280" s="2" t="s">
        <v>1010</v>
      </c>
      <c r="B280" s="2"/>
      <c r="C280" s="2"/>
      <c r="D280" s="2"/>
      <c r="E280" s="19"/>
      <c r="F280" s="19"/>
      <c r="G280" s="19"/>
      <c r="H280" s="359"/>
      <c r="I280" s="2"/>
      <c r="J280" s="410"/>
    </row>
    <row r="281" spans="1:10" s="850" customFormat="1">
      <c r="A281" s="14" t="s">
        <v>1005</v>
      </c>
      <c r="B281" s="14"/>
      <c r="C281" s="2"/>
      <c r="D281" s="2"/>
      <c r="E281" s="19"/>
      <c r="F281" s="19"/>
      <c r="G281" s="19"/>
      <c r="H281" s="359"/>
      <c r="I281" s="2"/>
      <c r="J281" s="410"/>
    </row>
    <row r="282" spans="1:10" s="850" customFormat="1">
      <c r="A282" s="2" t="s">
        <v>1011</v>
      </c>
      <c r="B282" s="2"/>
      <c r="C282" s="2"/>
      <c r="D282" s="2"/>
      <c r="E282" s="19"/>
      <c r="F282" s="19"/>
      <c r="G282" s="19"/>
      <c r="H282" s="359"/>
      <c r="I282" s="2"/>
      <c r="J282" s="410"/>
    </row>
    <row r="283" spans="1:10" s="850" customFormat="1">
      <c r="A283" s="2" t="s">
        <v>1007</v>
      </c>
      <c r="B283" s="2"/>
      <c r="C283" s="2"/>
      <c r="D283" s="2"/>
      <c r="E283" s="19"/>
      <c r="F283" s="19"/>
      <c r="G283" s="19"/>
      <c r="H283" s="359"/>
      <c r="I283" s="2"/>
      <c r="J283" s="410"/>
    </row>
    <row r="284" spans="1:10" s="850" customFormat="1">
      <c r="A284" s="14" t="s">
        <v>1008</v>
      </c>
      <c r="B284" s="14"/>
      <c r="C284" s="2"/>
      <c r="D284" s="2"/>
      <c r="E284" s="19"/>
      <c r="F284" s="19"/>
      <c r="G284" s="19"/>
      <c r="H284" s="359"/>
      <c r="I284" s="2"/>
      <c r="J284" s="410"/>
    </row>
    <row r="285" spans="1:10" s="850" customFormat="1">
      <c r="A285" s="2"/>
      <c r="B285" s="2"/>
      <c r="C285" s="2"/>
      <c r="D285" s="2"/>
      <c r="E285" s="19"/>
      <c r="F285" s="19"/>
      <c r="G285" s="19"/>
      <c r="H285" s="359"/>
      <c r="I285" s="2"/>
      <c r="J285" s="410"/>
    </row>
    <row r="286" spans="1:10" s="850" customFormat="1">
      <c r="A286" s="429" t="s">
        <v>1051</v>
      </c>
      <c r="B286"/>
      <c r="C286"/>
      <c r="D286"/>
      <c r="E286"/>
      <c r="F286"/>
      <c r="G286"/>
      <c r="H286"/>
      <c r="I286"/>
      <c r="J286"/>
    </row>
    <row r="287" spans="1:10" s="850" customFormat="1">
      <c r="A287" s="429" t="s">
        <v>1003</v>
      </c>
      <c r="B287"/>
      <c r="C287"/>
      <c r="D287"/>
      <c r="E287"/>
      <c r="F287"/>
      <c r="G287"/>
      <c r="H287"/>
      <c r="I287"/>
      <c r="J287"/>
    </row>
    <row r="288" spans="1:10" s="850" customFormat="1">
      <c r="A288" s="2"/>
      <c r="B288" s="413" t="s">
        <v>676</v>
      </c>
      <c r="C288" s="413" t="s">
        <v>677</v>
      </c>
      <c r="D288" s="413" t="s">
        <v>90</v>
      </c>
      <c r="E288"/>
      <c r="F288"/>
      <c r="G288"/>
      <c r="H288"/>
      <c r="I288"/>
      <c r="J288"/>
    </row>
    <row r="289" spans="1:10" s="850" customFormat="1">
      <c r="A289" s="204" t="s">
        <v>679</v>
      </c>
      <c r="B289" s="346">
        <v>0</v>
      </c>
      <c r="C289" s="347">
        <v>0</v>
      </c>
      <c r="D289" s="347">
        <v>0</v>
      </c>
      <c r="E289"/>
      <c r="F289"/>
      <c r="G289"/>
      <c r="H289"/>
      <c r="I289"/>
      <c r="J289"/>
    </row>
    <row r="290" spans="1:10" s="850" customFormat="1">
      <c r="A290" s="204" t="s">
        <v>608</v>
      </c>
      <c r="B290" s="346">
        <v>3000</v>
      </c>
      <c r="C290" s="360">
        <f>D290/B290</f>
        <v>3.9165333333333336</v>
      </c>
      <c r="D290" s="360">
        <f>D299</f>
        <v>11749.6</v>
      </c>
      <c r="E290"/>
      <c r="F290"/>
      <c r="G290"/>
      <c r="H290"/>
      <c r="I290"/>
      <c r="J290"/>
    </row>
    <row r="291" spans="1:10" s="850" customFormat="1">
      <c r="A291" s="349" t="s">
        <v>683</v>
      </c>
      <c r="B291" s="346">
        <v>0</v>
      </c>
      <c r="C291" s="360">
        <v>0</v>
      </c>
      <c r="D291" s="164">
        <v>0</v>
      </c>
      <c r="E291"/>
      <c r="F291"/>
      <c r="G291"/>
      <c r="H291"/>
      <c r="I291"/>
      <c r="J291"/>
    </row>
    <row r="292" spans="1:10" s="850" customFormat="1">
      <c r="A292" s="282" t="s">
        <v>684</v>
      </c>
      <c r="B292" s="434">
        <f>B289+B290+B291</f>
        <v>3000</v>
      </c>
      <c r="C292" s="435">
        <f>C290</f>
        <v>3.9165333333333336</v>
      </c>
      <c r="D292" s="435">
        <f>D290</f>
        <v>11749.6</v>
      </c>
      <c r="E292"/>
      <c r="F292"/>
      <c r="G292"/>
      <c r="H292"/>
      <c r="I292"/>
      <c r="J292"/>
    </row>
    <row r="293" spans="1:10" s="850" customFormat="1">
      <c r="A293"/>
      <c r="B293"/>
      <c r="C293"/>
      <c r="D293"/>
      <c r="E293"/>
      <c r="F293"/>
      <c r="G293"/>
      <c r="H293"/>
      <c r="I293"/>
      <c r="J293"/>
    </row>
    <row r="294" spans="1:10" s="850" customFormat="1">
      <c r="A294" s="211" t="s">
        <v>1014</v>
      </c>
      <c r="B294"/>
      <c r="C294"/>
      <c r="D294"/>
      <c r="E294"/>
      <c r="F294"/>
      <c r="G294"/>
      <c r="H294"/>
      <c r="I294"/>
      <c r="J294"/>
    </row>
    <row r="295" spans="1:10" s="850" customFormat="1">
      <c r="A295" s="1014" t="s">
        <v>809</v>
      </c>
      <c r="B295" s="81" t="s">
        <v>1012</v>
      </c>
      <c r="C295" s="82"/>
      <c r="D295" s="1012">
        <f>500*0.25+250*0.26</f>
        <v>190</v>
      </c>
      <c r="E295" s="2"/>
      <c r="F295"/>
      <c r="G295"/>
      <c r="H295"/>
      <c r="I295"/>
      <c r="J295"/>
    </row>
    <row r="296" spans="1:10" s="850" customFormat="1">
      <c r="A296" s="1015"/>
      <c r="B296" s="83" t="s">
        <v>1013</v>
      </c>
      <c r="C296" s="327"/>
      <c r="D296" s="1013"/>
      <c r="E296" s="2"/>
      <c r="F296" s="410"/>
      <c r="G296" s="410"/>
      <c r="H296" s="410"/>
      <c r="I296" s="410"/>
      <c r="J296" s="410"/>
    </row>
    <row r="297" spans="1:10" s="850" customFormat="1">
      <c r="A297" s="432" t="s">
        <v>681</v>
      </c>
      <c r="B297" s="81" t="s">
        <v>1015</v>
      </c>
      <c r="C297" s="82"/>
      <c r="D297" s="431">
        <f>1500*7.5</f>
        <v>11250</v>
      </c>
      <c r="E297" s="2"/>
      <c r="F297"/>
      <c r="G297"/>
      <c r="H297"/>
      <c r="I297"/>
      <c r="J297"/>
    </row>
    <row r="298" spans="1:10" s="850" customFormat="1">
      <c r="A298" s="430" t="s">
        <v>685</v>
      </c>
      <c r="B298" s="85" t="s">
        <v>1016</v>
      </c>
      <c r="C298" s="100"/>
      <c r="D298" s="433">
        <f>720*B277</f>
        <v>309.60000000000002</v>
      </c>
      <c r="E298" s="2"/>
      <c r="F298" s="410"/>
      <c r="G298" s="410"/>
      <c r="H298" s="410"/>
      <c r="I298" s="410"/>
      <c r="J298" s="410"/>
    </row>
    <row r="299" spans="1:10" s="850" customFormat="1">
      <c r="A299" s="974" t="s">
        <v>606</v>
      </c>
      <c r="B299" s="975"/>
      <c r="C299" s="975"/>
      <c r="D299" s="436">
        <f>D295+D297+D298</f>
        <v>11749.6</v>
      </c>
      <c r="E299" s="2"/>
      <c r="F299"/>
      <c r="G299"/>
      <c r="H299"/>
      <c r="I299"/>
      <c r="J299"/>
    </row>
    <row r="300" spans="1:10" s="850" customFormat="1">
      <c r="A300"/>
      <c r="B300"/>
      <c r="C300"/>
      <c r="D300"/>
      <c r="E300"/>
      <c r="F300"/>
      <c r="G300"/>
      <c r="H300"/>
      <c r="I300"/>
      <c r="J300"/>
    </row>
    <row r="301" spans="1:10" s="850" customFormat="1">
      <c r="A301" s="429" t="s">
        <v>1052</v>
      </c>
      <c r="B301"/>
      <c r="C301"/>
      <c r="D301"/>
      <c r="E301"/>
      <c r="F301"/>
      <c r="G301"/>
      <c r="H301"/>
      <c r="I301"/>
      <c r="J301"/>
    </row>
    <row r="302" spans="1:10" s="850" customFormat="1">
      <c r="A302" s="429" t="s">
        <v>1017</v>
      </c>
      <c r="B302" s="429" t="s">
        <v>1018</v>
      </c>
      <c r="C302" s="429"/>
      <c r="D302"/>
      <c r="E302"/>
      <c r="F302"/>
      <c r="G302"/>
      <c r="H302"/>
      <c r="I302"/>
      <c r="J302"/>
    </row>
    <row r="303" spans="1:10" s="850" customFormat="1">
      <c r="A303" s="437" t="s">
        <v>1017</v>
      </c>
      <c r="B303" s="438">
        <f>C292*(1.5)</f>
        <v>5.8748000000000005</v>
      </c>
      <c r="C303"/>
      <c r="D303"/>
      <c r="E303"/>
      <c r="F303"/>
      <c r="G303"/>
      <c r="H303"/>
      <c r="I303"/>
      <c r="J303"/>
    </row>
    <row r="304" spans="1:10" s="850" customFormat="1">
      <c r="A304"/>
      <c r="B304"/>
      <c r="C304"/>
      <c r="D304"/>
      <c r="E304"/>
      <c r="F304"/>
      <c r="G304"/>
      <c r="H304"/>
      <c r="I304"/>
      <c r="J304"/>
    </row>
    <row r="305" spans="1:10" s="850" customFormat="1">
      <c r="A305" s="429" t="s">
        <v>1053</v>
      </c>
      <c r="B305"/>
      <c r="C305"/>
      <c r="D305"/>
      <c r="E305"/>
      <c r="F305"/>
      <c r="G305"/>
      <c r="H305"/>
      <c r="I305"/>
      <c r="J305"/>
    </row>
    <row r="306" spans="1:10" s="850" customFormat="1">
      <c r="A306" s="2" t="s">
        <v>617</v>
      </c>
      <c r="B306" s="54">
        <f>B303*B292</f>
        <v>17624.400000000001</v>
      </c>
      <c r="C306" s="2" t="s">
        <v>1020</v>
      </c>
      <c r="D306" s="2"/>
      <c r="E306" s="2"/>
      <c r="F306" s="2"/>
      <c r="G306"/>
      <c r="H306"/>
      <c r="I306"/>
      <c r="J306"/>
    </row>
    <row r="307" spans="1:10" s="850" customFormat="1">
      <c r="A307" s="46" t="s">
        <v>619</v>
      </c>
      <c r="B307" s="340">
        <f>-D292</f>
        <v>-11749.6</v>
      </c>
      <c r="C307" s="2" t="s">
        <v>620</v>
      </c>
      <c r="D307" s="2"/>
      <c r="E307" s="2"/>
      <c r="F307" s="2"/>
      <c r="G307"/>
      <c r="H307"/>
      <c r="I307"/>
      <c r="J307"/>
    </row>
    <row r="308" spans="1:10" s="850" customFormat="1">
      <c r="A308" s="1" t="s">
        <v>621</v>
      </c>
      <c r="B308" s="342">
        <f>B306+B307</f>
        <v>5874.8000000000011</v>
      </c>
      <c r="C308" s="2"/>
      <c r="D308" s="2"/>
      <c r="E308" s="2"/>
      <c r="F308" s="2"/>
      <c r="G308"/>
      <c r="H308"/>
      <c r="I308"/>
      <c r="J308"/>
    </row>
    <row r="309" spans="1:10" s="850" customFormat="1">
      <c r="A309" s="2" t="s">
        <v>622</v>
      </c>
      <c r="B309" s="54">
        <v>-2900</v>
      </c>
      <c r="C309" s="2" t="s">
        <v>164</v>
      </c>
      <c r="D309" s="2"/>
      <c r="E309" s="2"/>
      <c r="F309" s="2"/>
      <c r="G309"/>
      <c r="H309"/>
      <c r="I309"/>
      <c r="J309"/>
    </row>
    <row r="310" spans="1:10" s="850" customFormat="1">
      <c r="A310" s="2" t="s">
        <v>623</v>
      </c>
      <c r="B310" s="54">
        <f>-0.035*B306</f>
        <v>-616.85400000000016</v>
      </c>
      <c r="C310" s="2" t="s">
        <v>1019</v>
      </c>
      <c r="D310" s="2"/>
      <c r="E310" s="2"/>
      <c r="F310" s="2"/>
      <c r="G310"/>
      <c r="H310"/>
      <c r="I310"/>
      <c r="J310"/>
    </row>
    <row r="311" spans="1:10" s="850" customFormat="1">
      <c r="A311" s="2" t="s">
        <v>625</v>
      </c>
      <c r="B311" s="54">
        <f>H279</f>
        <v>-825.59999999999991</v>
      </c>
      <c r="C311" s="2" t="s">
        <v>1021</v>
      </c>
      <c r="D311" s="2"/>
      <c r="E311" s="2"/>
      <c r="F311" s="2"/>
      <c r="G311"/>
      <c r="H311"/>
      <c r="I311"/>
      <c r="J311"/>
    </row>
    <row r="312" spans="1:10" s="850" customFormat="1">
      <c r="A312" s="46" t="s">
        <v>627</v>
      </c>
      <c r="B312" s="340">
        <f>C248*B270</f>
        <v>-3750.023925</v>
      </c>
      <c r="C312" s="2" t="s">
        <v>1022</v>
      </c>
      <c r="D312" s="2"/>
      <c r="E312" s="2"/>
      <c r="F312" s="2"/>
      <c r="G312"/>
      <c r="H312"/>
      <c r="I312"/>
      <c r="J312"/>
    </row>
    <row r="313" spans="1:10" s="850" customFormat="1" ht="15.75" thickBot="1">
      <c r="A313" s="294" t="s">
        <v>628</v>
      </c>
      <c r="B313" s="343">
        <f>B308+B309+B310+B311+B312</f>
        <v>-2217.677924999999</v>
      </c>
      <c r="C313" s="2"/>
      <c r="D313" s="2"/>
      <c r="E313" s="2"/>
      <c r="F313" s="2"/>
      <c r="G313"/>
      <c r="H313"/>
      <c r="I313"/>
      <c r="J313"/>
    </row>
    <row r="314" spans="1:10" s="850" customFormat="1" ht="15.75" thickTop="1">
      <c r="A314"/>
      <c r="B314"/>
      <c r="C314"/>
      <c r="D314"/>
      <c r="E314"/>
      <c r="F314"/>
      <c r="G314"/>
      <c r="H314"/>
      <c r="I314"/>
      <c r="J314"/>
    </row>
    <row r="315" spans="1:10" s="850" customFormat="1">
      <c r="A315" s="716" t="s">
        <v>2260</v>
      </c>
      <c r="B315"/>
      <c r="C315"/>
      <c r="D315"/>
      <c r="E315"/>
      <c r="F315"/>
      <c r="G315"/>
      <c r="H315"/>
      <c r="I315"/>
      <c r="J315"/>
    </row>
    <row r="316" spans="1:10" s="850" customFormat="1">
      <c r="A316" s="2" t="s">
        <v>1741</v>
      </c>
      <c r="B316"/>
      <c r="C316"/>
      <c r="D316"/>
      <c r="E316"/>
      <c r="F316"/>
      <c r="G316"/>
      <c r="H316"/>
      <c r="I316"/>
      <c r="J316"/>
    </row>
    <row r="317" spans="1:10" s="850" customFormat="1">
      <c r="A317" s="2" t="s">
        <v>1742</v>
      </c>
      <c r="B317" s="2">
        <v>2400</v>
      </c>
      <c r="C317" s="2" t="s">
        <v>108</v>
      </c>
      <c r="D317" s="2"/>
      <c r="E317" s="2"/>
      <c r="F317" s="2"/>
      <c r="G317" s="2"/>
      <c r="H317" s="2"/>
      <c r="I317" s="2"/>
      <c r="J317" s="2"/>
    </row>
    <row r="318" spans="1:10" s="850" customFormat="1" ht="15.75" thickBot="1">
      <c r="A318" s="2" t="s">
        <v>1743</v>
      </c>
      <c r="B318" s="2">
        <v>6000</v>
      </c>
      <c r="C318" s="2" t="s">
        <v>361</v>
      </c>
      <c r="D318" s="2"/>
      <c r="E318" s="2"/>
      <c r="F318" s="2"/>
      <c r="G318" s="2"/>
      <c r="H318" s="2"/>
      <c r="I318" s="2"/>
      <c r="J318" s="2"/>
    </row>
    <row r="319" spans="1:10" s="850" customFormat="1" ht="15.75" thickBot="1">
      <c r="A319" s="2" t="s">
        <v>1744</v>
      </c>
      <c r="B319" s="15">
        <f>B317/B318</f>
        <v>0.4</v>
      </c>
      <c r="C319" s="13" t="s">
        <v>173</v>
      </c>
      <c r="D319" s="2"/>
      <c r="E319" s="2"/>
      <c r="F319" s="2"/>
      <c r="G319" s="2"/>
      <c r="H319" s="2"/>
      <c r="I319" s="2"/>
      <c r="J319" s="2"/>
    </row>
    <row r="320" spans="1:10" s="850" customFormat="1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s="850" customFormat="1">
      <c r="A321" s="2" t="s">
        <v>1745</v>
      </c>
      <c r="B321" s="2"/>
      <c r="C321" s="2"/>
      <c r="D321" s="2"/>
      <c r="E321" s="2"/>
      <c r="F321" s="2"/>
      <c r="G321" s="2"/>
      <c r="H321" s="2"/>
      <c r="I321" s="2"/>
      <c r="J321" s="2"/>
    </row>
    <row r="322" spans="1:10" s="850" customFormat="1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s="850" customFormat="1">
      <c r="A323" s="2" t="s">
        <v>300</v>
      </c>
      <c r="B323" s="2">
        <v>2400</v>
      </c>
      <c r="C323" s="2" t="s">
        <v>108</v>
      </c>
      <c r="D323" s="2"/>
      <c r="E323" s="2"/>
      <c r="F323" s="2"/>
      <c r="G323" s="2"/>
      <c r="H323" s="2"/>
      <c r="I323" s="2"/>
      <c r="J323" s="2"/>
    </row>
    <row r="324" spans="1:10" s="850" customFormat="1">
      <c r="A324" s="46" t="s">
        <v>1746</v>
      </c>
      <c r="B324" s="46">
        <v>-110</v>
      </c>
      <c r="C324" s="2" t="s">
        <v>108</v>
      </c>
      <c r="D324" s="2"/>
      <c r="E324" s="2"/>
      <c r="F324" s="2"/>
      <c r="G324" s="2"/>
      <c r="H324" s="2"/>
      <c r="I324" s="2"/>
      <c r="J324" s="2"/>
    </row>
    <row r="325" spans="1:10" s="850" customFormat="1">
      <c r="A325" s="2" t="s">
        <v>1736</v>
      </c>
      <c r="B325" s="2">
        <f>B323+B324</f>
        <v>2290</v>
      </c>
      <c r="C325" s="2" t="s">
        <v>108</v>
      </c>
      <c r="D325" s="2"/>
      <c r="E325" s="2"/>
      <c r="F325" s="2"/>
      <c r="G325" s="2"/>
      <c r="H325" s="2"/>
      <c r="I325" s="2"/>
      <c r="J325" s="2"/>
    </row>
    <row r="326" spans="1:10" s="850" customFormat="1">
      <c r="A326" s="46" t="s">
        <v>1747</v>
      </c>
      <c r="B326" s="46">
        <v>-190</v>
      </c>
      <c r="C326" s="2" t="s">
        <v>108</v>
      </c>
      <c r="D326" s="2"/>
      <c r="E326" s="2"/>
      <c r="F326" s="2"/>
      <c r="G326" s="2"/>
      <c r="H326" s="2"/>
      <c r="I326" s="2"/>
      <c r="J326" s="2"/>
    </row>
    <row r="327" spans="1:10" s="850" customFormat="1">
      <c r="A327" s="2" t="s">
        <v>926</v>
      </c>
      <c r="B327" s="2">
        <f>B325+B326</f>
        <v>2100</v>
      </c>
      <c r="C327" s="2" t="s">
        <v>108</v>
      </c>
      <c r="D327" s="2"/>
      <c r="E327" s="2"/>
      <c r="F327" s="2"/>
      <c r="G327" s="2"/>
      <c r="H327" s="2"/>
      <c r="I327" s="2"/>
      <c r="J327" s="2"/>
    </row>
    <row r="328" spans="1:10" s="850" customFormat="1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s="850" customFormat="1">
      <c r="A329" s="2" t="s">
        <v>1748</v>
      </c>
      <c r="B329" s="2"/>
      <c r="C329" s="2"/>
      <c r="D329" s="2"/>
      <c r="E329" s="2"/>
      <c r="F329" s="2"/>
      <c r="G329" s="2"/>
      <c r="H329" s="2"/>
      <c r="I329" s="2"/>
      <c r="J329" s="2"/>
    </row>
    <row r="330" spans="1:10" s="850" customFormat="1">
      <c r="A330" s="2" t="s">
        <v>1749</v>
      </c>
      <c r="B330" s="2"/>
      <c r="C330" s="2"/>
      <c r="D330" s="2"/>
      <c r="E330" s="2"/>
      <c r="F330" s="2"/>
      <c r="G330" s="2"/>
      <c r="H330" s="2"/>
      <c r="I330" s="2"/>
      <c r="J330" s="2"/>
    </row>
    <row r="331" spans="1:10" s="850" customFormat="1">
      <c r="A331" s="2" t="s">
        <v>1750</v>
      </c>
      <c r="B331" s="2"/>
      <c r="C331" s="2"/>
      <c r="D331" s="2"/>
      <c r="E331" s="2"/>
      <c r="F331" s="2"/>
      <c r="G331" s="2"/>
      <c r="H331" s="2"/>
      <c r="I331" s="2"/>
      <c r="J331" s="2"/>
    </row>
    <row r="332" spans="1:10" s="850" customFormat="1">
      <c r="A332" s="2" t="s">
        <v>1751</v>
      </c>
      <c r="B332" s="2"/>
      <c r="C332" s="2"/>
      <c r="D332" s="2"/>
      <c r="E332" s="2"/>
      <c r="F332" s="2"/>
      <c r="G332" s="2"/>
      <c r="H332" s="2"/>
      <c r="I332" s="2"/>
      <c r="J332" s="2"/>
    </row>
    <row r="333" spans="1:10" s="850" customFormat="1">
      <c r="A333" s="2" t="s">
        <v>1752</v>
      </c>
      <c r="B333" s="2"/>
      <c r="C333" s="2"/>
      <c r="D333" s="2"/>
      <c r="E333" s="2"/>
      <c r="F333" s="2"/>
      <c r="G333" s="2"/>
      <c r="H333" s="2"/>
      <c r="I333" s="2"/>
      <c r="J333" s="2"/>
    </row>
    <row r="334" spans="1:10" s="850" customFormat="1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s="850" customFormat="1">
      <c r="A335" s="2" t="s">
        <v>1753</v>
      </c>
      <c r="B335" s="2"/>
      <c r="C335" s="2"/>
      <c r="D335" s="2"/>
      <c r="E335" s="2"/>
      <c r="F335" s="2"/>
      <c r="G335" s="2"/>
      <c r="H335" s="2"/>
      <c r="I335" s="2"/>
      <c r="J335" s="2"/>
    </row>
    <row r="336" spans="1:10" s="850" customFormat="1">
      <c r="A336" s="2" t="s">
        <v>1754</v>
      </c>
      <c r="B336" s="2"/>
      <c r="C336" s="2"/>
      <c r="D336" s="2"/>
      <c r="E336" s="2"/>
      <c r="F336" s="2"/>
      <c r="G336" s="2"/>
      <c r="H336" s="2"/>
      <c r="I336" s="2"/>
      <c r="J336" s="2"/>
    </row>
    <row r="337" spans="1:10" s="850" customFormat="1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s="850" customFormat="1">
      <c r="A338" s="2" t="s">
        <v>1755</v>
      </c>
      <c r="B338" s="2"/>
      <c r="C338" s="2"/>
      <c r="D338" s="2"/>
      <c r="E338" s="2"/>
      <c r="F338" s="2"/>
      <c r="G338" s="2"/>
      <c r="H338" s="2"/>
      <c r="I338" s="2"/>
      <c r="J338" s="2"/>
    </row>
    <row r="339" spans="1:10" s="850" customFormat="1">
      <c r="A339" s="2" t="s">
        <v>1756</v>
      </c>
      <c r="B339" s="2"/>
      <c r="C339" s="2"/>
      <c r="D339" s="2"/>
      <c r="E339" s="2"/>
      <c r="F339" s="2"/>
      <c r="G339" s="2"/>
      <c r="H339" s="2"/>
      <c r="I339" s="2"/>
      <c r="J339" s="2"/>
    </row>
    <row r="340" spans="1:10" s="850" customFormat="1">
      <c r="A340" s="2" t="s">
        <v>1757</v>
      </c>
      <c r="B340" s="2"/>
      <c r="C340" s="2"/>
      <c r="D340" s="2"/>
      <c r="E340" s="2"/>
      <c r="F340" s="2"/>
      <c r="G340" s="2"/>
      <c r="H340" s="2"/>
      <c r="I340" s="2"/>
      <c r="J340" s="2"/>
    </row>
    <row r="341" spans="1:10" s="850" customFormat="1">
      <c r="A341" s="2" t="s">
        <v>1758</v>
      </c>
      <c r="B341" s="2"/>
      <c r="C341" s="2"/>
      <c r="D341" s="2"/>
      <c r="E341" s="2"/>
      <c r="F341" s="2"/>
      <c r="G341" s="2"/>
      <c r="H341" s="2"/>
      <c r="I341" s="2"/>
      <c r="J341" s="2"/>
    </row>
    <row r="342" spans="1:10" s="850" customFormat="1">
      <c r="A342" s="2" t="s">
        <v>1759</v>
      </c>
      <c r="B342" s="2"/>
      <c r="C342" s="2"/>
      <c r="D342" s="2"/>
      <c r="E342" s="2"/>
      <c r="F342" s="2"/>
      <c r="G342" s="2"/>
      <c r="H342" s="2"/>
      <c r="I342" s="2"/>
      <c r="J342" s="2"/>
    </row>
    <row r="343" spans="1:10" s="850" customFormat="1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s="850" customFormat="1">
      <c r="A344" s="2" t="s">
        <v>1760</v>
      </c>
      <c r="B344" s="2"/>
      <c r="C344" s="2"/>
      <c r="D344" s="2"/>
      <c r="E344" s="2"/>
      <c r="F344" s="2"/>
      <c r="G344" s="2"/>
      <c r="H344" s="2"/>
      <c r="I344" s="2"/>
      <c r="J344" s="2"/>
    </row>
    <row r="345" spans="1:10" s="850" customFormat="1">
      <c r="A345" s="2" t="s">
        <v>1761</v>
      </c>
      <c r="B345"/>
      <c r="C345"/>
      <c r="D345"/>
      <c r="E345"/>
      <c r="F345"/>
      <c r="G345"/>
      <c r="H345"/>
      <c r="I345"/>
      <c r="J345"/>
    </row>
    <row r="346" spans="1:10" s="850" customFormat="1">
      <c r="A346" s="2" t="s">
        <v>1764</v>
      </c>
      <c r="B346"/>
      <c r="C346"/>
      <c r="D346" s="49">
        <f>1000*0.4*4.29</f>
        <v>1716</v>
      </c>
      <c r="E346"/>
      <c r="F346"/>
      <c r="G346"/>
      <c r="H346"/>
      <c r="I346"/>
      <c r="J346"/>
    </row>
    <row r="347" spans="1:10" s="850" customFormat="1">
      <c r="A347" s="2" t="s">
        <v>1765</v>
      </c>
      <c r="B347"/>
      <c r="C347"/>
      <c r="D347" s="49">
        <f>2000*0.4*4.29</f>
        <v>3432</v>
      </c>
      <c r="E347"/>
      <c r="F347"/>
      <c r="G347"/>
      <c r="H347"/>
      <c r="I347"/>
      <c r="J347"/>
    </row>
    <row r="348" spans="1:10" s="850" customFormat="1">
      <c r="A348" s="2" t="s">
        <v>1766</v>
      </c>
      <c r="B348"/>
      <c r="C348"/>
      <c r="D348" s="709">
        <f>2250*0.4*4.29</f>
        <v>3861</v>
      </c>
      <c r="E348"/>
      <c r="F348"/>
      <c r="G348"/>
      <c r="H348"/>
      <c r="I348"/>
      <c r="J348"/>
    </row>
    <row r="349" spans="1:10" s="850" customFormat="1">
      <c r="A349"/>
      <c r="B349"/>
      <c r="C349"/>
      <c r="D349" s="49">
        <f>D346+D347+D348</f>
        <v>9009</v>
      </c>
      <c r="E349"/>
      <c r="F349"/>
      <c r="G349"/>
      <c r="H349"/>
      <c r="I349"/>
      <c r="J349"/>
    </row>
    <row r="350" spans="1:10" s="850" customFormat="1">
      <c r="A350" s="2" t="s">
        <v>1767</v>
      </c>
      <c r="B350"/>
      <c r="C350"/>
      <c r="D350"/>
      <c r="E350"/>
      <c r="F350"/>
      <c r="G350"/>
      <c r="H350"/>
      <c r="I350"/>
      <c r="J350"/>
    </row>
    <row r="351" spans="1:10" s="850" customFormat="1">
      <c r="A351" s="2" t="s">
        <v>1768</v>
      </c>
      <c r="B351" s="2">
        <v>3200</v>
      </c>
      <c r="C351" s="2" t="s">
        <v>1771</v>
      </c>
      <c r="D351"/>
      <c r="E351"/>
      <c r="F351"/>
      <c r="G351"/>
      <c r="H351"/>
      <c r="I351"/>
      <c r="J351"/>
    </row>
    <row r="352" spans="1:10" s="850" customFormat="1">
      <c r="A352" s="2" t="s">
        <v>1769</v>
      </c>
      <c r="B352" s="2">
        <v>9600</v>
      </c>
      <c r="C352" s="2" t="s">
        <v>1771</v>
      </c>
      <c r="D352"/>
      <c r="E352"/>
      <c r="F352"/>
      <c r="G352"/>
      <c r="H352"/>
      <c r="I352"/>
      <c r="J352"/>
    </row>
    <row r="353" spans="1:10" s="850" customFormat="1">
      <c r="A353" s="46" t="s">
        <v>1770</v>
      </c>
      <c r="B353" s="46">
        <v>-2300</v>
      </c>
      <c r="C353" s="46" t="s">
        <v>1771</v>
      </c>
      <c r="D353"/>
      <c r="E353"/>
      <c r="F353"/>
      <c r="G353"/>
      <c r="H353"/>
      <c r="I353"/>
      <c r="J353"/>
    </row>
    <row r="354" spans="1:10" s="850" customFormat="1">
      <c r="A354" s="2" t="s">
        <v>53</v>
      </c>
      <c r="B354" s="2">
        <f>B351+B352+B353</f>
        <v>10500</v>
      </c>
      <c r="C354" s="2" t="s">
        <v>1772</v>
      </c>
      <c r="D354"/>
      <c r="E354"/>
      <c r="F354"/>
      <c r="G354"/>
      <c r="H354"/>
      <c r="I354"/>
      <c r="J354"/>
    </row>
    <row r="355" spans="1:10" s="850" customFormat="1">
      <c r="A355"/>
      <c r="B355"/>
      <c r="C355"/>
      <c r="D355"/>
      <c r="E355"/>
      <c r="F355"/>
      <c r="G355"/>
      <c r="H355"/>
      <c r="I355"/>
      <c r="J355"/>
    </row>
    <row r="356" spans="1:10" s="850" customFormat="1">
      <c r="A356" s="2" t="s">
        <v>1773</v>
      </c>
      <c r="B356"/>
      <c r="C356"/>
      <c r="D356"/>
      <c r="E356"/>
      <c r="F356"/>
      <c r="G356"/>
      <c r="H356"/>
      <c r="I356"/>
      <c r="J356"/>
    </row>
    <row r="357" spans="1:10" s="850" customFormat="1">
      <c r="A357" s="2" t="s">
        <v>1768</v>
      </c>
      <c r="B357" s="2" t="s">
        <v>1774</v>
      </c>
      <c r="C357" s="2" t="s">
        <v>1775</v>
      </c>
      <c r="D357" s="49">
        <v>2560</v>
      </c>
      <c r="E357"/>
      <c r="F357"/>
      <c r="G357"/>
      <c r="H357"/>
      <c r="I357"/>
      <c r="J357"/>
    </row>
    <row r="358" spans="1:10" s="850" customFormat="1">
      <c r="A358" s="2" t="s">
        <v>1769</v>
      </c>
      <c r="B358" s="2" t="s">
        <v>1776</v>
      </c>
      <c r="C358" s="2" t="s">
        <v>1779</v>
      </c>
      <c r="D358" s="49">
        <v>8640</v>
      </c>
      <c r="E358"/>
      <c r="F358"/>
      <c r="G358"/>
      <c r="H358"/>
      <c r="I358"/>
      <c r="J358"/>
    </row>
    <row r="359" spans="1:10" s="850" customFormat="1">
      <c r="A359" s="46" t="s">
        <v>1770</v>
      </c>
      <c r="B359" s="46" t="s">
        <v>1777</v>
      </c>
      <c r="C359" s="46" t="s">
        <v>1783</v>
      </c>
      <c r="D359" s="709">
        <v>-2012.5</v>
      </c>
      <c r="E359"/>
      <c r="F359"/>
      <c r="G359"/>
      <c r="H359"/>
      <c r="I359"/>
      <c r="J359"/>
    </row>
    <row r="360" spans="1:10">
      <c r="A360" s="2" t="s">
        <v>53</v>
      </c>
      <c r="B360" s="2" t="s">
        <v>1778</v>
      </c>
      <c r="C360" s="2" t="s">
        <v>1783</v>
      </c>
      <c r="D360" s="49">
        <v>9187.5</v>
      </c>
    </row>
    <row r="362" spans="1:10">
      <c r="A362" s="723" t="s">
        <v>1780</v>
      </c>
      <c r="B362" s="969" t="s">
        <v>1782</v>
      </c>
      <c r="C362" s="969"/>
      <c r="D362" s="732">
        <f>(2560+8640)/(3200+9600)</f>
        <v>0.875</v>
      </c>
    </row>
    <row r="363" spans="1:10">
      <c r="B363" s="1001" t="s">
        <v>1781</v>
      </c>
      <c r="C363" s="1001"/>
    </row>
    <row r="364" spans="1:10">
      <c r="A364" s="722"/>
      <c r="B364" s="724"/>
      <c r="C364" s="724"/>
      <c r="D364" s="722"/>
      <c r="E364" s="722"/>
      <c r="F364" s="722"/>
      <c r="G364" s="722"/>
      <c r="H364" s="722"/>
      <c r="I364" s="722"/>
      <c r="J364" s="722"/>
    </row>
    <row r="365" spans="1:10">
      <c r="A365" s="2" t="s">
        <v>1786</v>
      </c>
      <c r="B365" s="2"/>
      <c r="C365" s="2"/>
      <c r="D365" s="2"/>
      <c r="E365" s="49">
        <f>1000*2*0.875</f>
        <v>1750</v>
      </c>
      <c r="F365" s="2"/>
      <c r="G365" s="2"/>
      <c r="H365" s="2"/>
      <c r="I365" s="2"/>
      <c r="J365" s="2"/>
    </row>
    <row r="366" spans="1:10">
      <c r="A366" s="2" t="s">
        <v>1787</v>
      </c>
      <c r="B366" s="2"/>
      <c r="C366" s="2"/>
      <c r="D366" s="2"/>
      <c r="E366" s="49">
        <f>2000*2*0.875</f>
        <v>3500</v>
      </c>
      <c r="F366" s="2"/>
      <c r="G366" s="2"/>
      <c r="H366" s="2"/>
      <c r="I366" s="2"/>
      <c r="J366" s="2"/>
    </row>
    <row r="367" spans="1:10">
      <c r="A367" s="2" t="s">
        <v>1788</v>
      </c>
      <c r="B367" s="2"/>
      <c r="C367" s="2"/>
      <c r="D367" s="2"/>
      <c r="E367" s="709">
        <f>2250*2*0.875</f>
        <v>3937.5</v>
      </c>
      <c r="F367" s="2"/>
      <c r="G367" s="2"/>
      <c r="H367" s="2"/>
      <c r="I367" s="2"/>
      <c r="J367" s="2"/>
    </row>
    <row r="368" spans="1:10">
      <c r="A368" s="2"/>
      <c r="B368" s="2"/>
      <c r="C368" s="2"/>
      <c r="D368" s="2"/>
      <c r="E368" s="54">
        <f>E365+E366+E367</f>
        <v>9187.5</v>
      </c>
      <c r="F368" s="2"/>
      <c r="G368" s="2"/>
      <c r="H368" s="2"/>
      <c r="I368" s="2"/>
      <c r="J368" s="2"/>
    </row>
    <row r="369" spans="1:10">
      <c r="A369" s="2"/>
      <c r="B369" s="2"/>
      <c r="C369" s="2"/>
      <c r="D369" s="54"/>
      <c r="E369" s="2"/>
      <c r="F369" s="2"/>
      <c r="G369" s="2"/>
      <c r="H369" s="2"/>
      <c r="I369" s="2"/>
      <c r="J369" s="2"/>
    </row>
    <row r="370" spans="1:10">
      <c r="A370" s="2" t="s">
        <v>1785</v>
      </c>
      <c r="B370" s="2"/>
      <c r="C370" s="2"/>
      <c r="D370" s="2"/>
      <c r="E370" s="2"/>
      <c r="F370" s="2"/>
      <c r="G370" s="2"/>
      <c r="H370" s="2"/>
      <c r="I370" s="2"/>
      <c r="J370" s="2"/>
    </row>
    <row r="371" spans="1:10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>
      <c r="A372" s="2"/>
      <c r="B372" s="972" t="s">
        <v>505</v>
      </c>
      <c r="C372" s="973"/>
      <c r="D372" s="972" t="s">
        <v>506</v>
      </c>
      <c r="E372" s="973"/>
      <c r="F372" s="972" t="s">
        <v>507</v>
      </c>
      <c r="G372" s="973"/>
      <c r="H372" s="972" t="s">
        <v>1795</v>
      </c>
      <c r="I372" s="973"/>
      <c r="J372" s="2"/>
    </row>
    <row r="373" spans="1:10">
      <c r="A373" s="204" t="s">
        <v>1681</v>
      </c>
      <c r="B373" s="168">
        <v>3000</v>
      </c>
      <c r="C373" s="100" t="s">
        <v>443</v>
      </c>
      <c r="D373" s="85">
        <v>2625</v>
      </c>
      <c r="E373" s="100" t="s">
        <v>1558</v>
      </c>
      <c r="F373" s="85">
        <v>2625</v>
      </c>
      <c r="G373" s="100" t="s">
        <v>1558</v>
      </c>
      <c r="H373" s="85">
        <v>2625</v>
      </c>
      <c r="I373" s="100" t="s">
        <v>1558</v>
      </c>
      <c r="J373" s="2"/>
    </row>
    <row r="374" spans="1:10">
      <c r="A374" s="204" t="s">
        <v>510</v>
      </c>
      <c r="B374" s="708" t="s">
        <v>1791</v>
      </c>
      <c r="C374" s="727">
        <v>2880</v>
      </c>
      <c r="D374" s="706">
        <v>0.96</v>
      </c>
      <c r="E374" s="174">
        <v>2520</v>
      </c>
      <c r="F374" s="706">
        <v>1.0971428571428572</v>
      </c>
      <c r="G374" s="174">
        <v>2880</v>
      </c>
      <c r="H374" s="204"/>
      <c r="I374" s="347">
        <v>1920</v>
      </c>
      <c r="J374" s="2"/>
    </row>
    <row r="375" spans="1:10">
      <c r="A375" s="204" t="s">
        <v>511</v>
      </c>
      <c r="B375" s="708" t="s">
        <v>1792</v>
      </c>
      <c r="C375" s="174">
        <v>6600.0000000000009</v>
      </c>
      <c r="D375" s="706">
        <v>2.2000000000000002</v>
      </c>
      <c r="E375" s="174">
        <v>5775.0000000000009</v>
      </c>
      <c r="F375" s="706">
        <v>2.2000000000000002</v>
      </c>
      <c r="G375" s="174">
        <v>5775.0000000000009</v>
      </c>
      <c r="H375" s="204"/>
      <c r="I375" s="347">
        <v>6200</v>
      </c>
      <c r="J375" s="2"/>
    </row>
    <row r="376" spans="1:10">
      <c r="A376" s="204" t="s">
        <v>512</v>
      </c>
      <c r="B376" s="708">
        <v>3.16</v>
      </c>
      <c r="C376" s="174">
        <v>9480</v>
      </c>
      <c r="D376" s="706">
        <v>3.16</v>
      </c>
      <c r="E376" s="174">
        <v>8295</v>
      </c>
      <c r="F376" s="706">
        <v>3.2971428571428572</v>
      </c>
      <c r="G376" s="174">
        <v>8655</v>
      </c>
      <c r="H376" s="204"/>
      <c r="I376" s="174">
        <v>8120</v>
      </c>
      <c r="J376" s="2"/>
    </row>
    <row r="377" spans="1:10">
      <c r="A377" s="722"/>
      <c r="B377" s="722"/>
      <c r="C377" s="722"/>
      <c r="D377" s="722"/>
      <c r="E377" s="85" t="s">
        <v>568</v>
      </c>
      <c r="F377" s="355">
        <v>-360</v>
      </c>
      <c r="G377" s="85" t="s">
        <v>569</v>
      </c>
      <c r="H377" s="355">
        <v>535</v>
      </c>
      <c r="I377" s="722"/>
      <c r="J377" s="2"/>
    </row>
    <row r="378" spans="1:10">
      <c r="A378" s="722"/>
      <c r="B378" s="722"/>
      <c r="C378" s="722"/>
      <c r="D378" s="722"/>
      <c r="E378" s="1011" t="s">
        <v>738</v>
      </c>
      <c r="F378" s="1011"/>
      <c r="G378" s="1011"/>
      <c r="H378" s="359">
        <v>175</v>
      </c>
      <c r="I378" s="722"/>
      <c r="J378" s="2"/>
    </row>
    <row r="379" spans="1:10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>
      <c r="A380" s="2" t="s">
        <v>1789</v>
      </c>
      <c r="B380" s="2"/>
      <c r="C380" s="2"/>
      <c r="D380" s="2"/>
      <c r="E380" s="2"/>
      <c r="F380" s="2"/>
      <c r="G380" s="2"/>
      <c r="H380" s="2"/>
      <c r="I380" s="2"/>
      <c r="J380" s="2"/>
    </row>
    <row r="381" spans="1:10">
      <c r="A381" s="2" t="s">
        <v>1790</v>
      </c>
      <c r="B381" s="2"/>
      <c r="C381" s="2"/>
      <c r="D381" s="2"/>
      <c r="E381" s="2"/>
      <c r="F381" s="2"/>
      <c r="G381" s="2"/>
      <c r="H381" s="2"/>
      <c r="I381" s="2"/>
      <c r="J381" s="2"/>
    </row>
    <row r="382" spans="1:10">
      <c r="A382" s="2" t="s">
        <v>1793</v>
      </c>
      <c r="B382" s="2"/>
      <c r="C382" s="2"/>
      <c r="D382" s="2"/>
      <c r="E382" s="2"/>
      <c r="F382" s="2"/>
      <c r="G382" s="2"/>
      <c r="H382" s="2"/>
      <c r="I382" s="2"/>
      <c r="J382" s="2"/>
    </row>
    <row r="383" spans="1:10">
      <c r="A383" s="2" t="s">
        <v>1794</v>
      </c>
      <c r="B383" s="2"/>
      <c r="C383" s="2"/>
      <c r="D383" s="2"/>
      <c r="E383" s="2"/>
      <c r="F383" s="2"/>
      <c r="G383" s="2"/>
      <c r="H383" s="2"/>
      <c r="I383" s="2"/>
      <c r="J383" s="2"/>
    </row>
    <row r="384" spans="1:10">
      <c r="A384" s="2" t="s">
        <v>1800</v>
      </c>
      <c r="B384" s="2"/>
      <c r="C384" s="2"/>
      <c r="D384" s="2"/>
      <c r="E384" s="2"/>
      <c r="F384" s="2"/>
      <c r="G384" s="2"/>
      <c r="H384" s="2"/>
      <c r="I384" s="2"/>
      <c r="J384" s="2"/>
    </row>
    <row r="385" spans="1:10">
      <c r="A385" s="2" t="s">
        <v>1796</v>
      </c>
      <c r="B385" s="2"/>
      <c r="C385" s="2"/>
      <c r="D385" s="49">
        <v>200</v>
      </c>
      <c r="E385" s="49"/>
      <c r="F385" s="2"/>
      <c r="G385" s="2"/>
      <c r="H385" s="2"/>
      <c r="I385" s="2"/>
      <c r="J385" s="2"/>
    </row>
    <row r="386" spans="1:10">
      <c r="A386" s="2" t="s">
        <v>1797</v>
      </c>
      <c r="B386" s="2"/>
      <c r="C386" s="2"/>
      <c r="D386" s="49">
        <v>620</v>
      </c>
      <c r="E386" s="49"/>
      <c r="F386" s="2"/>
      <c r="G386" s="2"/>
      <c r="H386" s="2"/>
      <c r="I386" s="2"/>
      <c r="J386" s="2"/>
    </row>
    <row r="387" spans="1:10">
      <c r="A387" s="2" t="s">
        <v>1798</v>
      </c>
      <c r="B387" s="2"/>
      <c r="C387" s="2"/>
      <c r="D387" s="709">
        <v>1100</v>
      </c>
      <c r="E387" s="49">
        <f>D385+D386+D387</f>
        <v>1920</v>
      </c>
      <c r="F387" s="2"/>
      <c r="G387" s="2"/>
      <c r="H387" s="2"/>
      <c r="I387" s="2"/>
      <c r="J387" s="2"/>
    </row>
    <row r="388" spans="1:10">
      <c r="A388" s="733" t="s">
        <v>1799</v>
      </c>
      <c r="D388" s="731"/>
      <c r="E388" s="731"/>
    </row>
    <row r="389" spans="1:10">
      <c r="A389" s="2" t="s">
        <v>1801</v>
      </c>
      <c r="D389" s="49">
        <v>1500</v>
      </c>
      <c r="E389" s="731"/>
    </row>
    <row r="390" spans="1:10">
      <c r="A390" s="2" t="s">
        <v>1802</v>
      </c>
      <c r="D390" s="49">
        <v>1800</v>
      </c>
      <c r="E390" s="731"/>
    </row>
    <row r="391" spans="1:10">
      <c r="A391" s="2" t="s">
        <v>1803</v>
      </c>
      <c r="D391" s="49">
        <v>300</v>
      </c>
      <c r="E391" s="731"/>
    </row>
    <row r="392" spans="1:10">
      <c r="A392" s="2" t="s">
        <v>1804</v>
      </c>
      <c r="D392" s="49">
        <v>500</v>
      </c>
      <c r="E392" s="731"/>
    </row>
    <row r="393" spans="1:10">
      <c r="A393" s="2" t="s">
        <v>1805</v>
      </c>
      <c r="D393" s="49">
        <v>400</v>
      </c>
      <c r="E393" s="731"/>
    </row>
    <row r="394" spans="1:10">
      <c r="A394" s="2" t="s">
        <v>1806</v>
      </c>
      <c r="D394" s="49">
        <v>300</v>
      </c>
      <c r="E394" s="731"/>
    </row>
    <row r="395" spans="1:10">
      <c r="A395" s="2" t="s">
        <v>1807</v>
      </c>
      <c r="D395" s="709">
        <v>1400</v>
      </c>
      <c r="E395" s="49">
        <f>SUM(D389:D395)</f>
        <v>6200</v>
      </c>
    </row>
    <row r="397" spans="1:10">
      <c r="A397" s="2" t="s">
        <v>1809</v>
      </c>
    </row>
    <row r="398" spans="1:10">
      <c r="A398" s="2" t="s">
        <v>1808</v>
      </c>
    </row>
    <row r="399" spans="1:10">
      <c r="A399" s="2" t="s">
        <v>1811</v>
      </c>
      <c r="E399" s="49">
        <f>500*3.16</f>
        <v>1580</v>
      </c>
    </row>
    <row r="400" spans="1:10">
      <c r="A400" s="2" t="s">
        <v>1812</v>
      </c>
      <c r="E400" s="49">
        <f>1000*3.16</f>
        <v>3160</v>
      </c>
    </row>
    <row r="401" spans="1:10" s="345" customFormat="1">
      <c r="A401" s="2" t="s">
        <v>1810</v>
      </c>
      <c r="B401"/>
      <c r="C401"/>
      <c r="D401"/>
      <c r="E401" s="709">
        <f>1125*3.16</f>
        <v>3555</v>
      </c>
      <c r="F401" s="49">
        <f>E399+E400+E401</f>
        <v>8295</v>
      </c>
      <c r="G401"/>
      <c r="H401"/>
      <c r="I401"/>
      <c r="J401"/>
    </row>
    <row r="403" spans="1:10" s="345" customFormat="1">
      <c r="A403" s="2" t="s">
        <v>1813</v>
      </c>
      <c r="B403"/>
      <c r="C403"/>
      <c r="D403"/>
      <c r="E403"/>
      <c r="F403"/>
      <c r="G403"/>
      <c r="H403"/>
      <c r="I403"/>
      <c r="J403"/>
    </row>
    <row r="404" spans="1:10" s="345" customFormat="1">
      <c r="A404" s="85"/>
      <c r="B404" s="422"/>
      <c r="C404" s="720" t="s">
        <v>1816</v>
      </c>
      <c r="D404" s="720" t="s">
        <v>1762</v>
      </c>
      <c r="E404" s="720" t="s">
        <v>1784</v>
      </c>
      <c r="F404" s="720" t="s">
        <v>1763</v>
      </c>
      <c r="G404" s="720" t="s">
        <v>183</v>
      </c>
      <c r="H404"/>
      <c r="I404"/>
      <c r="J404"/>
    </row>
    <row r="405" spans="1:10" s="345" customFormat="1">
      <c r="A405" s="122" t="s">
        <v>1814</v>
      </c>
      <c r="B405" s="734"/>
      <c r="C405" s="735"/>
      <c r="D405" s="735">
        <v>1750</v>
      </c>
      <c r="E405" s="735">
        <v>3500</v>
      </c>
      <c r="F405" s="735">
        <v>3937.5</v>
      </c>
      <c r="G405" s="735">
        <f t="shared" ref="G405:G410" si="1">C405+D405+E405+F405</f>
        <v>9187.5</v>
      </c>
      <c r="H405"/>
      <c r="I405"/>
      <c r="J405"/>
    </row>
    <row r="406" spans="1:10">
      <c r="A406" s="122" t="s">
        <v>611</v>
      </c>
      <c r="B406" s="734"/>
      <c r="C406" s="735"/>
      <c r="D406" s="735">
        <v>1716</v>
      </c>
      <c r="E406" s="735">
        <v>3432</v>
      </c>
      <c r="F406" s="735">
        <v>3861</v>
      </c>
      <c r="G406" s="735">
        <f t="shared" si="1"/>
        <v>9009</v>
      </c>
    </row>
    <row r="407" spans="1:10">
      <c r="A407" s="122" t="s">
        <v>1815</v>
      </c>
      <c r="B407" s="734"/>
      <c r="C407" s="735"/>
      <c r="D407" s="735">
        <v>1580</v>
      </c>
      <c r="E407" s="735">
        <v>3160</v>
      </c>
      <c r="F407" s="735">
        <v>3555</v>
      </c>
      <c r="G407" s="735">
        <f t="shared" si="1"/>
        <v>8295</v>
      </c>
    </row>
    <row r="408" spans="1:10">
      <c r="A408" s="85" t="s">
        <v>1717</v>
      </c>
      <c r="B408" s="422"/>
      <c r="C408" s="736"/>
      <c r="D408" s="736">
        <f>D405+D406+D407</f>
        <v>5046</v>
      </c>
      <c r="E408" s="736">
        <f>E405+E406+E407</f>
        <v>10092</v>
      </c>
      <c r="F408" s="736">
        <f>F405+F406+F407</f>
        <v>11353.5</v>
      </c>
      <c r="G408" s="736">
        <f t="shared" si="1"/>
        <v>26491.5</v>
      </c>
      <c r="H408" s="722"/>
      <c r="I408" s="722"/>
      <c r="J408" s="722"/>
    </row>
    <row r="409" spans="1:10">
      <c r="A409" s="122" t="s">
        <v>1817</v>
      </c>
      <c r="B409" s="734"/>
      <c r="C409" s="735"/>
      <c r="D409" s="735">
        <v>0</v>
      </c>
      <c r="E409" s="735">
        <v>0</v>
      </c>
      <c r="F409" s="735">
        <v>0</v>
      </c>
      <c r="G409" s="735">
        <f t="shared" si="1"/>
        <v>0</v>
      </c>
      <c r="H409" s="722"/>
      <c r="I409" s="722"/>
      <c r="J409" s="722"/>
    </row>
    <row r="410" spans="1:10">
      <c r="A410" s="122" t="s">
        <v>1818</v>
      </c>
      <c r="B410" s="734"/>
      <c r="C410" s="735"/>
      <c r="D410" s="735">
        <v>0</v>
      </c>
      <c r="E410" s="735">
        <v>0</v>
      </c>
      <c r="F410" s="735">
        <f>-F408</f>
        <v>-11353.5</v>
      </c>
      <c r="G410" s="735">
        <f t="shared" si="1"/>
        <v>-11353.5</v>
      </c>
      <c r="H410" s="722"/>
      <c r="I410" s="722"/>
      <c r="J410" s="722"/>
    </row>
    <row r="411" spans="1:10">
      <c r="A411" s="85" t="s">
        <v>1819</v>
      </c>
      <c r="B411" s="422"/>
      <c r="C411" s="736"/>
      <c r="D411" s="736">
        <f>D408+D409+D410</f>
        <v>5046</v>
      </c>
      <c r="E411" s="736">
        <f>E408+E409+E410</f>
        <v>10092</v>
      </c>
      <c r="F411" s="736">
        <f>F408+F409+F410</f>
        <v>0</v>
      </c>
      <c r="G411" s="736">
        <f>G408+G409+G410</f>
        <v>15138</v>
      </c>
      <c r="H411" s="722"/>
      <c r="I411" s="722"/>
      <c r="J411" s="722"/>
    </row>
    <row r="412" spans="1:10">
      <c r="A412" s="122" t="s">
        <v>1820</v>
      </c>
      <c r="B412" s="734"/>
      <c r="C412" s="735">
        <v>4541.3999999999996</v>
      </c>
      <c r="D412" s="735">
        <v>0</v>
      </c>
      <c r="E412" s="735">
        <v>0</v>
      </c>
      <c r="F412" s="735">
        <v>0</v>
      </c>
      <c r="G412" s="735">
        <f>SUM(C412:F412)</f>
        <v>4541.3999999999996</v>
      </c>
      <c r="H412" s="722"/>
      <c r="I412" s="722"/>
      <c r="J412" s="722"/>
    </row>
    <row r="413" spans="1:10">
      <c r="A413" s="122" t="s">
        <v>1821</v>
      </c>
      <c r="B413" s="734"/>
      <c r="C413" s="735">
        <v>0</v>
      </c>
      <c r="D413" s="735">
        <v>0</v>
      </c>
      <c r="E413" s="735">
        <v>0</v>
      </c>
      <c r="F413" s="735">
        <v>0</v>
      </c>
      <c r="G413" s="735">
        <v>0</v>
      </c>
      <c r="H413" s="722"/>
      <c r="I413" s="722"/>
      <c r="J413" s="722"/>
    </row>
    <row r="414" spans="1:10">
      <c r="A414" s="85" t="s">
        <v>1822</v>
      </c>
      <c r="B414" s="422"/>
      <c r="C414" s="736">
        <f>C411+C412+C413</f>
        <v>4541.3999999999996</v>
      </c>
      <c r="D414" s="736">
        <f>D411+D412+D413</f>
        <v>5046</v>
      </c>
      <c r="E414" s="736">
        <f>E411+E412+E413</f>
        <v>10092</v>
      </c>
      <c r="F414" s="736">
        <f>F411+F412+F413</f>
        <v>0</v>
      </c>
      <c r="G414" s="736">
        <f>G411+G412+G413</f>
        <v>19679.400000000001</v>
      </c>
      <c r="H414" s="722"/>
      <c r="I414" s="722"/>
      <c r="J414" s="722"/>
    </row>
    <row r="415" spans="1:10">
      <c r="A415" s="2"/>
      <c r="B415" s="722"/>
      <c r="C415" s="722"/>
      <c r="D415" s="722"/>
      <c r="E415" s="722"/>
      <c r="F415" s="722"/>
      <c r="G415" s="722"/>
      <c r="H415" s="722"/>
      <c r="I415" s="722"/>
      <c r="J415" s="722"/>
    </row>
    <row r="416" spans="1:10">
      <c r="A416" s="2" t="s">
        <v>2261</v>
      </c>
      <c r="B416" s="722"/>
      <c r="C416" s="722"/>
      <c r="D416" s="722"/>
      <c r="E416" s="722"/>
      <c r="F416" s="722"/>
      <c r="G416" s="722"/>
      <c r="H416" s="722"/>
      <c r="I416" s="722"/>
      <c r="J416" s="722"/>
    </row>
    <row r="417" spans="1:10">
      <c r="A417" s="2" t="s">
        <v>1823</v>
      </c>
      <c r="B417" s="722"/>
      <c r="C417" s="722"/>
      <c r="D417" s="722"/>
      <c r="E417" s="722"/>
      <c r="F417" s="722"/>
      <c r="G417" s="722"/>
      <c r="H417" s="722"/>
      <c r="I417" s="722"/>
      <c r="J417" s="722"/>
    </row>
    <row r="418" spans="1:10">
      <c r="A418" s="2" t="s">
        <v>1824</v>
      </c>
      <c r="B418" s="722"/>
      <c r="C418" s="722"/>
      <c r="D418" s="722"/>
      <c r="E418" s="722"/>
      <c r="F418" s="722"/>
      <c r="G418" s="722"/>
      <c r="H418" s="722"/>
      <c r="I418" s="722"/>
      <c r="J418" s="722"/>
    </row>
    <row r="419" spans="1:10">
      <c r="A419" s="2" t="s">
        <v>1825</v>
      </c>
      <c r="B419" s="722"/>
      <c r="C419" s="722"/>
      <c r="D419" s="722"/>
      <c r="E419" s="722"/>
      <c r="F419" s="722"/>
      <c r="G419" s="722"/>
      <c r="H419" s="722"/>
      <c r="I419" s="722"/>
      <c r="J419" s="722"/>
    </row>
    <row r="420" spans="1:10">
      <c r="A420" s="2"/>
      <c r="B420" s="722"/>
      <c r="C420" s="722"/>
      <c r="D420" s="722"/>
      <c r="E420" s="722"/>
      <c r="F420" s="722"/>
      <c r="G420" s="722"/>
      <c r="H420" s="722"/>
      <c r="I420" s="722"/>
      <c r="J420" s="722"/>
    </row>
    <row r="421" spans="1:10">
      <c r="A421" s="1" t="s">
        <v>2262</v>
      </c>
      <c r="B421" s="2"/>
      <c r="C421" s="2"/>
      <c r="D421" s="2"/>
      <c r="E421" s="2"/>
      <c r="F421" s="2"/>
      <c r="G421" s="2"/>
      <c r="H421" s="2"/>
      <c r="I421" s="2"/>
      <c r="J421" s="850"/>
    </row>
    <row r="422" spans="1:10">
      <c r="A422" s="2" t="s">
        <v>662</v>
      </c>
      <c r="B422" s="2"/>
      <c r="C422" s="2"/>
      <c r="D422" s="2"/>
      <c r="E422" s="2"/>
      <c r="F422" s="2"/>
      <c r="G422" s="2"/>
      <c r="H422" s="2"/>
      <c r="I422" s="2"/>
      <c r="J422" s="850"/>
    </row>
    <row r="423" spans="1:10">
      <c r="A423" s="2"/>
      <c r="B423" s="2"/>
      <c r="C423" s="2"/>
      <c r="D423" s="2"/>
      <c r="E423" s="2"/>
      <c r="F423" s="2"/>
      <c r="G423" s="2"/>
      <c r="H423" s="2"/>
      <c r="I423" s="2"/>
      <c r="J423" s="850"/>
    </row>
    <row r="424" spans="1:10">
      <c r="A424" s="60" t="s">
        <v>134</v>
      </c>
      <c r="B424" s="18"/>
      <c r="C424" s="17">
        <v>3168</v>
      </c>
      <c r="D424" s="2" t="s">
        <v>108</v>
      </c>
      <c r="E424" s="2" t="s">
        <v>663</v>
      </c>
      <c r="F424" s="2"/>
      <c r="G424" s="2"/>
      <c r="H424" s="2"/>
      <c r="I424" s="2"/>
      <c r="J424" s="850"/>
    </row>
    <row r="425" spans="1:10">
      <c r="A425" s="59" t="s">
        <v>131</v>
      </c>
      <c r="B425" s="18"/>
      <c r="C425" s="17">
        <v>0</v>
      </c>
      <c r="D425" s="2" t="s">
        <v>108</v>
      </c>
      <c r="E425" s="2"/>
      <c r="F425" s="2"/>
      <c r="G425" s="2"/>
      <c r="H425" s="2"/>
      <c r="I425" s="2"/>
      <c r="J425" s="850"/>
    </row>
    <row r="426" spans="1:10">
      <c r="A426" s="59" t="s">
        <v>132</v>
      </c>
      <c r="B426" s="18"/>
      <c r="C426" s="17">
        <v>0</v>
      </c>
      <c r="D426" s="2" t="s">
        <v>108</v>
      </c>
      <c r="E426" s="2"/>
      <c r="F426" s="2"/>
      <c r="G426" s="2"/>
      <c r="H426" s="2"/>
      <c r="I426" s="2"/>
      <c r="J426" s="850"/>
    </row>
    <row r="427" spans="1:10">
      <c r="A427" s="62" t="s">
        <v>133</v>
      </c>
      <c r="B427" s="853"/>
      <c r="C427" s="66">
        <f>C424+C425+C426</f>
        <v>3168</v>
      </c>
      <c r="D427" s="57" t="s">
        <v>108</v>
      </c>
      <c r="E427" s="2"/>
      <c r="F427" s="2"/>
      <c r="G427" s="2"/>
      <c r="H427" s="2"/>
      <c r="I427" s="2"/>
      <c r="J427" s="850"/>
    </row>
    <row r="428" spans="1:10">
      <c r="A428" s="59" t="s">
        <v>135</v>
      </c>
      <c r="B428" s="18"/>
      <c r="C428" s="17">
        <v>-200</v>
      </c>
      <c r="D428" s="2" t="s">
        <v>108</v>
      </c>
      <c r="E428" s="2" t="s">
        <v>164</v>
      </c>
      <c r="F428" s="2"/>
      <c r="G428" s="2"/>
      <c r="H428" s="2"/>
      <c r="I428" s="2"/>
      <c r="J428" s="850"/>
    </row>
    <row r="429" spans="1:10">
      <c r="A429" s="62" t="s">
        <v>136</v>
      </c>
      <c r="B429" s="853"/>
      <c r="C429" s="66">
        <f>C427+C428</f>
        <v>2968</v>
      </c>
      <c r="D429" s="57" t="s">
        <v>108</v>
      </c>
      <c r="E429" s="2"/>
      <c r="F429" s="2"/>
      <c r="G429" s="2"/>
      <c r="H429" s="2"/>
      <c r="I429" s="2"/>
      <c r="J429" s="850"/>
    </row>
    <row r="430" spans="1:10">
      <c r="A430" s="59" t="s">
        <v>137</v>
      </c>
      <c r="B430" s="18"/>
      <c r="C430" s="17">
        <f>C431-C429</f>
        <v>-168</v>
      </c>
      <c r="D430" s="2" t="s">
        <v>108</v>
      </c>
      <c r="E430" s="2" t="s">
        <v>664</v>
      </c>
      <c r="F430" s="2"/>
      <c r="G430" s="2"/>
      <c r="H430" s="2"/>
      <c r="I430" s="2"/>
      <c r="J430" s="850"/>
    </row>
    <row r="431" spans="1:10" ht="15.75" thickBot="1">
      <c r="A431" s="64" t="s">
        <v>138</v>
      </c>
      <c r="B431" s="65"/>
      <c r="C431" s="67">
        <v>2800</v>
      </c>
      <c r="D431" s="55" t="s">
        <v>108</v>
      </c>
      <c r="E431" s="2" t="s">
        <v>164</v>
      </c>
      <c r="F431" s="2"/>
      <c r="G431" s="2"/>
      <c r="H431" s="2"/>
      <c r="I431" s="2"/>
      <c r="J431" s="850"/>
    </row>
    <row r="432" spans="1:10" ht="15.75" thickTop="1">
      <c r="A432" s="2"/>
      <c r="B432" s="2"/>
      <c r="C432" s="2"/>
      <c r="D432" s="2"/>
      <c r="E432" s="2"/>
      <c r="F432" s="2"/>
      <c r="G432" s="2"/>
      <c r="H432" s="2"/>
      <c r="I432" s="2"/>
      <c r="J432" s="850"/>
    </row>
    <row r="433" spans="1:10">
      <c r="A433" s="2" t="s">
        <v>665</v>
      </c>
      <c r="B433" s="2"/>
      <c r="C433" s="2"/>
      <c r="D433" s="2"/>
      <c r="E433" s="2"/>
      <c r="F433" s="2"/>
      <c r="G433" s="2"/>
      <c r="H433" s="2"/>
      <c r="I433" s="2"/>
      <c r="J433" s="850"/>
    </row>
    <row r="434" spans="1:10">
      <c r="A434" s="2" t="s">
        <v>748</v>
      </c>
      <c r="B434" s="2"/>
      <c r="C434" s="2"/>
      <c r="D434" s="2"/>
      <c r="E434" s="2"/>
      <c r="F434" s="2"/>
      <c r="G434" s="2"/>
      <c r="H434" s="2"/>
      <c r="I434" s="2"/>
      <c r="J434" s="850"/>
    </row>
    <row r="435" spans="1:10">
      <c r="A435" s="2" t="s">
        <v>666</v>
      </c>
      <c r="B435" s="2"/>
      <c r="C435" s="2"/>
      <c r="D435" s="2"/>
      <c r="E435" s="2"/>
      <c r="F435" s="2"/>
      <c r="G435" s="2"/>
      <c r="H435" s="2"/>
      <c r="I435" s="2"/>
      <c r="J435" s="850"/>
    </row>
    <row r="436" spans="1:10">
      <c r="A436" s="2"/>
      <c r="B436" s="2"/>
      <c r="C436" s="2"/>
      <c r="D436" s="2"/>
      <c r="E436" s="2"/>
      <c r="F436" s="2"/>
      <c r="G436" s="2"/>
      <c r="H436" s="2"/>
      <c r="I436" s="2"/>
      <c r="J436" s="850"/>
    </row>
    <row r="437" spans="1:10">
      <c r="A437" s="2" t="s">
        <v>667</v>
      </c>
      <c r="B437" s="2"/>
      <c r="C437" s="2"/>
      <c r="D437" s="2"/>
      <c r="E437" s="2"/>
      <c r="F437" s="2"/>
      <c r="G437" s="2"/>
      <c r="H437" s="2"/>
      <c r="I437" s="2"/>
      <c r="J437" s="850"/>
    </row>
    <row r="438" spans="1:10">
      <c r="A438" s="2" t="s">
        <v>668</v>
      </c>
      <c r="B438" s="2"/>
      <c r="C438" s="2"/>
      <c r="D438" s="2"/>
      <c r="E438" s="2"/>
      <c r="F438" s="2"/>
      <c r="G438" s="2"/>
      <c r="H438" s="2"/>
      <c r="I438" s="2"/>
      <c r="J438" s="850"/>
    </row>
    <row r="439" spans="1:10">
      <c r="A439" s="85" t="s">
        <v>669</v>
      </c>
      <c r="B439" s="100"/>
      <c r="C439" s="2"/>
      <c r="D439" s="2"/>
      <c r="E439" s="2"/>
      <c r="F439" s="2"/>
      <c r="G439" s="2"/>
      <c r="H439" s="2"/>
      <c r="I439" s="2"/>
      <c r="J439" s="850"/>
    </row>
    <row r="440" spans="1:10">
      <c r="A440" s="2"/>
      <c r="B440" s="2"/>
      <c r="C440" s="2"/>
      <c r="D440" s="2"/>
      <c r="E440" s="2"/>
      <c r="F440" s="2"/>
      <c r="G440" s="2"/>
      <c r="H440" s="2"/>
      <c r="I440" s="2"/>
      <c r="J440" s="850"/>
    </row>
    <row r="441" spans="1:10">
      <c r="A441" s="2" t="s">
        <v>670</v>
      </c>
      <c r="B441" s="2"/>
      <c r="C441" s="2"/>
      <c r="D441" s="2"/>
      <c r="E441" s="2"/>
      <c r="F441" s="2"/>
      <c r="G441" s="2"/>
      <c r="H441" s="2"/>
      <c r="I441" s="2"/>
      <c r="J441" s="850"/>
    </row>
    <row r="442" spans="1:10">
      <c r="A442" s="2" t="s">
        <v>749</v>
      </c>
      <c r="B442" s="2"/>
      <c r="C442" s="2"/>
      <c r="D442" s="2"/>
      <c r="E442" s="2"/>
      <c r="F442" s="2"/>
      <c r="G442" s="2"/>
      <c r="H442" s="2"/>
      <c r="I442" s="2"/>
      <c r="J442" s="850"/>
    </row>
    <row r="443" spans="1:10">
      <c r="A443" s="85" t="s">
        <v>750</v>
      </c>
      <c r="B443" s="100"/>
      <c r="C443" s="2"/>
      <c r="D443" s="2"/>
      <c r="E443" s="2"/>
      <c r="F443" s="2"/>
      <c r="G443" s="2"/>
      <c r="H443" s="2"/>
      <c r="I443" s="2"/>
      <c r="J443" s="850"/>
    </row>
    <row r="444" spans="1:10">
      <c r="A444" s="2"/>
      <c r="B444" s="2"/>
      <c r="C444" s="2"/>
      <c r="D444" s="2"/>
      <c r="E444" s="2"/>
      <c r="F444" s="2"/>
      <c r="G444" s="2"/>
      <c r="H444" s="2"/>
      <c r="I444" s="2"/>
      <c r="J444" s="850"/>
    </row>
    <row r="445" spans="1:10">
      <c r="A445" s="2" t="s">
        <v>671</v>
      </c>
      <c r="B445" s="2"/>
      <c r="C445" s="2"/>
      <c r="D445" s="2"/>
      <c r="E445" s="2"/>
      <c r="F445" s="2"/>
      <c r="G445" s="2"/>
      <c r="H445" s="2"/>
      <c r="I445" s="2"/>
      <c r="J445" s="850"/>
    </row>
    <row r="446" spans="1:10">
      <c r="A446" s="309" t="s">
        <v>543</v>
      </c>
      <c r="B446" s="854">
        <v>10000</v>
      </c>
      <c r="C446" s="325">
        <v>5</v>
      </c>
      <c r="D446" s="854">
        <f>B446*C446</f>
        <v>50000</v>
      </c>
      <c r="E446" s="2"/>
      <c r="F446" s="2"/>
      <c r="G446" s="2"/>
      <c r="H446" s="2"/>
      <c r="I446" s="2"/>
      <c r="J446" s="850"/>
    </row>
    <row r="447" spans="1:10">
      <c r="A447" s="311" t="s">
        <v>544</v>
      </c>
      <c r="B447" s="854">
        <f>B449-B446</f>
        <v>1600</v>
      </c>
      <c r="C447" s="325">
        <f>C446</f>
        <v>5</v>
      </c>
      <c r="D447" s="854">
        <f>B447*C447</f>
        <v>8000</v>
      </c>
      <c r="E447" s="2"/>
      <c r="F447" s="2"/>
      <c r="G447" s="2"/>
      <c r="H447" s="2"/>
      <c r="I447" s="2"/>
      <c r="J447" s="850"/>
    </row>
    <row r="448" spans="1:10">
      <c r="A448" s="311" t="s">
        <v>545</v>
      </c>
      <c r="B448" s="854">
        <v>0</v>
      </c>
      <c r="C448" s="312">
        <v>0</v>
      </c>
      <c r="D448" s="325">
        <v>0</v>
      </c>
      <c r="E448" s="2"/>
      <c r="F448" s="361"/>
      <c r="G448" s="2"/>
      <c r="H448" s="2"/>
      <c r="I448" s="2"/>
      <c r="J448" s="850"/>
    </row>
    <row r="449" spans="1:10" ht="15.75" thickBot="1">
      <c r="A449" s="313" t="s">
        <v>53</v>
      </c>
      <c r="B449" s="314">
        <v>11600</v>
      </c>
      <c r="C449" s="326">
        <v>5</v>
      </c>
      <c r="D449" s="314">
        <f>B449*C449</f>
        <v>58000</v>
      </c>
      <c r="E449" s="2"/>
      <c r="F449" s="2"/>
      <c r="G449" s="2"/>
      <c r="H449" s="2"/>
      <c r="I449" s="2"/>
      <c r="J449" s="850"/>
    </row>
    <row r="450" spans="1:10" ht="15.75" thickTop="1">
      <c r="A450" s="2"/>
      <c r="B450" s="2"/>
      <c r="C450" s="2"/>
      <c r="D450" s="2"/>
      <c r="E450" s="2"/>
      <c r="F450" s="2"/>
      <c r="G450" s="2"/>
      <c r="H450" s="2"/>
      <c r="I450" s="2"/>
      <c r="J450" s="850"/>
    </row>
    <row r="451" spans="1:10">
      <c r="A451" s="2" t="s">
        <v>751</v>
      </c>
      <c r="B451" s="2"/>
      <c r="C451" s="2"/>
      <c r="D451" s="2"/>
      <c r="E451" s="2"/>
      <c r="F451" s="2"/>
      <c r="G451" s="2"/>
      <c r="H451" s="2"/>
      <c r="I451" s="2"/>
      <c r="J451" s="850"/>
    </row>
    <row r="452" spans="1:10">
      <c r="A452" s="85" t="s">
        <v>752</v>
      </c>
      <c r="B452" s="100"/>
      <c r="C452" s="2"/>
      <c r="D452" s="2"/>
      <c r="E452" s="2"/>
      <c r="F452" s="2"/>
      <c r="G452" s="2"/>
      <c r="H452" s="2"/>
      <c r="I452" s="2"/>
      <c r="J452" s="850"/>
    </row>
    <row r="453" spans="1:10">
      <c r="A453" s="2"/>
      <c r="B453" s="2"/>
      <c r="C453" s="2"/>
      <c r="D453" s="2"/>
      <c r="E453" s="2"/>
      <c r="F453" s="2"/>
      <c r="G453" s="2"/>
      <c r="H453" s="2"/>
      <c r="I453" s="2"/>
      <c r="J453" s="850"/>
    </row>
    <row r="454" spans="1:10">
      <c r="A454" s="2" t="s">
        <v>672</v>
      </c>
      <c r="B454" s="2"/>
      <c r="C454" s="2"/>
      <c r="D454" s="2"/>
      <c r="E454" s="2"/>
      <c r="F454" s="2"/>
      <c r="G454" s="2"/>
      <c r="H454" s="2"/>
      <c r="I454" s="2"/>
      <c r="J454" s="850"/>
    </row>
    <row r="455" spans="1:10">
      <c r="A455" s="2"/>
      <c r="B455" s="972" t="s">
        <v>505</v>
      </c>
      <c r="C455" s="973"/>
      <c r="D455" s="972" t="s">
        <v>506</v>
      </c>
      <c r="E455" s="973"/>
      <c r="F455" s="972" t="s">
        <v>507</v>
      </c>
      <c r="G455" s="973"/>
      <c r="H455" s="972" t="s">
        <v>508</v>
      </c>
      <c r="I455" s="973"/>
      <c r="J455" s="850"/>
    </row>
    <row r="456" spans="1:10">
      <c r="A456" s="204" t="s">
        <v>729</v>
      </c>
      <c r="B456" s="1043" t="s">
        <v>754</v>
      </c>
      <c r="C456" s="1044"/>
      <c r="D456" s="1039" t="s">
        <v>753</v>
      </c>
      <c r="E456" s="1038"/>
      <c r="F456" s="1039" t="str">
        <f>D456</f>
        <v>11.600 HM</v>
      </c>
      <c r="G456" s="1038"/>
      <c r="H456" s="1039" t="str">
        <f>D456</f>
        <v>11.600 HM</v>
      </c>
      <c r="I456" s="1038"/>
      <c r="J456" s="850"/>
    </row>
    <row r="457" spans="1:10">
      <c r="A457" s="204" t="s">
        <v>510</v>
      </c>
      <c r="B457" s="297">
        <v>2.1517241379310343</v>
      </c>
      <c r="C457" s="277">
        <v>26000</v>
      </c>
      <c r="D457" s="297" t="s">
        <v>756</v>
      </c>
      <c r="E457" s="277">
        <v>24960</v>
      </c>
      <c r="F457" s="297">
        <v>2.2413793103448274</v>
      </c>
      <c r="G457" s="277">
        <v>26000</v>
      </c>
      <c r="H457" s="297"/>
      <c r="I457" s="277"/>
      <c r="J457" s="850"/>
    </row>
    <row r="458" spans="1:10">
      <c r="A458" s="204" t="s">
        <v>511</v>
      </c>
      <c r="B458" s="297">
        <v>1.6551724137931034</v>
      </c>
      <c r="C458" s="277">
        <v>20000</v>
      </c>
      <c r="D458" s="297" t="s">
        <v>757</v>
      </c>
      <c r="E458" s="277">
        <v>19200</v>
      </c>
      <c r="F458" s="297">
        <v>1.6551724137931034</v>
      </c>
      <c r="G458" s="277">
        <v>19200</v>
      </c>
      <c r="H458" s="297"/>
      <c r="I458" s="277"/>
      <c r="J458" s="850"/>
    </row>
    <row r="459" spans="1:10">
      <c r="A459" s="204" t="s">
        <v>512</v>
      </c>
      <c r="B459" s="297">
        <v>3.8068965517241402</v>
      </c>
      <c r="C459" s="277">
        <v>46000</v>
      </c>
      <c r="D459" s="297">
        <v>3.8068965517241375</v>
      </c>
      <c r="E459" s="277">
        <v>44159.999999999993</v>
      </c>
      <c r="F459" s="297">
        <v>3.8965517241379306</v>
      </c>
      <c r="G459" s="277">
        <v>45200</v>
      </c>
      <c r="H459" s="297"/>
      <c r="I459" s="277" t="s">
        <v>760</v>
      </c>
      <c r="J459" s="850"/>
    </row>
    <row r="460" spans="1:10">
      <c r="A460" s="2"/>
      <c r="B460" s="2"/>
      <c r="C460" s="2"/>
      <c r="D460" s="2"/>
      <c r="E460" s="85" t="s">
        <v>763</v>
      </c>
      <c r="F460" s="299">
        <f>E459-G459</f>
        <v>-1040.0000000000073</v>
      </c>
      <c r="G460" s="85" t="s">
        <v>569</v>
      </c>
      <c r="H460" s="299">
        <v>-328</v>
      </c>
      <c r="I460" s="2"/>
      <c r="J460" s="850"/>
    </row>
    <row r="461" spans="1:10">
      <c r="A461" s="2"/>
      <c r="B461" s="2"/>
      <c r="C461" s="2"/>
      <c r="D461" s="2"/>
      <c r="E461" s="1011" t="s">
        <v>738</v>
      </c>
      <c r="F461" s="1011"/>
      <c r="G461" s="1011"/>
      <c r="H461" s="17">
        <f>F460+H460</f>
        <v>-1368.0000000000073</v>
      </c>
      <c r="I461" s="2"/>
      <c r="J461" s="850"/>
    </row>
    <row r="462" spans="1:10">
      <c r="A462" s="2" t="s">
        <v>755</v>
      </c>
      <c r="B462" s="2"/>
      <c r="C462" s="2"/>
      <c r="D462" s="2"/>
      <c r="E462" s="2"/>
      <c r="F462" s="2"/>
      <c r="G462" s="2"/>
      <c r="H462" s="2"/>
      <c r="I462" s="2"/>
      <c r="J462" s="850"/>
    </row>
    <row r="463" spans="1:10">
      <c r="A463" s="2" t="s">
        <v>758</v>
      </c>
      <c r="B463" s="2"/>
      <c r="C463" s="2"/>
      <c r="D463" s="2"/>
      <c r="E463" s="2"/>
      <c r="F463" s="2"/>
      <c r="G463" s="2"/>
      <c r="H463" s="2"/>
      <c r="I463" s="2"/>
      <c r="J463" s="850"/>
    </row>
    <row r="464" spans="1:10">
      <c r="A464" s="2" t="s">
        <v>759</v>
      </c>
      <c r="B464" s="2"/>
      <c r="C464" s="2"/>
      <c r="D464" s="2"/>
      <c r="E464" s="2"/>
      <c r="F464" s="2"/>
      <c r="G464" s="2"/>
      <c r="H464" s="2"/>
      <c r="I464" s="2"/>
      <c r="J464" s="850"/>
    </row>
    <row r="465" spans="1:10">
      <c r="A465" s="2" t="s">
        <v>761</v>
      </c>
      <c r="B465" s="2"/>
      <c r="C465" s="2"/>
      <c r="D465" s="2"/>
      <c r="E465" s="2"/>
      <c r="F465" s="2"/>
      <c r="G465" s="2"/>
      <c r="H465" s="2"/>
      <c r="I465" s="2"/>
      <c r="J465" s="850"/>
    </row>
    <row r="466" spans="1:10">
      <c r="A466" s="2" t="s">
        <v>762</v>
      </c>
      <c r="B466" s="2"/>
      <c r="C466" s="2"/>
      <c r="D466" s="2"/>
      <c r="E466" s="2"/>
      <c r="F466" s="2"/>
      <c r="G466" s="2"/>
      <c r="H466" s="2"/>
      <c r="I466" s="2"/>
      <c r="J466" s="850"/>
    </row>
    <row r="467" spans="1:10">
      <c r="A467" s="2"/>
      <c r="B467" s="2"/>
      <c r="C467" s="2"/>
      <c r="D467" s="2"/>
      <c r="E467" s="2"/>
      <c r="F467" s="2"/>
      <c r="G467" s="2"/>
      <c r="H467" s="2"/>
      <c r="I467" s="2"/>
      <c r="J467" s="850"/>
    </row>
    <row r="468" spans="1:10">
      <c r="A468" s="2" t="s">
        <v>673</v>
      </c>
      <c r="B468" s="2"/>
      <c r="C468" s="2"/>
      <c r="D468" s="2"/>
      <c r="E468" s="2"/>
      <c r="F468" s="2"/>
      <c r="G468" s="2"/>
      <c r="H468" s="2"/>
      <c r="I468" s="2"/>
      <c r="J468" s="850"/>
    </row>
    <row r="469" spans="1:10">
      <c r="A469" s="2"/>
      <c r="B469" s="2"/>
      <c r="C469" s="2"/>
      <c r="D469" s="2"/>
      <c r="E469" s="2"/>
      <c r="F469" s="2"/>
      <c r="G469" s="2"/>
      <c r="H469" s="2"/>
      <c r="I469" s="2"/>
      <c r="J469" s="850"/>
    </row>
    <row r="470" spans="1:10">
      <c r="A470" s="1" t="s">
        <v>674</v>
      </c>
      <c r="B470" s="1"/>
      <c r="C470" s="1"/>
      <c r="D470" s="2"/>
      <c r="E470" s="2"/>
      <c r="F470" s="2" t="s">
        <v>675</v>
      </c>
      <c r="G470" s="2"/>
      <c r="H470" s="2"/>
      <c r="I470" s="2"/>
      <c r="J470" s="850"/>
    </row>
    <row r="471" spans="1:10">
      <c r="A471" s="2"/>
      <c r="B471" s="848" t="s">
        <v>676</v>
      </c>
      <c r="C471" s="848" t="s">
        <v>677</v>
      </c>
      <c r="D471" s="848" t="s">
        <v>90</v>
      </c>
      <c r="E471" s="2"/>
      <c r="F471" s="2" t="s">
        <v>678</v>
      </c>
      <c r="G471" s="3" t="s">
        <v>1601</v>
      </c>
      <c r="H471" s="3"/>
      <c r="I471" s="3"/>
      <c r="J471" s="850"/>
    </row>
    <row r="472" spans="1:10">
      <c r="A472" s="204" t="s">
        <v>679</v>
      </c>
      <c r="B472" s="346">
        <v>1000</v>
      </c>
      <c r="C472" s="347">
        <f>D472/B472</f>
        <v>32.159999999999997</v>
      </c>
      <c r="D472" s="164">
        <v>32160</v>
      </c>
      <c r="E472" s="2"/>
      <c r="F472" s="2"/>
      <c r="G472" s="2" t="s">
        <v>680</v>
      </c>
      <c r="H472" s="2"/>
      <c r="I472" s="348">
        <v>15</v>
      </c>
      <c r="J472" s="850"/>
    </row>
    <row r="473" spans="1:10">
      <c r="A473" s="204" t="s">
        <v>608</v>
      </c>
      <c r="B473" s="346">
        <v>3000</v>
      </c>
      <c r="C473" s="347">
        <f>I477</f>
        <v>28.5</v>
      </c>
      <c r="D473" s="164">
        <f>B473*C473</f>
        <v>85500</v>
      </c>
      <c r="E473" s="2"/>
      <c r="F473" s="2" t="s">
        <v>681</v>
      </c>
      <c r="G473" s="2" t="s">
        <v>682</v>
      </c>
      <c r="H473" s="2"/>
      <c r="I473" s="1"/>
      <c r="J473" s="850"/>
    </row>
    <row r="474" spans="1:10">
      <c r="A474" s="349" t="s">
        <v>683</v>
      </c>
      <c r="B474" s="346">
        <v>0</v>
      </c>
      <c r="C474" s="347">
        <v>0</v>
      </c>
      <c r="D474" s="164">
        <v>0</v>
      </c>
      <c r="E474" s="2"/>
      <c r="F474" s="2"/>
      <c r="G474" s="2" t="s">
        <v>765</v>
      </c>
      <c r="H474" s="2"/>
      <c r="I474" s="348">
        <v>2.1</v>
      </c>
      <c r="J474" s="850"/>
    </row>
    <row r="475" spans="1:10">
      <c r="A475" s="204" t="s">
        <v>684</v>
      </c>
      <c r="B475" s="346">
        <f>B472+B473-B474</f>
        <v>4000</v>
      </c>
      <c r="C475" s="347">
        <f>D475/B475</f>
        <v>29.414999999999999</v>
      </c>
      <c r="D475" s="164">
        <f>D472+D473</f>
        <v>117660</v>
      </c>
      <c r="E475" s="2"/>
      <c r="F475" s="2" t="s">
        <v>685</v>
      </c>
      <c r="G475" s="2" t="s">
        <v>686</v>
      </c>
      <c r="H475" s="2"/>
      <c r="I475" s="1"/>
      <c r="J475" s="850"/>
    </row>
    <row r="476" spans="1:10">
      <c r="A476" s="2"/>
      <c r="B476" s="2"/>
      <c r="C476" s="2"/>
      <c r="D476" s="2"/>
      <c r="E476" s="2"/>
      <c r="F476" s="2"/>
      <c r="G476" s="2" t="s">
        <v>766</v>
      </c>
      <c r="H476" s="2"/>
      <c r="I476" s="348">
        <v>11.4</v>
      </c>
      <c r="J476" s="850"/>
    </row>
    <row r="477" spans="1:10">
      <c r="A477" s="2"/>
      <c r="B477" s="2"/>
      <c r="C477" s="2"/>
      <c r="D477" s="2"/>
      <c r="E477" s="2"/>
      <c r="F477" s="350" t="s">
        <v>688</v>
      </c>
      <c r="G477" s="350"/>
      <c r="H477" s="350"/>
      <c r="I477" s="351">
        <f>I472+I474+I476</f>
        <v>28.5</v>
      </c>
      <c r="J477" s="850"/>
    </row>
    <row r="478" spans="1:10">
      <c r="A478" s="2"/>
      <c r="B478" s="2"/>
      <c r="C478" s="2"/>
      <c r="D478" s="2"/>
      <c r="E478" s="2"/>
      <c r="F478" s="2"/>
      <c r="G478" s="2"/>
      <c r="H478" s="2"/>
      <c r="I478" s="2"/>
      <c r="J478" s="850"/>
    </row>
    <row r="479" spans="1:10">
      <c r="A479" s="1" t="s">
        <v>689</v>
      </c>
      <c r="B479" s="2"/>
      <c r="C479" s="2"/>
      <c r="D479" s="2"/>
      <c r="E479" s="2"/>
      <c r="F479" s="2"/>
      <c r="G479" s="2"/>
      <c r="H479" s="2"/>
      <c r="I479" s="2"/>
      <c r="J479" s="850"/>
    </row>
    <row r="480" spans="1:10">
      <c r="A480" s="2"/>
      <c r="B480" s="848" t="s">
        <v>676</v>
      </c>
      <c r="C480" s="848" t="s">
        <v>677</v>
      </c>
      <c r="D480" s="848" t="s">
        <v>90</v>
      </c>
      <c r="E480" s="2"/>
      <c r="F480" s="2" t="s">
        <v>690</v>
      </c>
      <c r="G480" s="2"/>
      <c r="H480" s="2"/>
      <c r="I480" s="2"/>
      <c r="J480" s="850"/>
    </row>
    <row r="481" spans="1:10">
      <c r="A481" s="204" t="s">
        <v>679</v>
      </c>
      <c r="B481" s="346">
        <v>0</v>
      </c>
      <c r="C481" s="347">
        <v>0</v>
      </c>
      <c r="D481" s="347">
        <v>0</v>
      </c>
      <c r="E481" s="2"/>
      <c r="F481" s="2" t="s">
        <v>678</v>
      </c>
      <c r="G481" s="3" t="s">
        <v>1601</v>
      </c>
      <c r="H481" s="3"/>
      <c r="I481" s="3"/>
      <c r="J481" s="850"/>
    </row>
    <row r="482" spans="1:10">
      <c r="A482" s="204" t="s">
        <v>608</v>
      </c>
      <c r="B482" s="346">
        <f>1300/1.5</f>
        <v>866.66666666666663</v>
      </c>
      <c r="C482" s="360">
        <f>I487</f>
        <v>32.700000000000003</v>
      </c>
      <c r="D482" s="164">
        <f>B482*C482</f>
        <v>28340</v>
      </c>
      <c r="E482" s="2"/>
      <c r="F482" s="2"/>
      <c r="G482" s="2" t="s">
        <v>680</v>
      </c>
      <c r="H482" s="2"/>
      <c r="I482" s="348">
        <v>15</v>
      </c>
    </row>
    <row r="483" spans="1:10">
      <c r="A483" s="349" t="s">
        <v>683</v>
      </c>
      <c r="B483" s="346">
        <f>-B482</f>
        <v>-866.66666666666663</v>
      </c>
      <c r="C483" s="347">
        <f>C482</f>
        <v>32.700000000000003</v>
      </c>
      <c r="D483" s="164">
        <f>D482</f>
        <v>28340</v>
      </c>
      <c r="E483" s="2"/>
      <c r="F483" s="2" t="s">
        <v>681</v>
      </c>
      <c r="G483" s="2" t="s">
        <v>682</v>
      </c>
      <c r="H483" s="2"/>
      <c r="I483" s="1"/>
    </row>
    <row r="484" spans="1:10">
      <c r="A484" s="204" t="s">
        <v>684</v>
      </c>
      <c r="B484" s="346">
        <f>B481+B482+B483</f>
        <v>0</v>
      </c>
      <c r="C484" s="347"/>
      <c r="D484" s="347"/>
      <c r="E484" s="2"/>
      <c r="F484" s="2"/>
      <c r="G484" s="2" t="s">
        <v>764</v>
      </c>
      <c r="H484" s="2"/>
      <c r="I484" s="348">
        <v>6.3</v>
      </c>
    </row>
    <row r="485" spans="1:10">
      <c r="A485" s="2"/>
      <c r="B485" s="2"/>
      <c r="C485" s="2"/>
      <c r="D485" s="2"/>
      <c r="E485" s="2"/>
      <c r="F485" s="2" t="s">
        <v>685</v>
      </c>
      <c r="G485" s="2" t="s">
        <v>686</v>
      </c>
      <c r="H485" s="2"/>
      <c r="I485" s="1"/>
    </row>
    <row r="486" spans="1:10" s="722" customFormat="1">
      <c r="A486" s="2"/>
      <c r="B486" s="2"/>
      <c r="C486" s="2"/>
      <c r="D486" s="2"/>
      <c r="E486" s="2"/>
      <c r="F486" s="2"/>
      <c r="G486" s="2" t="s">
        <v>687</v>
      </c>
      <c r="H486" s="2"/>
      <c r="I486" s="348">
        <v>11.4</v>
      </c>
      <c r="J486"/>
    </row>
    <row r="487" spans="1:10">
      <c r="A487" s="2"/>
      <c r="B487" s="2"/>
      <c r="C487" s="2"/>
      <c r="D487" s="2"/>
      <c r="E487" s="2"/>
      <c r="F487" s="350" t="s">
        <v>688</v>
      </c>
      <c r="G487" s="350"/>
      <c r="H487" s="350"/>
      <c r="I487" s="351">
        <f>I482+I484+I486</f>
        <v>32.700000000000003</v>
      </c>
    </row>
    <row r="488" spans="1:10">
      <c r="A488" s="2"/>
      <c r="B488" s="2"/>
      <c r="C488" s="2"/>
      <c r="D488" s="2"/>
      <c r="E488" s="2"/>
      <c r="F488" s="2"/>
      <c r="G488" s="2"/>
      <c r="H488" s="2"/>
      <c r="I488" s="2"/>
    </row>
    <row r="489" spans="1:10">
      <c r="A489" s="2" t="s">
        <v>691</v>
      </c>
      <c r="B489" s="2"/>
      <c r="C489" s="2"/>
      <c r="D489" s="2"/>
      <c r="E489" s="2"/>
      <c r="F489" s="2"/>
      <c r="G489" s="2"/>
      <c r="H489" s="2"/>
      <c r="I489" s="2"/>
    </row>
    <row r="490" spans="1:10">
      <c r="A490" s="2" t="s">
        <v>617</v>
      </c>
      <c r="B490" s="68">
        <v>162000</v>
      </c>
      <c r="C490" s="2" t="s">
        <v>164</v>
      </c>
      <c r="D490" s="2"/>
      <c r="E490" s="2"/>
      <c r="F490" s="2"/>
      <c r="G490" s="2"/>
      <c r="H490" s="2"/>
      <c r="I490" s="2"/>
    </row>
    <row r="491" spans="1:10">
      <c r="A491" s="46" t="s">
        <v>619</v>
      </c>
      <c r="B491" s="352">
        <f>-D475</f>
        <v>-117660</v>
      </c>
      <c r="C491" s="2" t="s">
        <v>620</v>
      </c>
      <c r="D491" s="2"/>
      <c r="E491" s="2"/>
      <c r="F491" s="2"/>
      <c r="G491" s="2"/>
      <c r="H491" s="2"/>
      <c r="I491" s="2"/>
    </row>
    <row r="492" spans="1:10">
      <c r="A492" s="1" t="s">
        <v>621</v>
      </c>
      <c r="B492" s="342">
        <f>B490+B491</f>
        <v>44340</v>
      </c>
      <c r="C492" s="2"/>
      <c r="D492" s="2"/>
      <c r="E492" s="2"/>
      <c r="F492" s="2"/>
      <c r="G492" s="2"/>
      <c r="H492" s="2"/>
      <c r="I492" s="2"/>
    </row>
    <row r="493" spans="1:10">
      <c r="A493" s="2" t="s">
        <v>622</v>
      </c>
      <c r="B493" s="54">
        <v>-17296.400000000001</v>
      </c>
      <c r="C493" s="2" t="s">
        <v>164</v>
      </c>
      <c r="D493" s="2"/>
      <c r="E493" s="2"/>
      <c r="F493" s="2"/>
      <c r="G493" s="2"/>
      <c r="H493" s="2"/>
      <c r="I493" s="2"/>
    </row>
    <row r="494" spans="1:10">
      <c r="A494" s="2" t="s">
        <v>623</v>
      </c>
      <c r="B494" s="54">
        <f>-0.035*B490</f>
        <v>-5670.0000000000009</v>
      </c>
      <c r="C494" s="2" t="s">
        <v>692</v>
      </c>
      <c r="D494" s="2"/>
      <c r="E494" s="2"/>
      <c r="F494" s="2"/>
      <c r="G494" s="2"/>
      <c r="H494" s="2"/>
      <c r="I494" s="2"/>
    </row>
    <row r="495" spans="1:10">
      <c r="A495" s="2" t="s">
        <v>625</v>
      </c>
      <c r="B495" s="54">
        <f>-1040-328</f>
        <v>-1368</v>
      </c>
      <c r="C495" s="2" t="s">
        <v>693</v>
      </c>
      <c r="D495" s="2"/>
      <c r="E495" s="2"/>
      <c r="F495" s="2"/>
      <c r="G495" s="2"/>
      <c r="H495" s="2"/>
      <c r="I495" s="2"/>
    </row>
    <row r="496" spans="1:10">
      <c r="A496" s="46" t="s">
        <v>627</v>
      </c>
      <c r="B496" s="340">
        <f>-368*4.2</f>
        <v>-1545.6000000000001</v>
      </c>
      <c r="C496" s="2" t="s">
        <v>694</v>
      </c>
      <c r="D496" s="2"/>
      <c r="E496" s="2"/>
      <c r="F496" s="2"/>
      <c r="G496" s="2"/>
      <c r="H496" s="2"/>
      <c r="I496" s="2"/>
    </row>
    <row r="497" spans="1:12" ht="15.75" thickBot="1">
      <c r="A497" s="294" t="s">
        <v>628</v>
      </c>
      <c r="B497" s="343">
        <f>B492+B493+B494+B495+B496</f>
        <v>18460</v>
      </c>
      <c r="C497" s="2"/>
      <c r="D497" s="2"/>
      <c r="E497" s="2"/>
      <c r="F497" s="2"/>
      <c r="G497" s="2"/>
      <c r="H497" s="2"/>
      <c r="I497" s="2"/>
    </row>
    <row r="498" spans="1:12" ht="15.75" thickTop="1">
      <c r="A498" s="2"/>
      <c r="B498" s="2"/>
      <c r="C498" s="2"/>
      <c r="D498" s="2"/>
      <c r="E498" s="2"/>
      <c r="F498" s="2"/>
      <c r="G498" s="2"/>
      <c r="H498" s="2"/>
      <c r="I498" s="2"/>
    </row>
    <row r="499" spans="1:12">
      <c r="A499" s="1" t="s">
        <v>2263</v>
      </c>
      <c r="B499" s="2"/>
      <c r="C499" s="2"/>
      <c r="D499" s="2"/>
      <c r="E499" s="2"/>
      <c r="F499" s="2"/>
      <c r="G499" s="2"/>
      <c r="H499" s="2"/>
      <c r="I499" s="2"/>
    </row>
    <row r="500" spans="1:12">
      <c r="A500" s="1" t="s">
        <v>695</v>
      </c>
      <c r="B500" s="2"/>
      <c r="C500" s="2"/>
      <c r="D500" s="2"/>
      <c r="E500" s="2"/>
      <c r="F500" s="2"/>
      <c r="G500" s="2"/>
      <c r="H500" s="2"/>
      <c r="I500" s="2"/>
    </row>
    <row r="501" spans="1:12">
      <c r="A501" s="2" t="s">
        <v>696</v>
      </c>
      <c r="B501" s="2"/>
      <c r="C501" s="2"/>
      <c r="D501" s="2"/>
      <c r="E501" s="2"/>
      <c r="F501" s="2"/>
      <c r="G501" s="2"/>
      <c r="H501" s="2"/>
      <c r="I501" s="2"/>
    </row>
    <row r="502" spans="1:12">
      <c r="A502" s="2"/>
      <c r="B502" s="918" t="s">
        <v>505</v>
      </c>
      <c r="C502" s="918"/>
      <c r="D502" s="918" t="s">
        <v>506</v>
      </c>
      <c r="E502" s="918"/>
      <c r="F502" s="918" t="s">
        <v>507</v>
      </c>
      <c r="G502" s="918"/>
      <c r="H502" s="918" t="s">
        <v>508</v>
      </c>
      <c r="I502" s="918"/>
    </row>
    <row r="503" spans="1:12">
      <c r="A503" s="204" t="s">
        <v>729</v>
      </c>
      <c r="B503" s="1003" t="s">
        <v>730</v>
      </c>
      <c r="C503" s="1004"/>
      <c r="D503" s="1005" t="s">
        <v>731</v>
      </c>
      <c r="E503" s="1006"/>
      <c r="F503" s="1005" t="str">
        <f>D503</f>
        <v>5.150 HM (1)</v>
      </c>
      <c r="G503" s="1006"/>
      <c r="H503" s="1005" t="str">
        <f>F503</f>
        <v>5.150 HM (1)</v>
      </c>
      <c r="I503" s="1006"/>
    </row>
    <row r="504" spans="1:12">
      <c r="A504" s="204" t="s">
        <v>510</v>
      </c>
      <c r="B504" s="297" t="s">
        <v>734</v>
      </c>
      <c r="C504" s="353">
        <v>32187.5</v>
      </c>
      <c r="D504" s="297">
        <v>5</v>
      </c>
      <c r="E504" s="277">
        <v>25750</v>
      </c>
      <c r="F504" s="297">
        <v>6.25</v>
      </c>
      <c r="G504" s="297">
        <v>32187.5</v>
      </c>
      <c r="H504" s="1007" t="s">
        <v>638</v>
      </c>
      <c r="I504" s="1008"/>
    </row>
    <row r="505" spans="1:12">
      <c r="A505" s="204" t="s">
        <v>511</v>
      </c>
      <c r="B505" s="297" t="s">
        <v>735</v>
      </c>
      <c r="C505" s="277">
        <v>12875</v>
      </c>
      <c r="D505" s="297">
        <v>2</v>
      </c>
      <c r="E505" s="277">
        <v>10300</v>
      </c>
      <c r="F505" s="297">
        <v>2</v>
      </c>
      <c r="G505" s="277">
        <v>10300</v>
      </c>
      <c r="H505" s="1009"/>
      <c r="I505" s="1010"/>
      <c r="K505" s="2"/>
      <c r="L505" s="721"/>
    </row>
    <row r="506" spans="1:12">
      <c r="A506" s="204" t="s">
        <v>512</v>
      </c>
      <c r="B506" s="297">
        <v>7</v>
      </c>
      <c r="C506" s="353">
        <v>45062.5</v>
      </c>
      <c r="D506" s="297">
        <v>7</v>
      </c>
      <c r="E506" s="277">
        <v>36050</v>
      </c>
      <c r="F506" s="297">
        <v>8.25</v>
      </c>
      <c r="G506" s="353">
        <v>42487.5</v>
      </c>
      <c r="H506" s="297"/>
      <c r="I506" s="277">
        <v>43792</v>
      </c>
      <c r="K506" s="2"/>
      <c r="L506" s="721"/>
    </row>
    <row r="507" spans="1:12">
      <c r="A507" s="2" t="s">
        <v>724</v>
      </c>
      <c r="B507" s="2"/>
      <c r="C507" s="2"/>
      <c r="D507" s="2"/>
      <c r="E507" s="85" t="s">
        <v>568</v>
      </c>
      <c r="F507" s="355">
        <f>E506-G506</f>
        <v>-6437.5</v>
      </c>
      <c r="G507" s="85" t="s">
        <v>737</v>
      </c>
      <c r="H507" s="355">
        <f>G506-I506</f>
        <v>-1304.5</v>
      </c>
      <c r="I507" s="2"/>
      <c r="K507" s="2"/>
      <c r="L507" s="721"/>
    </row>
    <row r="508" spans="1:12">
      <c r="A508" s="2"/>
      <c r="B508" s="2"/>
      <c r="C508" s="2"/>
      <c r="D508" s="2"/>
      <c r="E508" s="1011" t="s">
        <v>738</v>
      </c>
      <c r="F508" s="1011"/>
      <c r="G508" s="1011"/>
      <c r="H508" s="359">
        <f>F507+H507</f>
        <v>-7742</v>
      </c>
      <c r="I508" s="2"/>
      <c r="K508" s="2"/>
      <c r="L508" s="721"/>
    </row>
    <row r="509" spans="1:12">
      <c r="A509" s="2" t="s">
        <v>736</v>
      </c>
      <c r="B509" s="2"/>
      <c r="C509" s="2"/>
      <c r="D509" s="2"/>
      <c r="E509" s="2"/>
      <c r="F509" s="2"/>
      <c r="G509" s="2"/>
      <c r="H509" s="2"/>
      <c r="I509" s="2"/>
      <c r="J509" s="345"/>
      <c r="K509" s="2"/>
      <c r="L509" s="721"/>
    </row>
    <row r="510" spans="1:12">
      <c r="A510" s="48" t="s">
        <v>725</v>
      </c>
      <c r="B510" s="2"/>
      <c r="C510" s="2"/>
      <c r="D510" s="2"/>
      <c r="E510" s="2"/>
      <c r="F510" s="2"/>
      <c r="G510" s="2"/>
      <c r="H510" s="2"/>
      <c r="I510" s="354"/>
      <c r="K510" s="2"/>
      <c r="L510" s="721"/>
    </row>
    <row r="511" spans="1:12">
      <c r="A511" s="344" t="s">
        <v>726</v>
      </c>
      <c r="B511" s="2"/>
      <c r="C511" s="2"/>
      <c r="D511" s="2"/>
      <c r="E511" s="2"/>
      <c r="F511" s="2"/>
      <c r="G511" s="2"/>
      <c r="H511" s="2"/>
      <c r="I511" s="2"/>
      <c r="K511" s="2"/>
      <c r="L511" s="721"/>
    </row>
    <row r="512" spans="1:12" s="722" customFormat="1">
      <c r="A512" s="2" t="s">
        <v>732</v>
      </c>
      <c r="B512" s="2"/>
      <c r="C512" s="2"/>
      <c r="D512" s="2"/>
      <c r="E512" s="2"/>
      <c r="F512" s="2"/>
      <c r="G512" s="2"/>
      <c r="H512" s="2"/>
      <c r="I512" s="2"/>
      <c r="J512"/>
      <c r="K512" s="2"/>
      <c r="L512" s="721"/>
    </row>
    <row r="513" spans="1:12">
      <c r="A513" s="2" t="s">
        <v>733</v>
      </c>
      <c r="B513" s="2"/>
      <c r="C513" s="2"/>
      <c r="D513" s="2"/>
      <c r="E513" s="2"/>
      <c r="F513" s="2"/>
      <c r="G513" s="2"/>
      <c r="H513" s="2"/>
      <c r="I513" s="2"/>
      <c r="J513" s="345"/>
      <c r="K513" s="2"/>
      <c r="L513" s="721"/>
    </row>
    <row r="514" spans="1:12">
      <c r="A514" s="2" t="s">
        <v>1602</v>
      </c>
      <c r="B514" s="2"/>
      <c r="C514" s="2"/>
      <c r="D514" s="2"/>
      <c r="E514" s="2"/>
      <c r="F514" s="2"/>
      <c r="G514" s="2"/>
      <c r="H514" s="2"/>
      <c r="I514" s="2"/>
      <c r="J514" s="345"/>
      <c r="K514" s="2"/>
      <c r="L514" s="721"/>
    </row>
    <row r="515" spans="1:12">
      <c r="A515" s="663" t="s">
        <v>727</v>
      </c>
      <c r="B515" s="2"/>
      <c r="C515" s="2"/>
      <c r="D515" s="2"/>
      <c r="E515" s="2"/>
      <c r="F515" s="2"/>
      <c r="G515" s="2"/>
      <c r="H515" s="2"/>
      <c r="I515" s="2"/>
      <c r="K515" s="2"/>
      <c r="L515" s="721"/>
    </row>
    <row r="516" spans="1:12">
      <c r="A516" s="663" t="s">
        <v>728</v>
      </c>
      <c r="B516" s="2"/>
      <c r="C516" s="2"/>
      <c r="D516" s="2"/>
      <c r="E516" s="2"/>
      <c r="F516" s="2"/>
      <c r="G516" s="2"/>
      <c r="H516" s="2"/>
      <c r="I516" s="2"/>
      <c r="K516" s="368"/>
    </row>
    <row r="517" spans="1:12">
      <c r="A517" s="2"/>
      <c r="B517" s="2"/>
      <c r="C517" s="2"/>
      <c r="D517" s="2"/>
      <c r="E517" s="2"/>
      <c r="F517" s="2"/>
      <c r="G517" s="2"/>
      <c r="H517" s="2"/>
      <c r="I517" s="2"/>
    </row>
    <row r="518" spans="1:12">
      <c r="A518" s="2" t="s">
        <v>697</v>
      </c>
      <c r="B518" s="2"/>
      <c r="C518" s="2"/>
      <c r="D518" s="2"/>
      <c r="E518" s="2"/>
      <c r="F518" s="2"/>
      <c r="G518" s="2"/>
      <c r="H518" s="2"/>
      <c r="I518" s="2"/>
    </row>
    <row r="519" spans="1:12">
      <c r="A519" s="2"/>
      <c r="B519" s="2"/>
      <c r="C519" s="2"/>
      <c r="D519" s="2"/>
      <c r="E519" s="2"/>
      <c r="F519" s="2"/>
      <c r="G519" s="2"/>
      <c r="H519" s="2"/>
      <c r="I519" s="2"/>
    </row>
    <row r="520" spans="1:12">
      <c r="A520" s="2" t="s">
        <v>698</v>
      </c>
      <c r="B520" s="2"/>
      <c r="C520" s="2"/>
      <c r="D520" s="2"/>
      <c r="E520" s="2"/>
      <c r="F520" s="2"/>
      <c r="G520" s="2"/>
      <c r="H520" s="2"/>
      <c r="I520" s="2"/>
    </row>
    <row r="521" spans="1:12">
      <c r="A521" s="2" t="s">
        <v>739</v>
      </c>
      <c r="B521" s="2"/>
      <c r="C521" s="2"/>
      <c r="D521" s="2"/>
      <c r="E521" s="2"/>
      <c r="F521" s="2"/>
      <c r="G521" s="2"/>
      <c r="H521" s="2"/>
      <c r="I521" s="2"/>
    </row>
    <row r="522" spans="1:12">
      <c r="A522" s="2"/>
      <c r="B522" s="2"/>
      <c r="C522" s="2"/>
      <c r="D522" s="2"/>
      <c r="E522" s="2"/>
      <c r="F522" s="2"/>
      <c r="G522" s="2"/>
      <c r="H522" s="2"/>
      <c r="I522" s="2"/>
    </row>
    <row r="523" spans="1:12">
      <c r="A523" s="2" t="s">
        <v>699</v>
      </c>
      <c r="B523" s="2"/>
      <c r="C523" s="2"/>
      <c r="D523" s="2"/>
      <c r="E523" s="2"/>
      <c r="F523" s="2"/>
      <c r="G523" s="2"/>
      <c r="H523" s="2"/>
      <c r="I523" s="2"/>
    </row>
    <row r="524" spans="1:12">
      <c r="A524" s="2" t="s">
        <v>740</v>
      </c>
      <c r="B524" s="2"/>
      <c r="C524" s="2"/>
      <c r="D524" s="2"/>
      <c r="E524" s="2"/>
      <c r="F524" s="2"/>
      <c r="G524" s="2"/>
      <c r="H524" s="2"/>
      <c r="I524" s="2"/>
    </row>
    <row r="525" spans="1:12">
      <c r="A525" s="85" t="s">
        <v>741</v>
      </c>
      <c r="B525" s="86"/>
      <c r="C525" s="100"/>
      <c r="D525" s="2"/>
      <c r="E525" s="2"/>
      <c r="F525" s="2"/>
      <c r="G525" s="2"/>
      <c r="H525" s="2"/>
      <c r="I525" s="2"/>
    </row>
    <row r="526" spans="1:12">
      <c r="A526" s="2"/>
      <c r="B526" s="2"/>
      <c r="C526" s="2"/>
      <c r="D526" s="2"/>
      <c r="E526" s="2"/>
      <c r="F526" s="2"/>
      <c r="G526" s="2"/>
      <c r="H526" s="2"/>
      <c r="I526" s="2"/>
    </row>
    <row r="527" spans="1:12">
      <c r="A527" s="1" t="s">
        <v>700</v>
      </c>
      <c r="B527" s="2"/>
      <c r="C527" s="2"/>
      <c r="D527" s="2"/>
      <c r="E527" s="2"/>
      <c r="F527" s="2"/>
      <c r="G527" s="2"/>
      <c r="H527" s="2"/>
      <c r="I527" s="2"/>
    </row>
    <row r="528" spans="1:12">
      <c r="A528" s="309" t="s">
        <v>543</v>
      </c>
      <c r="B528" s="310">
        <v>0</v>
      </c>
      <c r="C528" s="325">
        <v>0</v>
      </c>
      <c r="D528" s="310">
        <f>B528*C528</f>
        <v>0</v>
      </c>
      <c r="E528" s="2"/>
      <c r="F528" s="2"/>
      <c r="G528" s="2"/>
      <c r="H528" s="2"/>
      <c r="I528" s="2"/>
    </row>
    <row r="529" spans="1:10">
      <c r="A529" s="311" t="s">
        <v>544</v>
      </c>
      <c r="B529" s="310">
        <f>B531</f>
        <v>3520</v>
      </c>
      <c r="C529" s="325">
        <v>4</v>
      </c>
      <c r="D529" s="310">
        <f>B529*C529</f>
        <v>14080</v>
      </c>
      <c r="E529" s="2"/>
      <c r="F529" s="2"/>
      <c r="G529" s="2"/>
      <c r="H529" s="2"/>
      <c r="I529" s="2"/>
    </row>
    <row r="530" spans="1:10">
      <c r="A530" s="311" t="s">
        <v>545</v>
      </c>
      <c r="B530" s="310">
        <v>0</v>
      </c>
      <c r="C530" s="312">
        <v>0</v>
      </c>
      <c r="D530" s="325">
        <v>0</v>
      </c>
      <c r="E530" s="2"/>
      <c r="F530" s="2"/>
      <c r="G530" s="2"/>
      <c r="H530" s="2"/>
      <c r="I530" s="2"/>
    </row>
    <row r="531" spans="1:10" ht="15.75" thickBot="1">
      <c r="A531" s="313" t="s">
        <v>53</v>
      </c>
      <c r="B531" s="314">
        <v>3520</v>
      </c>
      <c r="C531" s="326">
        <f>C529</f>
        <v>4</v>
      </c>
      <c r="D531" s="314">
        <f>B531*C531</f>
        <v>14080</v>
      </c>
      <c r="E531" s="2"/>
      <c r="F531" s="2"/>
      <c r="G531" s="2"/>
      <c r="H531" s="2"/>
      <c r="I531" s="2"/>
    </row>
    <row r="532" spans="1:10" ht="15.75" thickTop="1">
      <c r="A532" s="2"/>
      <c r="B532" s="2"/>
      <c r="C532" s="2"/>
      <c r="D532" s="2"/>
      <c r="E532" s="2"/>
      <c r="F532" s="2"/>
      <c r="G532" s="2"/>
      <c r="H532" s="2"/>
      <c r="I532" s="2"/>
    </row>
    <row r="533" spans="1:10">
      <c r="A533" s="2" t="s">
        <v>701</v>
      </c>
      <c r="B533" s="2"/>
      <c r="C533" s="2"/>
      <c r="D533" s="2"/>
      <c r="E533" s="2"/>
      <c r="F533" s="2"/>
      <c r="G533" s="2"/>
      <c r="H533" s="2"/>
      <c r="I533" s="2"/>
    </row>
    <row r="534" spans="1:10">
      <c r="A534" s="2" t="s">
        <v>742</v>
      </c>
      <c r="B534" s="2"/>
      <c r="C534" s="2"/>
      <c r="D534" s="2"/>
      <c r="E534" s="2"/>
      <c r="F534" s="2"/>
      <c r="G534" s="2"/>
      <c r="H534" s="2"/>
      <c r="I534" s="2"/>
    </row>
    <row r="535" spans="1:10">
      <c r="A535" s="85" t="s">
        <v>702</v>
      </c>
      <c r="B535" s="100" t="s">
        <v>743</v>
      </c>
      <c r="C535" s="2"/>
      <c r="D535" s="2"/>
      <c r="E535" s="2"/>
      <c r="F535" s="2"/>
      <c r="G535" s="2"/>
      <c r="H535" s="2"/>
      <c r="I535" s="2"/>
    </row>
    <row r="536" spans="1:10">
      <c r="A536" s="2"/>
      <c r="B536" s="2"/>
      <c r="C536" s="2"/>
      <c r="D536" s="2"/>
      <c r="E536" s="2"/>
      <c r="F536" s="2"/>
      <c r="G536" s="2"/>
      <c r="H536" s="2"/>
      <c r="I536" s="2"/>
    </row>
    <row r="537" spans="1:10">
      <c r="A537" s="1" t="s">
        <v>703</v>
      </c>
      <c r="B537" s="2"/>
      <c r="C537" s="2"/>
      <c r="D537" s="2"/>
      <c r="E537" s="2"/>
      <c r="F537" s="2"/>
      <c r="G537" s="2"/>
      <c r="H537" s="2"/>
      <c r="I537" s="2"/>
    </row>
    <row r="538" spans="1:10">
      <c r="A538" s="60" t="s">
        <v>134</v>
      </c>
      <c r="B538" s="18"/>
      <c r="C538" s="17">
        <v>5025</v>
      </c>
      <c r="D538" s="2" t="s">
        <v>108</v>
      </c>
      <c r="E538" s="2" t="s">
        <v>704</v>
      </c>
      <c r="F538" s="2"/>
      <c r="G538" s="2"/>
      <c r="H538" s="2"/>
      <c r="I538" s="2"/>
    </row>
    <row r="539" spans="1:10">
      <c r="A539" s="59" t="s">
        <v>131</v>
      </c>
      <c r="B539" s="18"/>
      <c r="C539" s="17">
        <v>-500</v>
      </c>
      <c r="D539" s="2" t="s">
        <v>108</v>
      </c>
      <c r="E539" s="2" t="s">
        <v>164</v>
      </c>
      <c r="F539" s="2"/>
      <c r="G539" s="2"/>
      <c r="H539" s="2"/>
      <c r="I539" s="2"/>
    </row>
    <row r="540" spans="1:10">
      <c r="A540" s="59" t="s">
        <v>132</v>
      </c>
      <c r="B540" s="18"/>
      <c r="C540" s="17">
        <v>0</v>
      </c>
      <c r="D540" s="2" t="s">
        <v>108</v>
      </c>
      <c r="E540" s="2"/>
      <c r="F540" s="2"/>
      <c r="G540" s="2"/>
      <c r="H540" s="2"/>
      <c r="I540" s="2"/>
    </row>
    <row r="541" spans="1:10">
      <c r="A541" s="62" t="s">
        <v>133</v>
      </c>
      <c r="B541" s="63"/>
      <c r="C541" s="66">
        <f>C538+C539+C540</f>
        <v>4525</v>
      </c>
      <c r="D541" s="57" t="s">
        <v>108</v>
      </c>
      <c r="E541" s="2"/>
      <c r="F541" s="2"/>
      <c r="G541" s="2"/>
      <c r="H541" s="2"/>
      <c r="I541" s="2"/>
    </row>
    <row r="542" spans="1:10">
      <c r="A542" s="59" t="s">
        <v>135</v>
      </c>
      <c r="B542" s="18"/>
      <c r="C542" s="17">
        <f>-205</f>
        <v>-205</v>
      </c>
      <c r="D542" s="2" t="s">
        <v>108</v>
      </c>
      <c r="E542" s="2" t="s">
        <v>164</v>
      </c>
      <c r="F542" s="2"/>
      <c r="G542" s="2"/>
      <c r="H542" s="2"/>
      <c r="I542" s="2"/>
    </row>
    <row r="543" spans="1:10">
      <c r="A543" s="62" t="s">
        <v>136</v>
      </c>
      <c r="B543" s="63"/>
      <c r="C543" s="66">
        <f>C541+C542</f>
        <v>4320</v>
      </c>
      <c r="D543" s="57" t="s">
        <v>108</v>
      </c>
      <c r="E543" s="2"/>
      <c r="F543" s="2"/>
      <c r="G543" s="2"/>
      <c r="H543" s="2"/>
      <c r="I543" s="2"/>
    </row>
    <row r="544" spans="1:10" s="2" customFormat="1">
      <c r="A544" s="59" t="s">
        <v>137</v>
      </c>
      <c r="B544" s="18"/>
      <c r="C544" s="17">
        <f>C545-C543</f>
        <v>-300</v>
      </c>
      <c r="D544" s="2" t="s">
        <v>108</v>
      </c>
      <c r="E544" s="2" t="s">
        <v>705</v>
      </c>
      <c r="J544"/>
    </row>
    <row r="545" spans="1:10" s="2" customFormat="1" ht="15.75" thickBot="1">
      <c r="A545" s="64" t="s">
        <v>138</v>
      </c>
      <c r="B545" s="65"/>
      <c r="C545" s="67">
        <v>4020</v>
      </c>
      <c r="D545" s="55" t="s">
        <v>108</v>
      </c>
      <c r="J545"/>
    </row>
    <row r="546" spans="1:10" s="2" customFormat="1" ht="15.75" thickTop="1">
      <c r="J546"/>
    </row>
    <row r="547" spans="1:10" s="2" customFormat="1">
      <c r="A547" s="2" t="s">
        <v>744</v>
      </c>
      <c r="J547"/>
    </row>
    <row r="548" spans="1:10" s="2" customFormat="1">
      <c r="A548" s="85" t="s">
        <v>745</v>
      </c>
      <c r="B548" s="100"/>
      <c r="J548"/>
    </row>
    <row r="549" spans="1:10" s="2" customFormat="1">
      <c r="J549"/>
    </row>
    <row r="550" spans="1:10" s="2" customFormat="1">
      <c r="A550" s="2" t="s">
        <v>706</v>
      </c>
      <c r="J550"/>
    </row>
    <row r="551" spans="1:10" s="2" customFormat="1">
      <c r="A551" s="2" t="s">
        <v>707</v>
      </c>
      <c r="J551"/>
    </row>
    <row r="552" spans="1:10" s="2" customFormat="1">
      <c r="A552" s="85" t="s">
        <v>708</v>
      </c>
      <c r="B552" s="100"/>
      <c r="J552"/>
    </row>
    <row r="553" spans="1:10" s="2" customFormat="1">
      <c r="J553"/>
    </row>
    <row r="554" spans="1:10" s="2" customFormat="1">
      <c r="A554" s="2" t="s">
        <v>709</v>
      </c>
      <c r="J554"/>
    </row>
    <row r="555" spans="1:10" s="2" customFormat="1">
      <c r="A555" s="2" t="s">
        <v>710</v>
      </c>
      <c r="J555"/>
    </row>
    <row r="556" spans="1:10" s="2" customFormat="1">
      <c r="J556"/>
    </row>
    <row r="557" spans="1:10" s="2" customFormat="1">
      <c r="A557" s="2" t="s">
        <v>711</v>
      </c>
      <c r="J557"/>
    </row>
    <row r="558" spans="1:10" s="2" customFormat="1">
      <c r="A558" s="2" t="s">
        <v>746</v>
      </c>
      <c r="J558"/>
    </row>
    <row r="559" spans="1:10" s="2" customFormat="1">
      <c r="A559" s="85" t="s">
        <v>747</v>
      </c>
      <c r="B559" s="100"/>
      <c r="J559"/>
    </row>
    <row r="560" spans="1:10" s="2" customFormat="1">
      <c r="A560" s="14"/>
      <c r="B560" s="14"/>
      <c r="J560"/>
    </row>
    <row r="561" spans="1:10" s="2" customFormat="1">
      <c r="A561" s="14" t="s">
        <v>712</v>
      </c>
      <c r="B561" s="14"/>
      <c r="J561"/>
    </row>
    <row r="562" spans="1:10" s="2" customFormat="1">
      <c r="J562"/>
    </row>
    <row r="563" spans="1:10" s="2" customFormat="1">
      <c r="A563" s="1" t="s">
        <v>713</v>
      </c>
      <c r="B563" s="1"/>
      <c r="C563" s="1"/>
      <c r="F563" s="2" t="s">
        <v>675</v>
      </c>
      <c r="J563"/>
    </row>
    <row r="564" spans="1:10" s="2" customFormat="1">
      <c r="B564" s="308" t="s">
        <v>676</v>
      </c>
      <c r="C564" s="308" t="s">
        <v>677</v>
      </c>
      <c r="D564" s="308" t="s">
        <v>90</v>
      </c>
      <c r="F564" s="2" t="s">
        <v>678</v>
      </c>
      <c r="G564" s="3" t="s">
        <v>1603</v>
      </c>
      <c r="H564" s="3"/>
      <c r="I564" s="3"/>
      <c r="J564"/>
    </row>
    <row r="565" spans="1:10" s="2" customFormat="1">
      <c r="A565" s="204" t="s">
        <v>679</v>
      </c>
      <c r="B565" s="346">
        <v>1500</v>
      </c>
      <c r="C565" s="347">
        <f>D565/B565</f>
        <v>25.5</v>
      </c>
      <c r="D565" s="164">
        <v>38250</v>
      </c>
      <c r="G565" s="2" t="s">
        <v>714</v>
      </c>
      <c r="I565" s="348">
        <v>4</v>
      </c>
      <c r="J565"/>
    </row>
    <row r="566" spans="1:10" s="2" customFormat="1">
      <c r="A566" s="204" t="s">
        <v>608</v>
      </c>
      <c r="B566" s="346">
        <v>1000</v>
      </c>
      <c r="C566" s="347">
        <f>I570</f>
        <v>29.25</v>
      </c>
      <c r="D566" s="164">
        <f>B566*C566</f>
        <v>29250</v>
      </c>
      <c r="F566" s="2" t="s">
        <v>681</v>
      </c>
      <c r="G566" s="2" t="s">
        <v>682</v>
      </c>
      <c r="I566" s="1"/>
      <c r="J566"/>
    </row>
    <row r="567" spans="1:10" s="2" customFormat="1">
      <c r="A567" s="349" t="s">
        <v>683</v>
      </c>
      <c r="B567" s="346">
        <v>0</v>
      </c>
      <c r="C567" s="347">
        <v>0</v>
      </c>
      <c r="D567" s="164">
        <v>0</v>
      </c>
      <c r="G567" s="2" t="s">
        <v>715</v>
      </c>
      <c r="I567" s="348">
        <v>11.25</v>
      </c>
      <c r="J567"/>
    </row>
    <row r="568" spans="1:10" s="2" customFormat="1">
      <c r="A568" s="204" t="s">
        <v>684</v>
      </c>
      <c r="B568" s="346">
        <f>B565+B566-B567</f>
        <v>2500</v>
      </c>
      <c r="C568" s="347">
        <f>D568/B568</f>
        <v>27</v>
      </c>
      <c r="D568" s="164">
        <f>D565+D566</f>
        <v>67500</v>
      </c>
      <c r="F568" s="2" t="s">
        <v>685</v>
      </c>
      <c r="G568" s="2" t="s">
        <v>686</v>
      </c>
      <c r="I568" s="1"/>
      <c r="J568"/>
    </row>
    <row r="569" spans="1:10" s="2" customFormat="1">
      <c r="G569" s="2" t="s">
        <v>716</v>
      </c>
      <c r="I569" s="348">
        <v>14</v>
      </c>
      <c r="J569"/>
    </row>
    <row r="570" spans="1:10" s="2" customFormat="1">
      <c r="F570" s="350" t="s">
        <v>688</v>
      </c>
      <c r="G570" s="350"/>
      <c r="H570" s="350"/>
      <c r="I570" s="351">
        <f>I565+I567+I569</f>
        <v>29.25</v>
      </c>
      <c r="J570"/>
    </row>
    <row r="571" spans="1:10" s="2" customFormat="1">
      <c r="J571"/>
    </row>
    <row r="572" spans="1:10">
      <c r="A572" s="1" t="s">
        <v>717</v>
      </c>
      <c r="B572" s="2"/>
      <c r="C572" s="2"/>
      <c r="D572" s="2"/>
      <c r="E572" s="2"/>
      <c r="F572" s="2"/>
      <c r="G572" s="2"/>
      <c r="H572" s="2"/>
      <c r="I572" s="2"/>
    </row>
    <row r="573" spans="1:10">
      <c r="A573" s="2"/>
      <c r="B573" s="308" t="s">
        <v>676</v>
      </c>
      <c r="C573" s="308" t="s">
        <v>677</v>
      </c>
      <c r="D573" s="308" t="s">
        <v>90</v>
      </c>
      <c r="E573" s="2"/>
      <c r="F573" s="2" t="s">
        <v>690</v>
      </c>
      <c r="G573" s="2"/>
      <c r="H573" s="2"/>
      <c r="I573" s="2"/>
    </row>
    <row r="574" spans="1:10">
      <c r="A574" s="204" t="s">
        <v>679</v>
      </c>
      <c r="B574" s="346">
        <v>0</v>
      </c>
      <c r="C574" s="347">
        <v>0</v>
      </c>
      <c r="D574" s="347">
        <v>0</v>
      </c>
      <c r="E574" s="2"/>
      <c r="F574" s="2" t="s">
        <v>678</v>
      </c>
      <c r="G574" s="3" t="s">
        <v>1603</v>
      </c>
      <c r="H574" s="3"/>
      <c r="I574" s="3"/>
    </row>
    <row r="575" spans="1:10">
      <c r="A575" s="204" t="s">
        <v>608</v>
      </c>
      <c r="B575" s="346">
        <v>1260</v>
      </c>
      <c r="C575" s="347">
        <f>I580</f>
        <v>40.5</v>
      </c>
      <c r="D575" s="164">
        <f>B575*C575</f>
        <v>51030</v>
      </c>
      <c r="E575" s="2"/>
      <c r="F575" s="2"/>
      <c r="G575" s="2" t="s">
        <v>718</v>
      </c>
      <c r="H575" s="2"/>
      <c r="I575" s="348">
        <v>8</v>
      </c>
    </row>
    <row r="576" spans="1:10">
      <c r="A576" s="349" t="s">
        <v>683</v>
      </c>
      <c r="B576" s="346">
        <f>-B575</f>
        <v>-1260</v>
      </c>
      <c r="C576" s="347">
        <f>C575</f>
        <v>40.5</v>
      </c>
      <c r="D576" s="164">
        <f>D575</f>
        <v>51030</v>
      </c>
      <c r="E576" s="2"/>
      <c r="F576" s="2" t="s">
        <v>681</v>
      </c>
      <c r="G576" s="2" t="s">
        <v>682</v>
      </c>
      <c r="H576" s="2"/>
      <c r="I576" s="1"/>
    </row>
    <row r="577" spans="1:10">
      <c r="A577" s="204" t="s">
        <v>684</v>
      </c>
      <c r="B577" s="346">
        <f>B574+B575+B576</f>
        <v>0</v>
      </c>
      <c r="C577" s="347">
        <v>0</v>
      </c>
      <c r="D577" s="164">
        <v>0</v>
      </c>
      <c r="E577" s="2"/>
      <c r="F577" s="2"/>
      <c r="G577" s="2" t="s">
        <v>719</v>
      </c>
      <c r="H577" s="2"/>
      <c r="I577" s="348">
        <v>15</v>
      </c>
    </row>
    <row r="578" spans="1:10">
      <c r="A578" s="2"/>
      <c r="B578" s="2"/>
      <c r="C578" s="2"/>
      <c r="D578" s="2"/>
      <c r="E578" s="2"/>
      <c r="F578" s="2" t="s">
        <v>685</v>
      </c>
      <c r="G578" s="2" t="s">
        <v>686</v>
      </c>
      <c r="H578" s="2"/>
      <c r="I578" s="1"/>
    </row>
    <row r="579" spans="1:10">
      <c r="A579" s="2"/>
      <c r="B579" s="2"/>
      <c r="C579" s="2"/>
      <c r="D579" s="2"/>
      <c r="E579" s="2"/>
      <c r="F579" s="2"/>
      <c r="G579" s="2" t="s">
        <v>720</v>
      </c>
      <c r="H579" s="2"/>
      <c r="I579" s="348">
        <v>17.5</v>
      </c>
    </row>
    <row r="580" spans="1:10">
      <c r="A580" s="2"/>
      <c r="B580" s="2"/>
      <c r="C580" s="2"/>
      <c r="D580" s="2"/>
      <c r="E580" s="2"/>
      <c r="F580" s="350" t="s">
        <v>688</v>
      </c>
      <c r="G580" s="350"/>
      <c r="H580" s="350"/>
      <c r="I580" s="351">
        <f>I575+I577+I579</f>
        <v>40.5</v>
      </c>
    </row>
    <row r="581" spans="1:10">
      <c r="A581" s="2" t="s">
        <v>721</v>
      </c>
      <c r="B581" s="2"/>
      <c r="C581" s="2"/>
      <c r="D581" s="2"/>
      <c r="E581" s="2"/>
      <c r="F581" s="2"/>
      <c r="G581" s="2"/>
      <c r="H581" s="2"/>
      <c r="I581" s="2"/>
    </row>
    <row r="582" spans="1:10">
      <c r="A582" s="2" t="s">
        <v>617</v>
      </c>
      <c r="B582" s="68">
        <v>108375</v>
      </c>
      <c r="C582" s="2" t="s">
        <v>164</v>
      </c>
      <c r="D582" s="2"/>
      <c r="E582" s="2"/>
      <c r="F582" s="2"/>
      <c r="G582" s="2"/>
      <c r="H582" s="2"/>
      <c r="I582" s="2"/>
    </row>
    <row r="583" spans="1:10">
      <c r="A583" s="46" t="s">
        <v>619</v>
      </c>
      <c r="B583" s="352">
        <f>-D568</f>
        <v>-67500</v>
      </c>
      <c r="C583" s="2" t="s">
        <v>620</v>
      </c>
      <c r="D583" s="2"/>
      <c r="E583" s="2"/>
      <c r="F583" s="2"/>
      <c r="G583" s="2"/>
      <c r="H583" s="2"/>
      <c r="I583" s="2"/>
    </row>
    <row r="584" spans="1:10">
      <c r="A584" s="2" t="s">
        <v>621</v>
      </c>
      <c r="B584" s="54">
        <f>B582+B583</f>
        <v>40875</v>
      </c>
      <c r="C584" s="2"/>
      <c r="D584" s="2"/>
      <c r="E584" s="2"/>
      <c r="F584" s="2"/>
      <c r="G584" s="2"/>
      <c r="H584" s="2"/>
      <c r="I584" s="2"/>
    </row>
    <row r="585" spans="1:10">
      <c r="A585" s="2" t="s">
        <v>622</v>
      </c>
      <c r="B585" s="54">
        <v>-15000</v>
      </c>
      <c r="C585" s="2" t="s">
        <v>164</v>
      </c>
      <c r="D585" s="2"/>
      <c r="E585" s="2"/>
      <c r="F585" s="2"/>
      <c r="G585" s="2"/>
      <c r="H585" s="2"/>
      <c r="I585" s="2"/>
    </row>
    <row r="586" spans="1:10">
      <c r="A586" s="2" t="s">
        <v>623</v>
      </c>
      <c r="B586" s="54">
        <f>-0.04*B582</f>
        <v>-4335</v>
      </c>
      <c r="C586" s="2" t="s">
        <v>722</v>
      </c>
      <c r="D586" s="2"/>
      <c r="E586" s="2"/>
      <c r="F586" s="2"/>
      <c r="G586" s="2"/>
      <c r="H586" s="2"/>
      <c r="I586" s="2"/>
    </row>
    <row r="587" spans="1:10">
      <c r="A587" s="2" t="s">
        <v>625</v>
      </c>
      <c r="B587" s="54">
        <f>-6437.5-1304.5</f>
        <v>-7742</v>
      </c>
      <c r="C587" s="2" t="s">
        <v>693</v>
      </c>
      <c r="D587" s="2"/>
      <c r="E587" s="2"/>
      <c r="F587" s="2"/>
      <c r="G587" s="2"/>
      <c r="H587" s="2"/>
      <c r="I587" s="2"/>
    </row>
    <row r="588" spans="1:10">
      <c r="A588" s="46" t="s">
        <v>627</v>
      </c>
      <c r="B588" s="340">
        <f>-505*7.5</f>
        <v>-3787.5</v>
      </c>
      <c r="C588" s="2" t="s">
        <v>723</v>
      </c>
      <c r="D588" s="2"/>
      <c r="E588" s="2"/>
      <c r="F588" s="2"/>
      <c r="G588" s="2"/>
      <c r="H588" s="2"/>
      <c r="I588" s="2"/>
    </row>
    <row r="589" spans="1:10" ht="15.75" thickBot="1">
      <c r="A589" s="55" t="s">
        <v>628</v>
      </c>
      <c r="B589" s="56">
        <f>B584+B585+B586+B587+B588</f>
        <v>10010.5</v>
      </c>
      <c r="C589" s="2"/>
      <c r="D589" s="2"/>
      <c r="E589" s="2"/>
      <c r="F589" s="2"/>
      <c r="G589" s="2"/>
      <c r="H589" s="2"/>
      <c r="I589" s="2"/>
    </row>
    <row r="590" spans="1:10" ht="15.75" thickTop="1">
      <c r="A590" s="2"/>
      <c r="B590" s="2"/>
      <c r="C590" s="2"/>
      <c r="D590" s="2"/>
      <c r="E590" s="2"/>
      <c r="F590" s="2"/>
      <c r="G590" s="2"/>
      <c r="H590" s="2"/>
      <c r="I590" s="2"/>
    </row>
    <row r="591" spans="1:10" s="722" customFormat="1">
      <c r="A591" s="716" t="s">
        <v>2264</v>
      </c>
      <c r="B591"/>
      <c r="C591"/>
      <c r="D591"/>
      <c r="E591"/>
      <c r="F591"/>
      <c r="G591"/>
      <c r="H591"/>
      <c r="I591"/>
      <c r="J591"/>
    </row>
    <row r="592" spans="1:10" s="2" customFormat="1">
      <c r="A592" s="211" t="s">
        <v>1714</v>
      </c>
      <c r="B592" s="722"/>
      <c r="C592" s="722"/>
      <c r="D592" s="722"/>
      <c r="E592" s="722"/>
      <c r="F592" s="722"/>
      <c r="G592" s="722"/>
      <c r="H592" s="722"/>
      <c r="I592" s="722"/>
      <c r="J592" s="722"/>
    </row>
    <row r="593" spans="1:10" s="2" customFormat="1">
      <c r="B593" s="972" t="s">
        <v>505</v>
      </c>
      <c r="C593" s="973"/>
      <c r="D593" s="972" t="s">
        <v>506</v>
      </c>
      <c r="E593" s="973"/>
      <c r="F593" s="972" t="s">
        <v>507</v>
      </c>
      <c r="G593" s="973"/>
      <c r="H593" s="972" t="s">
        <v>508</v>
      </c>
      <c r="I593" s="973"/>
      <c r="J593"/>
    </row>
    <row r="594" spans="1:10" s="2" customFormat="1">
      <c r="A594" s="204" t="s">
        <v>1681</v>
      </c>
      <c r="B594" s="168">
        <v>3750</v>
      </c>
      <c r="C594" s="100" t="s">
        <v>443</v>
      </c>
      <c r="D594" s="85">
        <v>3500</v>
      </c>
      <c r="E594" s="100" t="s">
        <v>1695</v>
      </c>
      <c r="F594" s="85">
        <v>3500</v>
      </c>
      <c r="G594" s="100" t="s">
        <v>443</v>
      </c>
      <c r="H594" s="85">
        <v>3500</v>
      </c>
      <c r="I594" s="100" t="s">
        <v>443</v>
      </c>
      <c r="J594"/>
    </row>
    <row r="595" spans="1:10" s="2" customFormat="1">
      <c r="A595" s="204" t="s">
        <v>510</v>
      </c>
      <c r="B595" s="706">
        <v>8</v>
      </c>
      <c r="C595" s="727" t="s">
        <v>1687</v>
      </c>
      <c r="D595" s="706">
        <v>8</v>
      </c>
      <c r="E595" s="174" t="s">
        <v>1690</v>
      </c>
      <c r="F595" s="706">
        <v>8.5714285714285712</v>
      </c>
      <c r="G595" s="174">
        <v>30000</v>
      </c>
      <c r="H595" s="204"/>
      <c r="I595" s="347" t="s">
        <v>1699</v>
      </c>
      <c r="J595"/>
    </row>
    <row r="596" spans="1:10" s="2" customFormat="1">
      <c r="A596" s="204" t="s">
        <v>511</v>
      </c>
      <c r="B596" s="708" t="s">
        <v>1686</v>
      </c>
      <c r="C596" s="174">
        <v>13125</v>
      </c>
      <c r="D596" s="706">
        <v>3.5</v>
      </c>
      <c r="E596" s="174" t="s">
        <v>1697</v>
      </c>
      <c r="F596" s="706">
        <v>3.5</v>
      </c>
      <c r="G596" s="174">
        <v>12250</v>
      </c>
      <c r="H596" s="204"/>
      <c r="I596" s="347" t="s">
        <v>1694</v>
      </c>
      <c r="J596"/>
    </row>
    <row r="597" spans="1:10" s="2" customFormat="1">
      <c r="A597" s="204" t="s">
        <v>512</v>
      </c>
      <c r="B597" s="706">
        <v>11.5</v>
      </c>
      <c r="C597" s="174">
        <v>43125</v>
      </c>
      <c r="D597" s="706">
        <v>11.5</v>
      </c>
      <c r="E597" s="174">
        <v>40250</v>
      </c>
      <c r="F597" s="706">
        <v>12.071428571428571</v>
      </c>
      <c r="G597" s="174">
        <v>42250</v>
      </c>
      <c r="H597" s="204"/>
      <c r="I597" s="174">
        <v>43520</v>
      </c>
      <c r="J597"/>
    </row>
    <row r="598" spans="1:10" s="2" customFormat="1">
      <c r="A598"/>
      <c r="B598"/>
      <c r="C598"/>
      <c r="D598"/>
      <c r="E598" s="85" t="s">
        <v>568</v>
      </c>
      <c r="F598" s="355">
        <v>-2000</v>
      </c>
      <c r="G598" s="85" t="s">
        <v>569</v>
      </c>
      <c r="H598" s="355">
        <v>-1270</v>
      </c>
      <c r="I598"/>
      <c r="J598"/>
    </row>
    <row r="599" spans="1:10" s="2" customFormat="1">
      <c r="A599"/>
      <c r="B599"/>
      <c r="C599"/>
      <c r="D599"/>
      <c r="E599" s="1011" t="s">
        <v>738</v>
      </c>
      <c r="F599" s="1011"/>
      <c r="G599" s="1011"/>
      <c r="H599" s="359">
        <v>-3270</v>
      </c>
      <c r="I599"/>
      <c r="J599"/>
    </row>
    <row r="600" spans="1:10" s="2" customFormat="1">
      <c r="A600" s="726" t="s">
        <v>1693</v>
      </c>
      <c r="B600"/>
      <c r="C600"/>
      <c r="D600"/>
      <c r="E600"/>
      <c r="F600"/>
      <c r="G600"/>
      <c r="H600"/>
      <c r="I600"/>
      <c r="J600"/>
    </row>
    <row r="601" spans="1:10" s="2" customFormat="1">
      <c r="A601" s="726" t="s">
        <v>1688</v>
      </c>
      <c r="B601" s="726"/>
      <c r="C601" s="726"/>
      <c r="D601" s="726"/>
      <c r="E601" s="726"/>
      <c r="F601"/>
      <c r="G601"/>
      <c r="H601"/>
      <c r="I601"/>
      <c r="J601"/>
    </row>
    <row r="602" spans="1:10" s="2" customFormat="1">
      <c r="A602" s="726" t="s">
        <v>1689</v>
      </c>
      <c r="B602" s="726"/>
      <c r="C602" s="726"/>
      <c r="D602" s="726"/>
      <c r="E602" s="726"/>
      <c r="F602"/>
      <c r="G602"/>
      <c r="H602"/>
      <c r="I602"/>
      <c r="J602"/>
    </row>
    <row r="603" spans="1:10" s="2" customFormat="1">
      <c r="A603" s="726" t="s">
        <v>1691</v>
      </c>
      <c r="B603" s="726"/>
      <c r="C603" s="726"/>
      <c r="D603" s="726"/>
      <c r="E603" s="726"/>
      <c r="F603"/>
      <c r="G603"/>
      <c r="H603"/>
      <c r="I603"/>
      <c r="J603"/>
    </row>
    <row r="604" spans="1:10" s="2" customFormat="1">
      <c r="A604" s="726" t="s">
        <v>1692</v>
      </c>
      <c r="B604" s="726"/>
      <c r="C604" s="726"/>
      <c r="D604" s="726"/>
      <c r="E604" s="726"/>
      <c r="F604"/>
      <c r="G604"/>
      <c r="H604"/>
      <c r="I604"/>
      <c r="J604"/>
    </row>
    <row r="605" spans="1:10" s="2" customFormat="1">
      <c r="A605" s="726" t="s">
        <v>1696</v>
      </c>
      <c r="B605" s="726"/>
      <c r="C605" s="726"/>
      <c r="D605" s="726"/>
      <c r="E605" s="726"/>
      <c r="F605"/>
      <c r="G605"/>
      <c r="H605"/>
      <c r="I605"/>
      <c r="J605"/>
    </row>
    <row r="606" spans="1:10" s="2" customFormat="1">
      <c r="A606" s="726" t="s">
        <v>1698</v>
      </c>
      <c r="B606" s="726"/>
      <c r="C606" s="726"/>
      <c r="D606" s="726"/>
      <c r="E606" s="726"/>
      <c r="F606"/>
      <c r="G606"/>
      <c r="H606"/>
      <c r="I606"/>
      <c r="J606"/>
    </row>
    <row r="607" spans="1:10" s="2" customFormat="1">
      <c r="A607" s="726" t="s">
        <v>1700</v>
      </c>
      <c r="B607" s="726"/>
      <c r="C607" s="726"/>
      <c r="D607" s="726"/>
      <c r="E607" s="726"/>
      <c r="F607"/>
      <c r="G607"/>
      <c r="H607"/>
      <c r="I607"/>
      <c r="J607"/>
    </row>
    <row r="608" spans="1:10" s="2" customFormat="1">
      <c r="A608" s="726"/>
      <c r="B608" s="726"/>
      <c r="C608" s="726"/>
      <c r="D608" s="726"/>
      <c r="E608" s="726"/>
      <c r="F608"/>
      <c r="G608"/>
      <c r="H608"/>
      <c r="I608"/>
      <c r="J608"/>
    </row>
    <row r="609" spans="1:10" s="2" customFormat="1">
      <c r="A609" s="726" t="s">
        <v>1715</v>
      </c>
      <c r="B609" s="726"/>
      <c r="C609" s="726"/>
      <c r="D609" s="726"/>
      <c r="E609" s="726"/>
      <c r="F609"/>
      <c r="G609"/>
      <c r="H609"/>
      <c r="I609"/>
      <c r="J609"/>
    </row>
    <row r="610" spans="1:10" s="2" customFormat="1">
      <c r="A610"/>
      <c r="B610"/>
      <c r="C610"/>
      <c r="D610"/>
      <c r="E610"/>
      <c r="F610"/>
      <c r="G610"/>
      <c r="H610"/>
      <c r="I610"/>
      <c r="J610"/>
    </row>
    <row r="611" spans="1:10" s="2" customFormat="1">
      <c r="A611" s="12" t="s">
        <v>1701</v>
      </c>
      <c r="D611" s="700" t="s">
        <v>1702</v>
      </c>
      <c r="F611"/>
    </row>
    <row r="612" spans="1:10" s="2" customFormat="1">
      <c r="A612" s="12" t="s">
        <v>797</v>
      </c>
      <c r="D612" s="728" t="s">
        <v>1703</v>
      </c>
      <c r="E612" s="46"/>
      <c r="H612"/>
    </row>
    <row r="613" spans="1:10" s="2" customFormat="1" ht="12.75">
      <c r="A613" s="12" t="s">
        <v>1704</v>
      </c>
      <c r="D613" s="700" t="s">
        <v>1705</v>
      </c>
    </row>
    <row r="614" spans="1:10" s="2" customFormat="1" ht="12.75">
      <c r="A614" s="700"/>
    </row>
    <row r="615" spans="1:10">
      <c r="A615" s="698" t="s">
        <v>1706</v>
      </c>
      <c r="B615" s="2"/>
      <c r="C615" s="2"/>
      <c r="D615" s="700" t="s">
        <v>1707</v>
      </c>
      <c r="E615" s="2"/>
      <c r="G615" s="2"/>
      <c r="H615" s="2"/>
      <c r="I615" s="2"/>
      <c r="J615" s="2"/>
    </row>
    <row r="616" spans="1:10">
      <c r="A616" s="12" t="s">
        <v>1708</v>
      </c>
      <c r="B616" s="2"/>
      <c r="C616" s="2"/>
      <c r="D616" s="728" t="s">
        <v>1712</v>
      </c>
      <c r="E616" s="46"/>
      <c r="G616" s="2"/>
      <c r="H616" s="2"/>
      <c r="I616" s="2"/>
      <c r="J616" s="2"/>
    </row>
    <row r="617" spans="1:10">
      <c r="A617" s="2"/>
      <c r="B617" s="2"/>
      <c r="C617" s="2"/>
      <c r="D617" s="700" t="s">
        <v>1709</v>
      </c>
      <c r="E617" s="2"/>
      <c r="F617" s="2"/>
      <c r="G617" s="2"/>
      <c r="I617" s="2"/>
      <c r="J617" s="2"/>
    </row>
    <row r="618" spans="1:10">
      <c r="A618" s="2"/>
      <c r="B618" s="2"/>
      <c r="C618" s="2"/>
      <c r="D618" s="700"/>
      <c r="E618" s="2"/>
      <c r="F618" s="2"/>
      <c r="G618" s="2"/>
      <c r="H618" s="722"/>
      <c r="I618" s="2"/>
      <c r="J618" s="2"/>
    </row>
    <row r="619" spans="1:10">
      <c r="A619" s="12" t="s">
        <v>1710</v>
      </c>
      <c r="B619" s="2"/>
      <c r="C619" s="2"/>
      <c r="D619" s="725" t="s">
        <v>1711</v>
      </c>
      <c r="E619" s="2"/>
      <c r="G619" s="2"/>
      <c r="H619" s="2"/>
      <c r="I619" s="2"/>
      <c r="J619" s="2"/>
    </row>
    <row r="620" spans="1:10">
      <c r="A620" s="2"/>
      <c r="B620" s="2"/>
      <c r="C620" s="2"/>
      <c r="D620" s="698" t="s">
        <v>1713</v>
      </c>
      <c r="E620" s="2"/>
      <c r="F620" s="2"/>
      <c r="G620" s="2"/>
      <c r="I620" s="2"/>
      <c r="J620" s="2"/>
    </row>
    <row r="621" spans="1:10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>
      <c r="A622" s="2" t="s">
        <v>1733</v>
      </c>
      <c r="B622" s="368"/>
      <c r="C622" s="368"/>
      <c r="D622" s="368"/>
      <c r="E622" s="368"/>
      <c r="F622" s="368"/>
      <c r="G622" s="368"/>
      <c r="H622" s="368"/>
      <c r="I622" s="368"/>
      <c r="J622" s="368"/>
    </row>
    <row r="623" spans="1:10">
      <c r="A623" s="1033" t="s">
        <v>1716</v>
      </c>
      <c r="B623" s="1034"/>
      <c r="C623" s="1034"/>
      <c r="D623" s="1035"/>
      <c r="E623" s="1033" t="s">
        <v>1728</v>
      </c>
      <c r="F623" s="1034"/>
      <c r="G623" s="1034"/>
      <c r="H623" s="1035"/>
      <c r="I623" s="730" t="s">
        <v>606</v>
      </c>
    </row>
    <row r="624" spans="1:10">
      <c r="A624" s="729" t="s">
        <v>1718</v>
      </c>
      <c r="B624" s="14"/>
      <c r="C624" s="14"/>
      <c r="D624" s="718">
        <f>1000*2*7</f>
        <v>14000</v>
      </c>
      <c r="E624" s="729" t="s">
        <v>1730</v>
      </c>
      <c r="F624" s="14"/>
      <c r="G624" s="14"/>
      <c r="H624" s="718">
        <f>600*2.5*7</f>
        <v>10500</v>
      </c>
      <c r="I624" s="290">
        <f t="shared" ref="I624:I633" si="2">D624+H624</f>
        <v>24500</v>
      </c>
    </row>
    <row r="625" spans="1:10">
      <c r="A625" s="729" t="s">
        <v>1719</v>
      </c>
      <c r="B625" s="14"/>
      <c r="C625" s="14"/>
      <c r="D625" s="718">
        <f>1000*2*5*1.65</f>
        <v>16500</v>
      </c>
      <c r="E625" s="729" t="s">
        <v>1729</v>
      </c>
      <c r="F625" s="14"/>
      <c r="G625" s="14"/>
      <c r="H625" s="718">
        <f>600*2*5*1.65</f>
        <v>9900</v>
      </c>
      <c r="I625" s="290">
        <f t="shared" si="2"/>
        <v>26400</v>
      </c>
    </row>
    <row r="626" spans="1:10">
      <c r="A626" s="729" t="s">
        <v>1720</v>
      </c>
      <c r="B626" s="14"/>
      <c r="C626" s="14"/>
      <c r="D626" s="718">
        <f>1000*2*11.5</f>
        <v>23000</v>
      </c>
      <c r="E626" s="729" t="s">
        <v>1731</v>
      </c>
      <c r="F626" s="14"/>
      <c r="G626" s="14"/>
      <c r="H626" s="718">
        <f>600*2.5*11.5</f>
        <v>17250</v>
      </c>
      <c r="I626" s="290">
        <f t="shared" si="2"/>
        <v>40250</v>
      </c>
    </row>
    <row r="627" spans="1:10">
      <c r="A627" s="972" t="s">
        <v>1717</v>
      </c>
      <c r="B627" s="927"/>
      <c r="C627" s="927"/>
      <c r="D627" s="155">
        <f>SUM(D624:D626)</f>
        <v>53500</v>
      </c>
      <c r="E627" s="972" t="s">
        <v>1717</v>
      </c>
      <c r="F627" s="927"/>
      <c r="G627" s="927"/>
      <c r="H627" s="155">
        <f>SUM(H624:H626)</f>
        <v>37650</v>
      </c>
      <c r="I627" s="174">
        <f t="shared" si="2"/>
        <v>91150</v>
      </c>
    </row>
    <row r="628" spans="1:10">
      <c r="A628" s="124" t="s">
        <v>1722</v>
      </c>
      <c r="B628" s="14"/>
      <c r="C628" s="14"/>
      <c r="D628" s="718">
        <f>500*53.5</f>
        <v>26750</v>
      </c>
      <c r="E628" s="124" t="s">
        <v>1721</v>
      </c>
      <c r="F628" s="14"/>
      <c r="G628" s="14"/>
      <c r="H628" s="717">
        <v>0</v>
      </c>
      <c r="I628" s="290">
        <f t="shared" si="2"/>
        <v>26750</v>
      </c>
    </row>
    <row r="629" spans="1:10">
      <c r="A629" s="124" t="s">
        <v>1723</v>
      </c>
      <c r="B629" s="14"/>
      <c r="C629" s="14"/>
      <c r="D629" s="717">
        <v>0</v>
      </c>
      <c r="E629" s="124" t="s">
        <v>1723</v>
      </c>
      <c r="F629" s="14"/>
      <c r="G629" s="14"/>
      <c r="H629" s="719">
        <f>-H627</f>
        <v>-37650</v>
      </c>
      <c r="I629" s="290">
        <f t="shared" si="2"/>
        <v>-37650</v>
      </c>
    </row>
    <row r="630" spans="1:10">
      <c r="A630" s="972" t="s">
        <v>1724</v>
      </c>
      <c r="B630" s="927"/>
      <c r="C630" s="927"/>
      <c r="D630" s="121">
        <f>D628+D627+D629</f>
        <v>80250</v>
      </c>
      <c r="E630" s="972" t="s">
        <v>1724</v>
      </c>
      <c r="F630" s="927"/>
      <c r="G630" s="927"/>
      <c r="H630" s="121">
        <f>H628+H627+H629</f>
        <v>0</v>
      </c>
      <c r="I630" s="174">
        <f t="shared" si="2"/>
        <v>80250</v>
      </c>
    </row>
    <row r="631" spans="1:10">
      <c r="A631" s="124" t="s">
        <v>1725</v>
      </c>
      <c r="B631" s="14"/>
      <c r="C631" s="14"/>
      <c r="D631" s="717">
        <v>0</v>
      </c>
      <c r="E631" s="124" t="s">
        <v>1725</v>
      </c>
      <c r="F631" s="14"/>
      <c r="G631" s="14"/>
      <c r="H631" s="717">
        <v>0</v>
      </c>
      <c r="I631" s="193">
        <f t="shared" si="2"/>
        <v>0</v>
      </c>
    </row>
    <row r="632" spans="1:10">
      <c r="A632" s="124" t="s">
        <v>1726</v>
      </c>
      <c r="B632" s="14"/>
      <c r="C632" s="14"/>
      <c r="D632" s="717">
        <v>0</v>
      </c>
      <c r="E632" s="124" t="s">
        <v>1726</v>
      </c>
      <c r="F632" s="14"/>
      <c r="G632" s="14"/>
      <c r="H632" s="717">
        <v>0</v>
      </c>
      <c r="I632" s="193">
        <f t="shared" si="2"/>
        <v>0</v>
      </c>
    </row>
    <row r="633" spans="1:10">
      <c r="A633" s="1036" t="s">
        <v>1727</v>
      </c>
      <c r="B633" s="1037"/>
      <c r="C633" s="1037"/>
      <c r="D633" s="121">
        <f>D630+D631+D632</f>
        <v>80250</v>
      </c>
      <c r="E633" s="1036" t="s">
        <v>1727</v>
      </c>
      <c r="F633" s="1037"/>
      <c r="G633" s="1037"/>
      <c r="H633" s="121">
        <f>H630+H631+H632</f>
        <v>0</v>
      </c>
      <c r="I633" s="174">
        <f t="shared" si="2"/>
        <v>80250</v>
      </c>
    </row>
    <row r="635" spans="1:10" s="722" customFormat="1">
      <c r="A635" s="2" t="s">
        <v>1732</v>
      </c>
      <c r="B635"/>
      <c r="C635"/>
      <c r="D635"/>
      <c r="E635"/>
      <c r="F635"/>
      <c r="G635"/>
      <c r="H635"/>
      <c r="I635"/>
      <c r="J635"/>
    </row>
    <row r="636" spans="1:10" s="722" customFormat="1">
      <c r="A636"/>
      <c r="B636"/>
      <c r="C636"/>
      <c r="D636"/>
      <c r="E636"/>
      <c r="F636"/>
      <c r="G636"/>
      <c r="H636"/>
      <c r="I636"/>
      <c r="J636"/>
    </row>
    <row r="637" spans="1:10" s="722" customFormat="1">
      <c r="A637" s="2" t="s">
        <v>1734</v>
      </c>
      <c r="B637"/>
      <c r="C637"/>
      <c r="D637"/>
      <c r="E637"/>
      <c r="F637"/>
      <c r="G637"/>
      <c r="H637"/>
      <c r="I637"/>
      <c r="J637"/>
    </row>
    <row r="638" spans="1:10" s="722" customFormat="1">
      <c r="A638"/>
      <c r="B638"/>
      <c r="C638"/>
      <c r="D638"/>
      <c r="E638"/>
      <c r="F638"/>
      <c r="G638"/>
      <c r="H638"/>
      <c r="I638"/>
      <c r="J638"/>
    </row>
    <row r="639" spans="1:10" s="722" customFormat="1">
      <c r="A639" s="2" t="s">
        <v>617</v>
      </c>
      <c r="B639" s="2"/>
      <c r="C639" s="49">
        <v>144000</v>
      </c>
      <c r="D639"/>
      <c r="E639"/>
      <c r="F639"/>
      <c r="G639"/>
      <c r="H639"/>
      <c r="I639"/>
      <c r="J639"/>
    </row>
    <row r="640" spans="1:10" s="722" customFormat="1">
      <c r="A640" s="46" t="s">
        <v>1682</v>
      </c>
      <c r="B640" s="46"/>
      <c r="C640" s="340">
        <f>-D633</f>
        <v>-80250</v>
      </c>
      <c r="D640"/>
      <c r="E640" s="2" t="s">
        <v>1735</v>
      </c>
      <c r="F640" s="2">
        <f>17*9*22</f>
        <v>3366</v>
      </c>
      <c r="G640"/>
      <c r="H640"/>
      <c r="I640"/>
      <c r="J640"/>
    </row>
    <row r="641" spans="1:10" s="722" customFormat="1">
      <c r="A641" s="1" t="s">
        <v>621</v>
      </c>
      <c r="B641" s="1"/>
      <c r="C641" s="342">
        <f>C639+C640</f>
        <v>63750</v>
      </c>
      <c r="D641"/>
      <c r="E641" s="2" t="s">
        <v>1739</v>
      </c>
      <c r="F641" s="2">
        <f>F640</f>
        <v>3366</v>
      </c>
      <c r="G641"/>
      <c r="H641"/>
      <c r="I641"/>
      <c r="J641"/>
    </row>
    <row r="642" spans="1:10" s="722" customFormat="1">
      <c r="A642" s="2" t="s">
        <v>1683</v>
      </c>
      <c r="B642" s="2"/>
      <c r="C642" s="54">
        <f>-0.035*C639</f>
        <v>-5040.0000000000009</v>
      </c>
      <c r="D642"/>
      <c r="E642" s="2" t="s">
        <v>1738</v>
      </c>
      <c r="F642" s="2">
        <v>-166</v>
      </c>
      <c r="G642"/>
      <c r="H642"/>
      <c r="I642"/>
      <c r="J642"/>
    </row>
    <row r="643" spans="1:10" s="722" customFormat="1">
      <c r="A643" s="2" t="s">
        <v>1684</v>
      </c>
      <c r="B643" s="2"/>
      <c r="C643" s="49">
        <v>-10000</v>
      </c>
      <c r="D643"/>
      <c r="E643" s="2" t="s">
        <v>1737</v>
      </c>
      <c r="F643" s="2">
        <f>F641+F642</f>
        <v>3200</v>
      </c>
      <c r="G643"/>
      <c r="H643"/>
      <c r="I643"/>
      <c r="J643"/>
    </row>
    <row r="644" spans="1:10" s="722" customFormat="1">
      <c r="A644" s="2" t="s">
        <v>1685</v>
      </c>
      <c r="B644" s="2"/>
      <c r="C644" s="49">
        <f>F642*5*1.65</f>
        <v>-1369.5</v>
      </c>
      <c r="D644"/>
      <c r="E644" s="2" t="s">
        <v>1740</v>
      </c>
      <c r="F644" s="2">
        <v>0</v>
      </c>
      <c r="G644"/>
      <c r="H644"/>
      <c r="I644"/>
      <c r="J644"/>
    </row>
    <row r="645" spans="1:10" s="722" customFormat="1">
      <c r="A645" s="46" t="s">
        <v>625</v>
      </c>
      <c r="B645" s="46"/>
      <c r="C645" s="709">
        <f>H599</f>
        <v>-3270</v>
      </c>
      <c r="D645"/>
      <c r="E645" s="2" t="s">
        <v>926</v>
      </c>
      <c r="F645" s="2">
        <f>1600*2</f>
        <v>3200</v>
      </c>
      <c r="G645"/>
      <c r="H645"/>
      <c r="I645"/>
      <c r="J645"/>
    </row>
    <row r="646" spans="1:10" s="722" customFormat="1">
      <c r="A646" s="1" t="s">
        <v>628</v>
      </c>
      <c r="B646" s="1"/>
      <c r="C646" s="342">
        <f>C641+C642+C643+C644+C645</f>
        <v>44070.5</v>
      </c>
      <c r="D646"/>
      <c r="E646"/>
      <c r="F646"/>
      <c r="G646"/>
      <c r="H646"/>
      <c r="I646"/>
      <c r="J646"/>
    </row>
    <row r="647" spans="1:10" s="722" customFormat="1">
      <c r="A647"/>
      <c r="B647"/>
      <c r="C647"/>
      <c r="D647"/>
      <c r="E647"/>
      <c r="F647"/>
      <c r="G647"/>
      <c r="H647"/>
      <c r="I647"/>
      <c r="J647"/>
    </row>
    <row r="648" spans="1:10" s="722" customFormat="1">
      <c r="A648" s="1" t="s">
        <v>2265</v>
      </c>
    </row>
    <row r="649" spans="1:10" s="722" customFormat="1">
      <c r="A649" s="2"/>
    </row>
    <row r="650" spans="1:10" s="722" customFormat="1">
      <c r="A650" s="1" t="s">
        <v>1832</v>
      </c>
      <c r="B650" s="2" t="s">
        <v>1826</v>
      </c>
      <c r="C650" s="17">
        <v>300</v>
      </c>
      <c r="D650" s="2" t="s">
        <v>1833</v>
      </c>
      <c r="F650" s="1" t="s">
        <v>1834</v>
      </c>
      <c r="G650" s="2" t="s">
        <v>1826</v>
      </c>
      <c r="H650" s="17">
        <v>260</v>
      </c>
      <c r="I650" s="2" t="s">
        <v>1833</v>
      </c>
    </row>
    <row r="651" spans="1:10" s="722" customFormat="1">
      <c r="A651" s="2"/>
      <c r="B651" s="739" t="s">
        <v>1827</v>
      </c>
      <c r="C651" s="739" t="s">
        <v>1828</v>
      </c>
      <c r="D651" s="739" t="s">
        <v>90</v>
      </c>
      <c r="F651" s="2"/>
      <c r="G651" s="739" t="s">
        <v>1827</v>
      </c>
      <c r="H651" s="739" t="s">
        <v>1828</v>
      </c>
      <c r="I651" s="739" t="s">
        <v>90</v>
      </c>
    </row>
    <row r="652" spans="1:10" s="722" customFormat="1">
      <c r="A652" s="204" t="s">
        <v>50</v>
      </c>
      <c r="B652" s="204">
        <v>40</v>
      </c>
      <c r="C652" s="174">
        <v>28</v>
      </c>
      <c r="D652" s="165">
        <f>B652*C652</f>
        <v>1120</v>
      </c>
      <c r="F652" s="204" t="s">
        <v>50</v>
      </c>
      <c r="G652" s="204">
        <v>120</v>
      </c>
      <c r="H652" s="174">
        <v>30</v>
      </c>
      <c r="I652" s="165">
        <f>G652*H652</f>
        <v>3600</v>
      </c>
    </row>
    <row r="653" spans="1:10" s="722" customFormat="1">
      <c r="A653" s="204" t="s">
        <v>1829</v>
      </c>
      <c r="B653" s="346">
        <f>C689</f>
        <v>220</v>
      </c>
      <c r="C653" s="174">
        <f>C740</f>
        <v>29</v>
      </c>
      <c r="D653" s="165">
        <f>B653*C653</f>
        <v>6380</v>
      </c>
      <c r="F653" s="204" t="s">
        <v>1829</v>
      </c>
      <c r="G653" s="346">
        <f>G656-G652</f>
        <v>140</v>
      </c>
      <c r="H653" s="174">
        <f>G740</f>
        <v>32.5</v>
      </c>
      <c r="I653" s="165">
        <f>G653*H653</f>
        <v>4550</v>
      </c>
    </row>
    <row r="654" spans="1:10" s="722" customFormat="1">
      <c r="A654" s="1016" t="s">
        <v>1830</v>
      </c>
      <c r="B654" s="1030">
        <f>-(B653+B652)</f>
        <v>-260</v>
      </c>
      <c r="C654" s="775" t="s">
        <v>1909</v>
      </c>
      <c r="D654" s="1020">
        <f>D652+D653</f>
        <v>7500</v>
      </c>
      <c r="F654" s="1016" t="s">
        <v>1830</v>
      </c>
      <c r="G654" s="1032">
        <v>0</v>
      </c>
      <c r="H654" s="1020">
        <v>0</v>
      </c>
      <c r="I654" s="1020">
        <v>0</v>
      </c>
    </row>
    <row r="655" spans="1:10" s="722" customFormat="1">
      <c r="A655" s="1017"/>
      <c r="B655" s="1031"/>
      <c r="C655" s="758" t="s">
        <v>1910</v>
      </c>
      <c r="D655" s="1021"/>
      <c r="F655" s="1017"/>
      <c r="G655" s="1031"/>
      <c r="H655" s="1021"/>
      <c r="I655" s="1021"/>
    </row>
    <row r="656" spans="1:10" s="722" customFormat="1">
      <c r="A656" s="204" t="s">
        <v>1831</v>
      </c>
      <c r="B656" s="346">
        <f>B652+B653+B654</f>
        <v>0</v>
      </c>
      <c r="C656" s="174">
        <v>0</v>
      </c>
      <c r="D656" s="165">
        <v>0</v>
      </c>
      <c r="F656" s="204" t="s">
        <v>1831</v>
      </c>
      <c r="G656" s="346">
        <f>H650</f>
        <v>260</v>
      </c>
      <c r="H656" s="174">
        <f>I656/G656</f>
        <v>31.346153846153847</v>
      </c>
      <c r="I656" s="165">
        <f>I652+I653</f>
        <v>8150</v>
      </c>
    </row>
    <row r="657" spans="1:10" s="722" customFormat="1">
      <c r="A657" s="2"/>
    </row>
    <row r="658" spans="1:10" s="722" customFormat="1">
      <c r="A658" s="1" t="s">
        <v>700</v>
      </c>
      <c r="D658" s="742" t="s">
        <v>1836</v>
      </c>
    </row>
    <row r="659" spans="1:10" s="745" customFormat="1">
      <c r="A659" s="2"/>
      <c r="B659" s="739" t="s">
        <v>676</v>
      </c>
      <c r="C659" s="739" t="s">
        <v>1828</v>
      </c>
      <c r="D659" s="739" t="s">
        <v>90</v>
      </c>
    </row>
    <row r="660" spans="1:10" s="722" customFormat="1">
      <c r="A660" s="204" t="s">
        <v>50</v>
      </c>
      <c r="B660" s="277">
        <v>50</v>
      </c>
      <c r="C660" s="277">
        <f>D660/B660</f>
        <v>6</v>
      </c>
      <c r="D660" s="277">
        <v>300</v>
      </c>
    </row>
    <row r="661" spans="1:10" s="722" customFormat="1">
      <c r="A661" s="204" t="s">
        <v>1835</v>
      </c>
      <c r="B661" s="277">
        <f>B671*C679</f>
        <v>540</v>
      </c>
      <c r="C661" s="277">
        <v>8</v>
      </c>
      <c r="D661" s="277">
        <f>B661*C661</f>
        <v>4320</v>
      </c>
    </row>
    <row r="662" spans="1:10" s="722" customFormat="1">
      <c r="A662" s="1028" t="s">
        <v>1830</v>
      </c>
      <c r="B662" s="1029">
        <f>B684</f>
        <v>90</v>
      </c>
      <c r="C662" s="277" t="s">
        <v>1861</v>
      </c>
      <c r="D662" s="1029">
        <f>-((50*6)+(40*8))</f>
        <v>-620</v>
      </c>
    </row>
    <row r="663" spans="1:10" ht="15.75" thickBot="1">
      <c r="A663" s="1016"/>
      <c r="B663" s="999"/>
      <c r="C663" s="759" t="s">
        <v>1862</v>
      </c>
      <c r="D663" s="999"/>
    </row>
    <row r="664" spans="1:10" ht="15.75" thickBot="1">
      <c r="A664" s="760" t="s">
        <v>53</v>
      </c>
      <c r="B664" s="761">
        <f>B660+B661-B662</f>
        <v>500</v>
      </c>
      <c r="C664" s="761">
        <f>C661</f>
        <v>8</v>
      </c>
      <c r="D664" s="762">
        <f>B664*C664</f>
        <v>4000</v>
      </c>
    </row>
    <row r="666" spans="1:10">
      <c r="A666" s="765" t="s">
        <v>1837</v>
      </c>
    </row>
    <row r="667" spans="1:10" ht="15.75">
      <c r="E667" s="2" t="s">
        <v>1838</v>
      </c>
      <c r="F667" s="2" t="s">
        <v>1854</v>
      </c>
      <c r="G667" s="2"/>
      <c r="H667" s="2"/>
      <c r="I667" s="2"/>
    </row>
    <row r="668" spans="1:10">
      <c r="E668" s="85" t="s">
        <v>1838</v>
      </c>
      <c r="F668" s="23">
        <f>240*1*12+150*2*12</f>
        <v>6480</v>
      </c>
      <c r="G668" s="100" t="s">
        <v>1847</v>
      </c>
      <c r="H668" s="2"/>
      <c r="I668" s="2"/>
    </row>
    <row r="669" spans="1:10">
      <c r="F669" s="2"/>
      <c r="G669" s="2"/>
      <c r="H669" s="2"/>
      <c r="I669" s="2"/>
      <c r="J669" s="2"/>
    </row>
    <row r="670" spans="1:10">
      <c r="F670" s="2" t="s">
        <v>1844</v>
      </c>
      <c r="G670" s="744" t="s">
        <v>1840</v>
      </c>
      <c r="H670" s="2"/>
      <c r="I670" s="2"/>
      <c r="J670" s="2"/>
    </row>
    <row r="671" spans="1:10" ht="18.75">
      <c r="A671" s="763" t="s">
        <v>1846</v>
      </c>
      <c r="B671" s="702">
        <f>POWER((2*F668*9)/(0.2*8),0.5)</f>
        <v>270</v>
      </c>
      <c r="C671" s="764" t="s">
        <v>1847</v>
      </c>
      <c r="F671" s="2"/>
      <c r="G671" s="742" t="s">
        <v>1841</v>
      </c>
      <c r="H671" s="2"/>
      <c r="I671" s="2"/>
      <c r="J671" s="2"/>
    </row>
    <row r="672" spans="1:10">
      <c r="F672" s="2"/>
      <c r="G672" s="2"/>
      <c r="H672" s="2"/>
      <c r="I672" s="2"/>
      <c r="J672" s="2"/>
    </row>
    <row r="673" spans="1:10">
      <c r="F673" s="2" t="s">
        <v>1844</v>
      </c>
      <c r="G673" s="744" t="s">
        <v>1840</v>
      </c>
      <c r="H673" s="2"/>
      <c r="I673" s="2"/>
      <c r="J673" s="2"/>
    </row>
    <row r="674" spans="1:10">
      <c r="A674" s="936" t="s">
        <v>26</v>
      </c>
      <c r="B674" s="936"/>
      <c r="C674" s="744" t="s">
        <v>23</v>
      </c>
      <c r="D674" s="2"/>
      <c r="F674" s="2"/>
      <c r="G674" s="742" t="s">
        <v>1842</v>
      </c>
      <c r="H674" s="2"/>
      <c r="I674" s="2"/>
      <c r="J674" s="2"/>
    </row>
    <row r="675" spans="1:10">
      <c r="A675" s="215"/>
      <c r="B675" s="215"/>
      <c r="C675" s="742" t="s">
        <v>24</v>
      </c>
      <c r="D675" s="2"/>
      <c r="F675" s="2"/>
      <c r="G675" s="2"/>
      <c r="H675" s="2"/>
      <c r="I675" s="2"/>
      <c r="J675" s="2"/>
    </row>
    <row r="676" spans="1:10">
      <c r="A676" s="2"/>
      <c r="B676" s="2"/>
      <c r="C676" s="2"/>
      <c r="D676" s="2"/>
      <c r="F676" s="2" t="s">
        <v>1844</v>
      </c>
      <c r="G676" s="685" t="s">
        <v>1845</v>
      </c>
      <c r="H676" s="2"/>
      <c r="I676" s="2"/>
      <c r="J676" s="2"/>
    </row>
    <row r="677" spans="1:10">
      <c r="A677" s="943" t="s">
        <v>26</v>
      </c>
      <c r="B677" s="943"/>
      <c r="C677" s="742">
        <f>F668/B671</f>
        <v>24</v>
      </c>
      <c r="D677" s="2" t="s">
        <v>27</v>
      </c>
      <c r="F677" s="2"/>
      <c r="G677" s="741" t="s">
        <v>1843</v>
      </c>
      <c r="H677" s="2"/>
      <c r="I677" s="2"/>
      <c r="J677" s="2"/>
    </row>
    <row r="678" spans="1:10">
      <c r="A678" s="2"/>
      <c r="B678" s="2"/>
      <c r="C678" s="2"/>
      <c r="D678" s="2"/>
      <c r="F678" s="2"/>
      <c r="G678" s="2"/>
      <c r="H678" s="2"/>
      <c r="I678" s="2"/>
      <c r="J678" s="2"/>
    </row>
    <row r="679" spans="1:10">
      <c r="A679" s="972" t="s">
        <v>28</v>
      </c>
      <c r="B679" s="927"/>
      <c r="C679" s="106">
        <f>24/12</f>
        <v>2</v>
      </c>
      <c r="D679" s="100" t="s">
        <v>1849</v>
      </c>
      <c r="F679" s="85" t="s">
        <v>1844</v>
      </c>
      <c r="G679" s="766">
        <f>1.5/0.75</f>
        <v>2</v>
      </c>
      <c r="H679" s="100" t="s">
        <v>1848</v>
      </c>
      <c r="I679" s="2"/>
      <c r="J679" s="2"/>
    </row>
    <row r="681" spans="1:10">
      <c r="A681" s="149" t="s">
        <v>1850</v>
      </c>
      <c r="B681" s="2"/>
      <c r="C681" s="2"/>
      <c r="D681" s="2"/>
      <c r="E681" s="2"/>
      <c r="F681" s="2"/>
      <c r="G681" s="2"/>
    </row>
    <row r="682" spans="1:10">
      <c r="A682" s="742" t="s">
        <v>1851</v>
      </c>
      <c r="B682" s="2" t="s">
        <v>1852</v>
      </c>
      <c r="C682" s="2"/>
      <c r="D682" s="2"/>
      <c r="E682" s="2"/>
      <c r="F682" s="2" t="s">
        <v>1853</v>
      </c>
      <c r="G682" s="2" t="s">
        <v>1855</v>
      </c>
    </row>
    <row r="683" spans="1:10">
      <c r="A683" s="742" t="s">
        <v>1851</v>
      </c>
      <c r="B683" s="2" t="s">
        <v>1857</v>
      </c>
      <c r="C683" s="2"/>
      <c r="D683" s="2"/>
      <c r="E683" s="2"/>
      <c r="F683" s="85" t="s">
        <v>1853</v>
      </c>
      <c r="G683" s="766">
        <f>(240/30)*1+(150/30)*2</f>
        <v>18</v>
      </c>
      <c r="H683" s="100" t="s">
        <v>1856</v>
      </c>
    </row>
    <row r="684" spans="1:10">
      <c r="A684" s="746" t="s">
        <v>1851</v>
      </c>
      <c r="B684" s="737">
        <f>G683*5</f>
        <v>90</v>
      </c>
      <c r="C684" s="100" t="s">
        <v>1847</v>
      </c>
      <c r="D684" s="2"/>
      <c r="E684" s="2"/>
      <c r="F684" s="2"/>
      <c r="G684" s="2"/>
    </row>
    <row r="685" spans="1:10">
      <c r="A685" s="743"/>
      <c r="B685" s="743"/>
      <c r="C685" s="14"/>
      <c r="D685" s="2"/>
      <c r="E685" s="2"/>
      <c r="F685" s="2"/>
      <c r="G685" s="2"/>
    </row>
    <row r="686" spans="1:10">
      <c r="A686" s="767" t="s">
        <v>1863</v>
      </c>
      <c r="B686" s="743"/>
      <c r="C686" s="14"/>
      <c r="D686" s="2"/>
      <c r="E686" s="2"/>
      <c r="F686" s="2"/>
      <c r="G686" s="2"/>
    </row>
    <row r="687" spans="1:10">
      <c r="A687" s="323" t="s">
        <v>1858</v>
      </c>
      <c r="B687" s="743"/>
      <c r="C687" s="14"/>
      <c r="D687" s="2"/>
      <c r="E687" s="2"/>
      <c r="F687" s="2"/>
      <c r="G687" s="2"/>
    </row>
    <row r="688" spans="1:10">
      <c r="A688" s="323" t="s">
        <v>1859</v>
      </c>
      <c r="B688" s="743"/>
      <c r="C688" s="14"/>
      <c r="D688" s="2"/>
      <c r="E688" s="2"/>
      <c r="F688" s="2"/>
      <c r="G688" s="2"/>
    </row>
    <row r="689" spans="1:8">
      <c r="A689" s="113" t="s">
        <v>1860</v>
      </c>
      <c r="B689" s="737"/>
      <c r="C689" s="747">
        <f>(500-140*2)/1</f>
        <v>220</v>
      </c>
      <c r="D689" s="2"/>
      <c r="E689" s="2"/>
      <c r="F689" s="2"/>
      <c r="G689" s="2"/>
    </row>
    <row r="690" spans="1:8">
      <c r="A690" s="2"/>
      <c r="B690" s="2"/>
      <c r="C690" s="2"/>
      <c r="D690" s="2"/>
      <c r="E690" s="2"/>
      <c r="F690" s="2"/>
      <c r="G690" s="2"/>
    </row>
    <row r="691" spans="1:8">
      <c r="A691" s="1" t="s">
        <v>703</v>
      </c>
      <c r="B691" s="2"/>
      <c r="C691" s="2"/>
      <c r="D691" s="2"/>
      <c r="E691" s="2"/>
      <c r="F691" s="2"/>
      <c r="G691" s="2"/>
      <c r="H691" s="2"/>
    </row>
    <row r="692" spans="1:8">
      <c r="A692" s="2"/>
      <c r="B692" s="2"/>
      <c r="C692" s="2"/>
      <c r="D692" s="2"/>
      <c r="E692" s="2"/>
      <c r="F692" s="2"/>
      <c r="G692" s="2"/>
      <c r="H692" s="2"/>
    </row>
    <row r="693" spans="1:8">
      <c r="A693" s="2" t="s">
        <v>1864</v>
      </c>
      <c r="B693" s="2"/>
      <c r="C693" s="17">
        <f>240*1.5+150*1.5</f>
        <v>585</v>
      </c>
      <c r="D693" s="2" t="s">
        <v>1881</v>
      </c>
      <c r="E693" s="2"/>
      <c r="F693" s="2"/>
      <c r="G693" s="2"/>
      <c r="H693" s="2"/>
    </row>
    <row r="694" spans="1:8">
      <c r="A694" s="2" t="s">
        <v>1865</v>
      </c>
      <c r="B694" s="2"/>
      <c r="C694" s="17">
        <v>-20</v>
      </c>
      <c r="D694" s="2" t="s">
        <v>1866</v>
      </c>
      <c r="E694" s="2"/>
      <c r="F694" s="2"/>
      <c r="G694" s="2"/>
      <c r="H694" s="2"/>
    </row>
    <row r="695" spans="1:8">
      <c r="A695" s="2" t="s">
        <v>1867</v>
      </c>
      <c r="B695" s="2"/>
      <c r="C695" s="17">
        <v>0</v>
      </c>
      <c r="D695" s="2"/>
      <c r="E695" s="2"/>
      <c r="F695" s="2"/>
      <c r="G695" s="2"/>
      <c r="H695" s="2"/>
    </row>
    <row r="696" spans="1:8">
      <c r="A696" s="57" t="s">
        <v>1868</v>
      </c>
      <c r="B696" s="57"/>
      <c r="C696" s="66">
        <f>C693+C694+C695</f>
        <v>565</v>
      </c>
      <c r="D696" s="2"/>
      <c r="E696" s="2"/>
      <c r="F696" s="2"/>
      <c r="G696" s="2"/>
      <c r="H696" s="2"/>
    </row>
    <row r="697" spans="1:8">
      <c r="A697" s="2" t="s">
        <v>1869</v>
      </c>
      <c r="B697" s="2"/>
      <c r="C697" s="17">
        <v>-15</v>
      </c>
      <c r="D697" s="2" t="s">
        <v>1870</v>
      </c>
      <c r="E697" s="2"/>
      <c r="F697" s="2"/>
      <c r="G697" s="2"/>
      <c r="H697" s="2"/>
    </row>
    <row r="698" spans="1:8">
      <c r="A698" s="57" t="s">
        <v>1871</v>
      </c>
      <c r="B698" s="57"/>
      <c r="C698" s="66">
        <f>C696+C697</f>
        <v>550</v>
      </c>
      <c r="D698" s="2"/>
      <c r="E698" s="2"/>
      <c r="F698" s="2"/>
      <c r="G698" s="2"/>
      <c r="H698" s="2"/>
    </row>
    <row r="699" spans="1:8">
      <c r="A699" s="2" t="s">
        <v>1872</v>
      </c>
      <c r="B699" s="2"/>
      <c r="C699" s="17">
        <f>C700-C698</f>
        <v>-10</v>
      </c>
      <c r="D699" s="2" t="s">
        <v>1873</v>
      </c>
      <c r="E699" s="2"/>
      <c r="F699" s="2"/>
      <c r="G699" s="2"/>
      <c r="H699" s="2"/>
    </row>
    <row r="700" spans="1:8">
      <c r="A700" s="85" t="s">
        <v>1874</v>
      </c>
      <c r="B700" s="86"/>
      <c r="C700" s="299">
        <f>220*1.5+140*1.5</f>
        <v>540</v>
      </c>
      <c r="D700" s="2" t="s">
        <v>1880</v>
      </c>
      <c r="E700" s="2"/>
      <c r="F700" s="2"/>
      <c r="G700" s="2"/>
      <c r="H700" s="2"/>
    </row>
    <row r="701" spans="1:8">
      <c r="A701" s="2"/>
      <c r="B701" s="2"/>
      <c r="C701" s="2"/>
      <c r="D701" s="2"/>
      <c r="E701" s="2"/>
      <c r="F701" s="2"/>
      <c r="G701" s="2"/>
      <c r="H701" s="2"/>
    </row>
    <row r="702" spans="1:8">
      <c r="A702" s="2" t="s">
        <v>1875</v>
      </c>
      <c r="B702" s="2"/>
      <c r="C702" s="2"/>
      <c r="D702" s="2"/>
      <c r="E702" s="2"/>
      <c r="F702" s="2"/>
      <c r="G702" s="2"/>
      <c r="H702" s="2"/>
    </row>
    <row r="703" spans="1:8">
      <c r="A703" s="942" t="s">
        <v>114</v>
      </c>
      <c r="B703" s="942"/>
      <c r="C703" s="942"/>
      <c r="D703" s="2" t="s">
        <v>1882</v>
      </c>
      <c r="E703" s="2"/>
      <c r="F703" s="2"/>
      <c r="G703" s="2"/>
      <c r="H703" s="2"/>
    </row>
    <row r="704" spans="1:8">
      <c r="A704" s="2"/>
      <c r="B704" s="2"/>
      <c r="C704" s="2"/>
      <c r="D704" s="2"/>
      <c r="E704" s="2"/>
      <c r="F704" s="2"/>
      <c r="G704" s="2"/>
      <c r="H704" s="2"/>
    </row>
    <row r="705" spans="1:9">
      <c r="A705" s="974" t="s">
        <v>114</v>
      </c>
      <c r="B705" s="975"/>
      <c r="C705" s="975"/>
      <c r="D705" s="768">
        <f>((1+0.05+0.04)*(1+0.0833)*(1.239)+(0.02+0.017))-1</f>
        <v>0.50000748300000009</v>
      </c>
      <c r="E705" s="2"/>
      <c r="F705" s="2"/>
      <c r="G705" s="2"/>
      <c r="H705" s="2"/>
    </row>
    <row r="706" spans="1:9">
      <c r="A706" s="2"/>
      <c r="B706" s="2"/>
      <c r="C706" s="2"/>
      <c r="D706" s="2"/>
      <c r="E706" s="2"/>
      <c r="F706" s="2"/>
      <c r="G706" s="2"/>
      <c r="H706" s="2"/>
    </row>
    <row r="707" spans="1:9">
      <c r="A707" s="2" t="s">
        <v>1876</v>
      </c>
      <c r="B707" s="2" t="s">
        <v>1877</v>
      </c>
      <c r="C707" s="2"/>
      <c r="D707" s="2"/>
      <c r="E707" s="2"/>
      <c r="F707" s="2"/>
      <c r="G707" s="2"/>
      <c r="H707" s="2"/>
    </row>
    <row r="708" spans="1:9">
      <c r="A708" s="2" t="s">
        <v>1876</v>
      </c>
      <c r="B708" s="2" t="s">
        <v>1883</v>
      </c>
      <c r="C708" s="2"/>
      <c r="D708" s="2"/>
      <c r="E708" s="2"/>
      <c r="F708" s="2"/>
      <c r="G708" s="2"/>
      <c r="H708" s="2"/>
    </row>
    <row r="709" spans="1:9">
      <c r="A709" s="85" t="s">
        <v>1876</v>
      </c>
      <c r="B709" s="106">
        <f>6*1.5</f>
        <v>9</v>
      </c>
      <c r="C709" s="100" t="s">
        <v>129</v>
      </c>
      <c r="D709" s="2"/>
      <c r="E709" s="2"/>
      <c r="F709" s="2"/>
      <c r="G709" s="2"/>
      <c r="H709" s="2"/>
    </row>
    <row r="710" spans="1:9">
      <c r="A710" s="2"/>
      <c r="B710" s="2"/>
      <c r="C710" s="2"/>
      <c r="D710" s="2"/>
      <c r="E710" s="2"/>
      <c r="F710" s="2"/>
      <c r="G710" s="2"/>
      <c r="H710" s="2"/>
    </row>
    <row r="711" spans="1:9">
      <c r="A711" s="2" t="s">
        <v>1878</v>
      </c>
      <c r="B711" s="2" t="s">
        <v>1879</v>
      </c>
      <c r="C711" s="2"/>
      <c r="D711" s="2"/>
      <c r="E711" s="2"/>
      <c r="F711" s="2"/>
      <c r="G711" s="2"/>
      <c r="H711" s="2"/>
    </row>
    <row r="712" spans="1:9">
      <c r="A712" s="85" t="s">
        <v>1878</v>
      </c>
      <c r="B712" s="155">
        <f>B709*C700</f>
        <v>4860</v>
      </c>
      <c r="C712" s="2"/>
      <c r="D712" s="2"/>
      <c r="E712" s="2"/>
      <c r="F712" s="2"/>
      <c r="G712" s="2"/>
      <c r="H712" s="2"/>
    </row>
    <row r="713" spans="1:9">
      <c r="A713" s="2"/>
      <c r="B713" s="2"/>
      <c r="C713" s="2"/>
      <c r="D713" s="2"/>
      <c r="E713" s="2"/>
      <c r="F713" s="2"/>
      <c r="G713" s="2"/>
      <c r="H713" s="2"/>
    </row>
    <row r="714" spans="1:9">
      <c r="A714" s="1" t="s">
        <v>695</v>
      </c>
      <c r="B714" s="2"/>
      <c r="C714" s="2"/>
      <c r="D714" s="2"/>
      <c r="E714" s="2"/>
      <c r="F714" s="2"/>
      <c r="G714" s="2"/>
      <c r="H714" s="2"/>
      <c r="I714" s="2"/>
    </row>
    <row r="715" spans="1:9">
      <c r="A715" s="2"/>
      <c r="B715" s="2"/>
      <c r="C715" s="2"/>
      <c r="D715" s="2"/>
      <c r="E715" s="2"/>
      <c r="F715" s="2"/>
      <c r="G715" s="2"/>
      <c r="H715" s="2"/>
      <c r="I715" s="2"/>
    </row>
    <row r="716" spans="1:9">
      <c r="A716" s="2"/>
      <c r="B716" s="918" t="s">
        <v>505</v>
      </c>
      <c r="C716" s="918"/>
      <c r="D716" s="918" t="s">
        <v>506</v>
      </c>
      <c r="E716" s="918"/>
      <c r="F716" s="918" t="s">
        <v>507</v>
      </c>
      <c r="G716" s="918"/>
      <c r="H716" s="918" t="s">
        <v>508</v>
      </c>
      <c r="I716" s="918"/>
    </row>
    <row r="717" spans="1:9">
      <c r="A717" s="204" t="s">
        <v>509</v>
      </c>
      <c r="B717" s="298">
        <v>150</v>
      </c>
      <c r="C717" s="170" t="s">
        <v>1558</v>
      </c>
      <c r="D717" s="298">
        <v>138</v>
      </c>
      <c r="E717" s="170" t="s">
        <v>1573</v>
      </c>
      <c r="F717" s="298">
        <v>138</v>
      </c>
      <c r="G717" s="170" t="s">
        <v>1573</v>
      </c>
      <c r="H717" s="298">
        <v>138</v>
      </c>
      <c r="I717" s="170" t="s">
        <v>1573</v>
      </c>
    </row>
    <row r="718" spans="1:9">
      <c r="A718" s="204" t="s">
        <v>510</v>
      </c>
      <c r="B718" s="774" t="s">
        <v>1897</v>
      </c>
      <c r="C718" s="277">
        <v>1500</v>
      </c>
      <c r="D718" s="774">
        <v>10</v>
      </c>
      <c r="E718" s="277">
        <v>1380</v>
      </c>
      <c r="F718" s="774">
        <v>10.869565217391305</v>
      </c>
      <c r="G718" s="277">
        <v>1500</v>
      </c>
      <c r="H718" s="297"/>
      <c r="I718" s="277">
        <v>2000</v>
      </c>
    </row>
    <row r="719" spans="1:9">
      <c r="A719" s="204" t="s">
        <v>511</v>
      </c>
      <c r="B719" s="774">
        <v>5</v>
      </c>
      <c r="C719" s="277">
        <v>750</v>
      </c>
      <c r="D719" s="774">
        <v>5</v>
      </c>
      <c r="E719" s="277">
        <v>690</v>
      </c>
      <c r="F719" s="774">
        <v>5</v>
      </c>
      <c r="G719" s="277">
        <v>690</v>
      </c>
      <c r="H719" s="297"/>
      <c r="I719" s="277" t="s">
        <v>1898</v>
      </c>
    </row>
    <row r="720" spans="1:9">
      <c r="A720" s="204" t="s">
        <v>512</v>
      </c>
      <c r="B720" s="774">
        <v>15</v>
      </c>
      <c r="C720" s="277">
        <v>2250</v>
      </c>
      <c r="D720" s="774">
        <v>15</v>
      </c>
      <c r="E720" s="277">
        <v>2070</v>
      </c>
      <c r="F720" s="774">
        <v>15.869565217391305</v>
      </c>
      <c r="G720" s="277">
        <v>2190</v>
      </c>
      <c r="H720" s="297"/>
      <c r="I720" s="277">
        <v>2550</v>
      </c>
    </row>
    <row r="721" spans="1:9">
      <c r="A721" s="2"/>
      <c r="B721" s="2"/>
      <c r="C721" s="2"/>
      <c r="D721" s="2"/>
      <c r="E721" s="85" t="s">
        <v>568</v>
      </c>
      <c r="F721" s="355">
        <v>-120</v>
      </c>
      <c r="G721" s="85" t="s">
        <v>569</v>
      </c>
      <c r="H721" s="355">
        <v>-360</v>
      </c>
      <c r="I721" s="2"/>
    </row>
    <row r="722" spans="1:9" s="745" customFormat="1">
      <c r="A722" s="149" t="s">
        <v>839</v>
      </c>
      <c r="B722" s="2"/>
      <c r="C722" s="2"/>
      <c r="D722" s="2"/>
      <c r="E722" s="1011" t="s">
        <v>738</v>
      </c>
      <c r="F722" s="1011"/>
      <c r="G722" s="1011"/>
      <c r="H722" s="359">
        <v>-480</v>
      </c>
      <c r="I722" s="2"/>
    </row>
    <row r="723" spans="1:9">
      <c r="A723" s="2" t="s">
        <v>1895</v>
      </c>
      <c r="B723" s="2"/>
      <c r="C723" s="2"/>
      <c r="D723" s="2"/>
      <c r="E723" s="2"/>
      <c r="F723" s="2"/>
      <c r="G723" s="2"/>
      <c r="H723" s="2"/>
      <c r="I723" s="2"/>
    </row>
    <row r="724" spans="1:9">
      <c r="A724" s="2" t="s">
        <v>1894</v>
      </c>
      <c r="B724" s="2"/>
      <c r="C724" s="2"/>
      <c r="D724" s="2"/>
      <c r="E724" s="2"/>
      <c r="F724" s="773"/>
      <c r="G724" s="2"/>
      <c r="H724" s="2"/>
      <c r="I724" s="2"/>
    </row>
    <row r="725" spans="1:9">
      <c r="A725" s="2" t="s">
        <v>1896</v>
      </c>
      <c r="B725" s="2"/>
      <c r="C725" s="2"/>
      <c r="D725" s="2"/>
      <c r="E725" s="2"/>
      <c r="F725" s="2"/>
      <c r="G725" s="2"/>
      <c r="H725" s="2"/>
      <c r="I725" s="2"/>
    </row>
    <row r="726" spans="1:9">
      <c r="A726" s="2" t="s">
        <v>1899</v>
      </c>
      <c r="B726" s="2"/>
      <c r="C726" s="2"/>
      <c r="D726" s="2"/>
      <c r="E726" s="2"/>
      <c r="F726" s="2"/>
      <c r="G726" s="2"/>
      <c r="H726" s="2"/>
      <c r="I726" s="2"/>
    </row>
    <row r="727" spans="1:9">
      <c r="A727" s="2"/>
      <c r="B727" s="2"/>
      <c r="C727" s="2"/>
      <c r="D727" s="2"/>
      <c r="E727" s="2"/>
      <c r="F727" s="2"/>
      <c r="G727" s="2"/>
      <c r="H727" s="2"/>
      <c r="I727" s="2"/>
    </row>
    <row r="728" spans="1:9">
      <c r="A728" s="2"/>
      <c r="B728" s="2"/>
      <c r="C728" s="2"/>
      <c r="D728" s="2"/>
      <c r="E728" s="2"/>
      <c r="F728" s="2"/>
      <c r="G728" s="2"/>
      <c r="H728" s="2"/>
      <c r="I728" s="2"/>
    </row>
    <row r="729" spans="1:9">
      <c r="A729" s="1" t="s">
        <v>1884</v>
      </c>
      <c r="B729" s="2"/>
      <c r="C729" s="2"/>
      <c r="D729" s="2"/>
      <c r="E729" s="2"/>
      <c r="F729" s="2"/>
      <c r="G729" s="2"/>
      <c r="H729" s="2"/>
      <c r="I729" s="2"/>
    </row>
    <row r="730" spans="1:9">
      <c r="A730" s="972" t="s">
        <v>1902</v>
      </c>
      <c r="B730" s="927"/>
      <c r="C730" s="973"/>
      <c r="D730" s="2"/>
      <c r="E730" s="972" t="s">
        <v>1903</v>
      </c>
      <c r="F730" s="927"/>
      <c r="G730" s="973"/>
      <c r="H730" s="2"/>
      <c r="I730" s="2"/>
    </row>
    <row r="731" spans="1:9">
      <c r="A731" s="769" t="s">
        <v>700</v>
      </c>
      <c r="B731" s="14"/>
      <c r="C731" s="717"/>
      <c r="D731" s="2"/>
      <c r="E731" s="769" t="s">
        <v>700</v>
      </c>
      <c r="F731" s="14"/>
      <c r="G731" s="717"/>
      <c r="H731" s="2"/>
      <c r="I731" s="2"/>
    </row>
    <row r="732" spans="1:9">
      <c r="A732" s="122" t="s">
        <v>1887</v>
      </c>
      <c r="B732" s="14"/>
      <c r="C732" s="717"/>
      <c r="D732" s="2"/>
      <c r="E732" s="122" t="s">
        <v>1887</v>
      </c>
      <c r="F732" s="14"/>
      <c r="G732" s="717"/>
      <c r="H732" s="2"/>
      <c r="I732" s="2"/>
    </row>
    <row r="733" spans="1:9">
      <c r="A733" s="122" t="s">
        <v>1904</v>
      </c>
      <c r="B733" s="14"/>
      <c r="C733" s="718">
        <f>1*8</f>
        <v>8</v>
      </c>
      <c r="D733" s="2"/>
      <c r="E733" s="122" t="s">
        <v>1905</v>
      </c>
      <c r="F733" s="14"/>
      <c r="G733" s="718">
        <f>2*8</f>
        <v>16</v>
      </c>
      <c r="H733" s="2"/>
      <c r="I733" s="2"/>
    </row>
    <row r="734" spans="1:9">
      <c r="A734" s="769" t="s">
        <v>1128</v>
      </c>
      <c r="B734" s="14"/>
      <c r="C734" s="717"/>
      <c r="D734" s="2"/>
      <c r="E734" s="769" t="s">
        <v>1128</v>
      </c>
      <c r="F734" s="14"/>
      <c r="G734" s="717"/>
      <c r="H734" s="2"/>
      <c r="I734" s="2"/>
    </row>
    <row r="735" spans="1:9">
      <c r="A735" s="122" t="s">
        <v>1888</v>
      </c>
      <c r="B735" s="14"/>
      <c r="C735" s="717"/>
      <c r="D735" s="2"/>
      <c r="E735" s="122" t="s">
        <v>1888</v>
      </c>
      <c r="F735" s="14"/>
      <c r="G735" s="717"/>
      <c r="H735" s="2"/>
      <c r="I735" s="2"/>
    </row>
    <row r="736" spans="1:9">
      <c r="A736" s="122" t="s">
        <v>1906</v>
      </c>
      <c r="B736" s="14"/>
      <c r="C736" s="718">
        <f>1.5*9</f>
        <v>13.5</v>
      </c>
      <c r="D736" s="2"/>
      <c r="E736" s="122" t="s">
        <v>1906</v>
      </c>
      <c r="F736" s="14"/>
      <c r="G736" s="718">
        <f>1.5*9</f>
        <v>13.5</v>
      </c>
      <c r="H736" s="2"/>
      <c r="I736" s="2"/>
    </row>
    <row r="737" spans="1:9">
      <c r="A737" s="769" t="s">
        <v>1676</v>
      </c>
      <c r="B737" s="14"/>
      <c r="C737" s="717"/>
      <c r="D737" s="2"/>
      <c r="E737" s="769" t="s">
        <v>1676</v>
      </c>
      <c r="F737" s="14"/>
      <c r="G737" s="717"/>
      <c r="H737" s="2"/>
      <c r="I737" s="2"/>
    </row>
    <row r="738" spans="1:9">
      <c r="A738" s="122" t="s">
        <v>1889</v>
      </c>
      <c r="B738" s="14"/>
      <c r="C738" s="717"/>
      <c r="D738" s="2"/>
      <c r="E738" s="122" t="s">
        <v>1889</v>
      </c>
      <c r="F738" s="14"/>
      <c r="G738" s="717"/>
      <c r="H738" s="2"/>
      <c r="I738" s="2"/>
    </row>
    <row r="739" spans="1:9">
      <c r="A739" s="83" t="s">
        <v>1907</v>
      </c>
      <c r="B739" s="46"/>
      <c r="C739" s="718">
        <f>0.5*15</f>
        <v>7.5</v>
      </c>
      <c r="D739" s="2"/>
      <c r="E739" s="83" t="s">
        <v>1908</v>
      </c>
      <c r="F739" s="46"/>
      <c r="G739" s="718">
        <f>0.2*15</f>
        <v>3</v>
      </c>
      <c r="H739" s="2"/>
      <c r="I739" s="2"/>
    </row>
    <row r="740" spans="1:9">
      <c r="A740" s="204" t="s">
        <v>1901</v>
      </c>
      <c r="B740" s="85"/>
      <c r="C740" s="436">
        <f>C733+C736+C739</f>
        <v>29</v>
      </c>
      <c r="D740" s="2"/>
      <c r="E740" s="204" t="s">
        <v>1900</v>
      </c>
      <c r="F740" s="85"/>
      <c r="G740" s="436">
        <f>G733+G736+G739</f>
        <v>32.5</v>
      </c>
      <c r="H740" s="2"/>
      <c r="I740" s="2"/>
    </row>
    <row r="741" spans="1:9">
      <c r="A741" s="2"/>
      <c r="B741" s="2"/>
      <c r="C741" s="2"/>
      <c r="D741" s="2"/>
      <c r="E741" s="2"/>
      <c r="F741" s="2"/>
      <c r="G741" s="2"/>
      <c r="H741" s="2"/>
      <c r="I741" s="2"/>
    </row>
    <row r="742" spans="1:9">
      <c r="A742" s="1" t="s">
        <v>1890</v>
      </c>
      <c r="B742" s="2"/>
      <c r="C742" s="2"/>
      <c r="D742" s="2"/>
      <c r="E742" s="2"/>
      <c r="F742" s="2"/>
      <c r="G742" s="2"/>
      <c r="H742" s="2"/>
      <c r="I742" s="2"/>
    </row>
    <row r="743" spans="1:9">
      <c r="A743" s="2" t="s">
        <v>617</v>
      </c>
      <c r="B743" s="2"/>
      <c r="C743" s="43">
        <v>12000</v>
      </c>
      <c r="D743" s="2" t="s">
        <v>1866</v>
      </c>
      <c r="E743" s="2"/>
      <c r="F743" s="2"/>
      <c r="G743" s="2"/>
      <c r="H743" s="2"/>
      <c r="I743" s="2"/>
    </row>
    <row r="744" spans="1:9">
      <c r="A744" s="2" t="s">
        <v>1891</v>
      </c>
      <c r="B744" s="2"/>
      <c r="C744" s="68">
        <f>-I656</f>
        <v>-8150</v>
      </c>
      <c r="D744" s="2" t="s">
        <v>1911</v>
      </c>
      <c r="E744" s="2"/>
      <c r="F744" s="2"/>
      <c r="G744" s="2"/>
      <c r="H744" s="2"/>
      <c r="I744" s="2"/>
    </row>
    <row r="745" spans="1:9">
      <c r="A745" s="57" t="s">
        <v>621</v>
      </c>
      <c r="B745" s="57"/>
      <c r="C745" s="770">
        <f>C743+C744</f>
        <v>3850</v>
      </c>
      <c r="D745" s="2"/>
      <c r="E745" s="2"/>
      <c r="F745" s="2"/>
      <c r="G745" s="2"/>
      <c r="H745" s="2"/>
      <c r="I745" s="2"/>
    </row>
    <row r="746" spans="1:9">
      <c r="A746" s="2" t="s">
        <v>1683</v>
      </c>
      <c r="B746" s="2"/>
      <c r="C746" s="68">
        <f>-0.015*C743</f>
        <v>-180</v>
      </c>
      <c r="D746" s="2" t="s">
        <v>1912</v>
      </c>
      <c r="E746" s="2"/>
      <c r="F746" s="2"/>
      <c r="G746" s="2"/>
      <c r="H746" s="2"/>
      <c r="I746" s="2"/>
    </row>
    <row r="747" spans="1:9">
      <c r="A747" s="2" t="s">
        <v>1684</v>
      </c>
      <c r="B747" s="2"/>
      <c r="C747" s="530">
        <v>-465</v>
      </c>
      <c r="D747" s="2" t="s">
        <v>1866</v>
      </c>
      <c r="E747" s="2"/>
      <c r="F747" s="2"/>
      <c r="G747" s="2"/>
      <c r="H747" s="2"/>
      <c r="I747" s="2"/>
    </row>
    <row r="748" spans="1:9">
      <c r="A748" s="2" t="s">
        <v>1892</v>
      </c>
      <c r="B748" s="2"/>
      <c r="C748" s="530">
        <f>H722</f>
        <v>-480</v>
      </c>
      <c r="D748" s="2" t="s">
        <v>1913</v>
      </c>
      <c r="E748" s="2"/>
      <c r="F748" s="2"/>
      <c r="G748" s="2"/>
      <c r="H748" s="2"/>
      <c r="I748" s="2"/>
    </row>
    <row r="749" spans="1:9" ht="15.75" thickBot="1">
      <c r="A749" s="2" t="s">
        <v>1893</v>
      </c>
      <c r="B749" s="2"/>
      <c r="C749" s="530">
        <f>(C697+C699)*B709</f>
        <v>-225</v>
      </c>
      <c r="D749" s="2" t="s">
        <v>1914</v>
      </c>
      <c r="E749" s="2"/>
      <c r="F749" s="2"/>
      <c r="G749" s="2"/>
      <c r="H749" s="2"/>
      <c r="I749" s="2"/>
    </row>
    <row r="750" spans="1:9" ht="15.75" thickBot="1">
      <c r="A750" s="15" t="s">
        <v>628</v>
      </c>
      <c r="B750" s="51"/>
      <c r="C750" s="771">
        <f>C745+C746+C747+C748+C749</f>
        <v>2500</v>
      </c>
      <c r="D750" s="2"/>
      <c r="E750" s="2"/>
      <c r="F750" s="2"/>
      <c r="G750" s="2"/>
      <c r="H750" s="2"/>
      <c r="I750" s="2"/>
    </row>
    <row r="752" spans="1:9">
      <c r="A752" s="1" t="s">
        <v>2266</v>
      </c>
    </row>
    <row r="754" spans="1:10">
      <c r="A754" s="4" t="s">
        <v>1975</v>
      </c>
      <c r="B754" s="2"/>
      <c r="C754" s="2"/>
      <c r="D754" s="2"/>
      <c r="E754" s="2"/>
      <c r="F754" s="4" t="s">
        <v>1976</v>
      </c>
      <c r="G754" s="2"/>
      <c r="H754" s="2"/>
      <c r="I754" s="2"/>
      <c r="J754" s="2"/>
    </row>
    <row r="755" spans="1:10">
      <c r="A755" s="2"/>
      <c r="B755" s="2" t="s">
        <v>1977</v>
      </c>
      <c r="C755" s="2"/>
      <c r="D755" s="2">
        <v>5000</v>
      </c>
      <c r="E755" s="2" t="s">
        <v>432</v>
      </c>
      <c r="F755" s="2"/>
      <c r="G755" s="2" t="s">
        <v>1977</v>
      </c>
      <c r="H755" s="2"/>
      <c r="I755" s="2">
        <v>2000</v>
      </c>
      <c r="J755" s="2" t="s">
        <v>433</v>
      </c>
    </row>
    <row r="756" spans="1:10">
      <c r="A756" s="282" t="s">
        <v>1978</v>
      </c>
      <c r="B756" s="204" t="s">
        <v>1979</v>
      </c>
      <c r="C756" s="204" t="s">
        <v>1980</v>
      </c>
      <c r="D756" s="204" t="s">
        <v>90</v>
      </c>
      <c r="E756" s="14"/>
      <c r="F756" s="282" t="s">
        <v>1981</v>
      </c>
      <c r="G756" s="282" t="s">
        <v>1979</v>
      </c>
      <c r="H756" s="282" t="s">
        <v>1980</v>
      </c>
      <c r="I756" s="282" t="s">
        <v>90</v>
      </c>
      <c r="J756" s="2"/>
    </row>
    <row r="757" spans="1:10">
      <c r="A757" s="749" t="s">
        <v>50</v>
      </c>
      <c r="B757" s="738">
        <v>3000</v>
      </c>
      <c r="C757" s="775">
        <f>D757/B757</f>
        <v>160</v>
      </c>
      <c r="D757" s="775">
        <v>480000</v>
      </c>
      <c r="E757" s="418"/>
      <c r="F757" s="749" t="s">
        <v>50</v>
      </c>
      <c r="G757" s="738">
        <v>1000</v>
      </c>
      <c r="H757" s="775">
        <f>I757/G757</f>
        <v>120</v>
      </c>
      <c r="I757" s="775">
        <v>120000</v>
      </c>
      <c r="J757" s="2"/>
    </row>
    <row r="758" spans="1:10">
      <c r="A758" s="749" t="s">
        <v>1829</v>
      </c>
      <c r="B758" s="738">
        <f>D755-B757</f>
        <v>2000</v>
      </c>
      <c r="C758" s="775">
        <f>B841</f>
        <v>190</v>
      </c>
      <c r="D758" s="775">
        <f>B758*C758</f>
        <v>380000</v>
      </c>
      <c r="E758" s="418"/>
      <c r="F758" s="749" t="s">
        <v>1829</v>
      </c>
      <c r="G758" s="788">
        <f>B801</f>
        <v>500</v>
      </c>
      <c r="H758" s="775">
        <f>G841</f>
        <v>150.5</v>
      </c>
      <c r="I758" s="775">
        <f>G758*H758</f>
        <v>75250</v>
      </c>
      <c r="J758" s="2"/>
    </row>
    <row r="759" spans="1:10">
      <c r="A759" s="1016" t="s">
        <v>1830</v>
      </c>
      <c r="B759" s="1018">
        <v>0</v>
      </c>
      <c r="C759" s="1020">
        <v>0</v>
      </c>
      <c r="D759" s="1020">
        <v>0</v>
      </c>
      <c r="E759" s="418"/>
      <c r="F759" s="1016" t="s">
        <v>1830</v>
      </c>
      <c r="G759" s="1022">
        <f>G757+G758</f>
        <v>1500</v>
      </c>
      <c r="H759" s="775" t="s">
        <v>1982</v>
      </c>
      <c r="I759" s="1020">
        <f>I757+I758</f>
        <v>195250</v>
      </c>
      <c r="J759" s="2"/>
    </row>
    <row r="760" spans="1:10">
      <c r="A760" s="1017"/>
      <c r="B760" s="1019"/>
      <c r="C760" s="1021"/>
      <c r="D760" s="1021"/>
      <c r="E760" s="418"/>
      <c r="F760" s="1017"/>
      <c r="G760" s="1023"/>
      <c r="H760" s="738" t="s">
        <v>1983</v>
      </c>
      <c r="I760" s="1021"/>
      <c r="J760" s="2"/>
    </row>
    <row r="761" spans="1:10">
      <c r="A761" s="749" t="s">
        <v>1831</v>
      </c>
      <c r="B761" s="738">
        <f>B757+B758</f>
        <v>5000</v>
      </c>
      <c r="C761" s="789">
        <f>D761/B761</f>
        <v>172</v>
      </c>
      <c r="D761" s="775">
        <f>D757+D758</f>
        <v>860000</v>
      </c>
      <c r="E761" s="418"/>
      <c r="F761" s="749" t="s">
        <v>1831</v>
      </c>
      <c r="G761" s="738">
        <v>0</v>
      </c>
      <c r="H761" s="417">
        <v>0</v>
      </c>
      <c r="I761" s="775">
        <v>0</v>
      </c>
      <c r="J761" s="2"/>
    </row>
    <row r="762" spans="1:10">
      <c r="A762" s="790" t="s">
        <v>1984</v>
      </c>
      <c r="B762" s="790"/>
      <c r="C762" s="790">
        <v>2200</v>
      </c>
      <c r="D762" s="14" t="s">
        <v>1985</v>
      </c>
      <c r="E762" s="14"/>
      <c r="F762" s="790" t="s">
        <v>1986</v>
      </c>
      <c r="G762" s="790"/>
      <c r="H762" s="790">
        <v>600</v>
      </c>
      <c r="I762" s="14" t="s">
        <v>1985</v>
      </c>
      <c r="J762" s="2"/>
    </row>
    <row r="763" spans="1:10">
      <c r="A763" s="670"/>
      <c r="B763" s="670"/>
      <c r="C763" s="670"/>
      <c r="D763" s="14"/>
      <c r="E763" s="14"/>
      <c r="F763" s="670"/>
      <c r="G763" s="670"/>
      <c r="H763" s="670"/>
      <c r="I763" s="14"/>
      <c r="J763" s="2"/>
    </row>
    <row r="764" spans="1:10">
      <c r="A764" s="791" t="s">
        <v>1987</v>
      </c>
      <c r="B764" s="670"/>
      <c r="C764" s="670"/>
      <c r="D764" s="14"/>
      <c r="E764" s="14"/>
      <c r="F764" s="670"/>
      <c r="G764" s="670"/>
      <c r="H764" s="670"/>
      <c r="I764" s="14"/>
      <c r="J764" s="2"/>
    </row>
    <row r="765" spans="1:10">
      <c r="A765" s="2"/>
      <c r="B765" s="2"/>
      <c r="C765" s="2"/>
      <c r="D765" s="742" t="s">
        <v>598</v>
      </c>
      <c r="E765" s="2"/>
      <c r="F765" s="2"/>
      <c r="G765" s="2"/>
      <c r="H765" s="2"/>
      <c r="I765" s="2"/>
      <c r="J765" s="2"/>
    </row>
    <row r="766" spans="1:10">
      <c r="A766" s="204" t="s">
        <v>1987</v>
      </c>
      <c r="B766" s="204" t="s">
        <v>1979</v>
      </c>
      <c r="C766" s="204" t="s">
        <v>1988</v>
      </c>
      <c r="D766" s="204" t="s">
        <v>90</v>
      </c>
      <c r="E766" s="2"/>
      <c r="F766" s="2"/>
      <c r="G766" s="2"/>
      <c r="H766" s="2"/>
      <c r="I766" s="2"/>
      <c r="J766" s="2"/>
    </row>
    <row r="767" spans="1:10">
      <c r="A767" s="749" t="s">
        <v>50</v>
      </c>
      <c r="B767" s="748">
        <f>B771-B769-B768</f>
        <v>665</v>
      </c>
      <c r="C767" s="738">
        <f>D767/B767</f>
        <v>37</v>
      </c>
      <c r="D767" s="792">
        <v>24605</v>
      </c>
      <c r="E767" s="2"/>
      <c r="F767" s="2"/>
      <c r="G767" s="2"/>
      <c r="H767" s="2"/>
      <c r="I767" s="2"/>
      <c r="J767" s="2"/>
    </row>
    <row r="768" spans="1:10">
      <c r="A768" s="749" t="s">
        <v>1835</v>
      </c>
      <c r="B768" s="748">
        <f>B782*C784</f>
        <v>10600</v>
      </c>
      <c r="C768" s="738">
        <v>40</v>
      </c>
      <c r="D768" s="793">
        <f>B768*C768</f>
        <v>424000</v>
      </c>
      <c r="E768" s="2"/>
      <c r="F768" s="2"/>
      <c r="G768" s="2"/>
      <c r="H768" s="2"/>
      <c r="I768" s="2"/>
      <c r="J768" s="2"/>
    </row>
    <row r="769" spans="1:10">
      <c r="A769" s="1016" t="s">
        <v>1830</v>
      </c>
      <c r="B769" s="999">
        <f>-G775</f>
        <v>-1765</v>
      </c>
      <c r="C769" s="738" t="s">
        <v>1989</v>
      </c>
      <c r="D769" s="1026">
        <f>-(D767+(B768-B771)*C768)</f>
        <v>-68605</v>
      </c>
      <c r="E769" s="2"/>
      <c r="F769" s="2"/>
      <c r="G769" s="2"/>
      <c r="H769" s="2"/>
      <c r="I769" s="2"/>
      <c r="J769" s="2"/>
    </row>
    <row r="770" spans="1:10">
      <c r="A770" s="1017"/>
      <c r="B770" s="1000"/>
      <c r="C770" s="738" t="s">
        <v>1990</v>
      </c>
      <c r="D770" s="1027"/>
      <c r="E770" s="2"/>
      <c r="F770" s="2"/>
      <c r="G770" s="2"/>
      <c r="H770" s="2"/>
      <c r="I770" s="2"/>
      <c r="J770" s="2"/>
    </row>
    <row r="771" spans="1:10">
      <c r="A771" s="749" t="s">
        <v>53</v>
      </c>
      <c r="B771" s="748">
        <f>B758*B779+B801*B780</f>
        <v>9500</v>
      </c>
      <c r="C771" s="738">
        <f>C768</f>
        <v>40</v>
      </c>
      <c r="D771" s="793">
        <f>B771*C771</f>
        <v>380000</v>
      </c>
      <c r="E771" s="2"/>
      <c r="F771" s="2"/>
      <c r="G771" s="2"/>
      <c r="H771" s="2"/>
      <c r="I771" s="2"/>
      <c r="J771" s="2"/>
    </row>
    <row r="772" spans="1:10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>
      <c r="A773" s="149" t="s">
        <v>1991</v>
      </c>
      <c r="B773" s="2"/>
      <c r="C773" s="2"/>
      <c r="D773" s="2"/>
      <c r="E773" s="2"/>
      <c r="F773" s="149" t="s">
        <v>1992</v>
      </c>
      <c r="G773" s="2"/>
      <c r="H773" s="2"/>
      <c r="I773" s="2"/>
      <c r="J773" s="2"/>
    </row>
    <row r="774" spans="1:10">
      <c r="A774" s="2" t="s">
        <v>1</v>
      </c>
      <c r="B774" s="2"/>
      <c r="C774" s="2"/>
      <c r="D774" s="2"/>
      <c r="E774" s="2"/>
      <c r="F774" s="2" t="s">
        <v>1993</v>
      </c>
      <c r="G774" s="2" t="s">
        <v>1994</v>
      </c>
      <c r="H774" s="2"/>
      <c r="I774" s="2"/>
      <c r="J774" s="2"/>
    </row>
    <row r="775" spans="1:10">
      <c r="A775" s="2" t="s">
        <v>1995</v>
      </c>
      <c r="B775" s="49">
        <v>530</v>
      </c>
      <c r="C775" s="2"/>
      <c r="D775" s="2"/>
      <c r="E775" s="2"/>
      <c r="F775" s="85" t="s">
        <v>1993</v>
      </c>
      <c r="G775" s="794">
        <f>G777*G778</f>
        <v>1765</v>
      </c>
      <c r="H775" s="100" t="s">
        <v>1996</v>
      </c>
      <c r="I775" s="2"/>
      <c r="J775" s="2"/>
    </row>
    <row r="776" spans="1:10">
      <c r="A776" s="2" t="s">
        <v>2</v>
      </c>
      <c r="B776" s="795">
        <v>0.12</v>
      </c>
      <c r="C776" s="2"/>
      <c r="D776" s="2"/>
      <c r="E776" s="2"/>
      <c r="F776" s="2"/>
      <c r="G776" s="2"/>
      <c r="H776" s="2"/>
      <c r="I776" s="2"/>
      <c r="J776" s="2"/>
    </row>
    <row r="777" spans="1:10">
      <c r="A777" s="2" t="s">
        <v>1997</v>
      </c>
      <c r="B777" s="49">
        <v>40</v>
      </c>
      <c r="C777" s="2"/>
      <c r="D777" s="2"/>
      <c r="E777" s="2"/>
      <c r="F777" s="740" t="s">
        <v>1998</v>
      </c>
      <c r="G777" s="786">
        <v>353</v>
      </c>
      <c r="H777" s="2" t="s">
        <v>1999</v>
      </c>
      <c r="I777" s="2"/>
      <c r="J777" s="2"/>
    </row>
    <row r="778" spans="1:10">
      <c r="A778" s="2" t="s">
        <v>2000</v>
      </c>
      <c r="B778" s="17">
        <f>C762*12*B779+H762*12*B780</f>
        <v>127200</v>
      </c>
      <c r="C778" s="2" t="s">
        <v>1839</v>
      </c>
      <c r="D778" s="2"/>
      <c r="E778" s="2"/>
      <c r="F778" s="740" t="s">
        <v>2001</v>
      </c>
      <c r="G778" s="740">
        <v>5</v>
      </c>
      <c r="H778" s="2" t="s">
        <v>13</v>
      </c>
      <c r="I778" s="2" t="s">
        <v>1866</v>
      </c>
      <c r="J778" s="2"/>
    </row>
    <row r="779" spans="1:10">
      <c r="A779" s="2" t="s">
        <v>2002</v>
      </c>
      <c r="B779" s="361">
        <f>2/0.5</f>
        <v>4</v>
      </c>
      <c r="C779" s="2" t="s">
        <v>2003</v>
      </c>
      <c r="D779" s="2"/>
      <c r="E779" s="2"/>
      <c r="F779" s="2"/>
      <c r="G779" s="2"/>
      <c r="H779" s="2"/>
      <c r="I779" s="2"/>
      <c r="J779" s="2"/>
    </row>
    <row r="780" spans="1:10">
      <c r="A780" s="2" t="s">
        <v>2004</v>
      </c>
      <c r="B780" s="361">
        <v>3</v>
      </c>
      <c r="C780" s="2" t="s">
        <v>2003</v>
      </c>
      <c r="D780" s="2"/>
      <c r="E780" s="796"/>
      <c r="F780" s="2"/>
      <c r="G780" s="2"/>
      <c r="H780" s="2"/>
      <c r="I780" s="2"/>
      <c r="J780" s="2"/>
    </row>
    <row r="781" spans="1:10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>
      <c r="A782" s="85" t="s">
        <v>2005</v>
      </c>
      <c r="B782" s="794">
        <f>POWER((2*B778*B775)/(B776*B777),0.5)</f>
        <v>5300</v>
      </c>
      <c r="C782" s="100" t="s">
        <v>2006</v>
      </c>
      <c r="D782" s="2"/>
      <c r="E782" s="797"/>
      <c r="F782" s="2"/>
      <c r="G782" s="2"/>
      <c r="H782" s="2"/>
      <c r="I782" s="2"/>
      <c r="J782" s="2"/>
    </row>
    <row r="783" spans="1:10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>
      <c r="A784" s="972" t="s">
        <v>2007</v>
      </c>
      <c r="B784" s="927"/>
      <c r="C784" s="766">
        <f>(B778/B782)/12</f>
        <v>2</v>
      </c>
      <c r="D784" s="100" t="s">
        <v>1849</v>
      </c>
      <c r="E784" s="2"/>
      <c r="F784" s="2"/>
      <c r="G784" s="2"/>
      <c r="H784" s="2"/>
      <c r="I784" s="2"/>
      <c r="J784" s="2"/>
    </row>
    <row r="785" spans="1:10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>
      <c r="A786" s="1" t="s">
        <v>2008</v>
      </c>
      <c r="B786" s="2"/>
      <c r="C786" s="2"/>
      <c r="D786" s="2"/>
      <c r="E786" s="2"/>
      <c r="F786" s="2"/>
      <c r="G786" s="2"/>
      <c r="H786" s="2"/>
      <c r="I786" s="2"/>
      <c r="J786" s="2"/>
    </row>
    <row r="787" spans="1:10">
      <c r="A787" s="2" t="s">
        <v>2009</v>
      </c>
      <c r="B787" s="361">
        <v>1</v>
      </c>
      <c r="C787" s="2" t="s">
        <v>108</v>
      </c>
      <c r="D787" s="2"/>
      <c r="E787" s="2"/>
      <c r="F787" s="2"/>
      <c r="G787" s="2"/>
      <c r="H787" s="2"/>
      <c r="I787" s="2"/>
      <c r="J787" s="2"/>
    </row>
    <row r="788" spans="1:10">
      <c r="A788" s="2" t="s">
        <v>2010</v>
      </c>
      <c r="B788" s="361">
        <v>1.5</v>
      </c>
      <c r="C788" s="2" t="s">
        <v>108</v>
      </c>
      <c r="D788" s="2"/>
      <c r="E788" s="2"/>
      <c r="F788" s="2"/>
      <c r="G788" s="2"/>
      <c r="H788" s="2"/>
      <c r="I788" s="2"/>
      <c r="J788" s="2"/>
    </row>
    <row r="789" spans="1:10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>
      <c r="A790" s="2" t="s">
        <v>134</v>
      </c>
      <c r="B790" s="2"/>
      <c r="C790" s="2">
        <f>C762*B787+H762*B788</f>
        <v>3100</v>
      </c>
      <c r="D790" s="2" t="s">
        <v>108</v>
      </c>
      <c r="E790" s="2"/>
      <c r="F790" s="2"/>
      <c r="G790" s="2"/>
      <c r="H790" s="2"/>
      <c r="I790" s="2"/>
      <c r="J790" s="2"/>
    </row>
    <row r="791" spans="1:10">
      <c r="A791" s="2" t="s">
        <v>2011</v>
      </c>
      <c r="B791" s="2"/>
      <c r="C791" s="2">
        <v>-210</v>
      </c>
      <c r="D791" s="2" t="s">
        <v>108</v>
      </c>
      <c r="E791" s="2"/>
      <c r="F791" s="2"/>
      <c r="G791" s="2"/>
      <c r="H791" s="2"/>
      <c r="I791" s="2"/>
      <c r="J791" s="2"/>
    </row>
    <row r="792" spans="1:10">
      <c r="A792" s="2" t="s">
        <v>2012</v>
      </c>
      <c r="B792" s="2"/>
      <c r="C792" s="46">
        <v>-40</v>
      </c>
      <c r="D792" s="2" t="s">
        <v>108</v>
      </c>
      <c r="E792" s="2"/>
      <c r="F792" s="2"/>
      <c r="G792" s="2"/>
      <c r="H792" s="2"/>
      <c r="I792" s="2"/>
      <c r="J792" s="2"/>
    </row>
    <row r="793" spans="1:10">
      <c r="A793" s="57" t="s">
        <v>2013</v>
      </c>
      <c r="B793" s="57"/>
      <c r="C793" s="2">
        <f>C790+C791+C792</f>
        <v>2850</v>
      </c>
      <c r="D793" s="2" t="s">
        <v>108</v>
      </c>
      <c r="E793" s="2"/>
      <c r="F793" s="2"/>
      <c r="G793" s="2"/>
      <c r="H793" s="2"/>
      <c r="I793" s="2"/>
      <c r="J793" s="2"/>
    </row>
    <row r="794" spans="1:10">
      <c r="A794" s="2" t="s">
        <v>2014</v>
      </c>
      <c r="B794" s="2"/>
      <c r="C794" s="46">
        <v>-65</v>
      </c>
      <c r="D794" s="2" t="s">
        <v>108</v>
      </c>
      <c r="E794" s="2"/>
      <c r="F794" s="2"/>
      <c r="G794" s="2"/>
      <c r="H794" s="2"/>
      <c r="I794" s="2"/>
      <c r="J794" s="2"/>
    </row>
    <row r="795" spans="1:10">
      <c r="A795" s="57" t="s">
        <v>2015</v>
      </c>
      <c r="B795" s="57"/>
      <c r="C795" s="2">
        <f>C793+C794</f>
        <v>2785</v>
      </c>
      <c r="D795" s="2" t="s">
        <v>108</v>
      </c>
      <c r="E795" s="2"/>
      <c r="F795" s="2"/>
      <c r="G795" s="2"/>
      <c r="H795" s="2"/>
      <c r="I795" s="2"/>
      <c r="J795" s="2"/>
    </row>
    <row r="796" spans="1:10">
      <c r="A796" s="2" t="s">
        <v>2016</v>
      </c>
      <c r="B796" s="2"/>
      <c r="C796" s="46">
        <f>C797-C795</f>
        <v>-35</v>
      </c>
      <c r="D796" s="2" t="s">
        <v>108</v>
      </c>
      <c r="E796" s="2"/>
      <c r="F796" s="2"/>
      <c r="G796" s="2"/>
      <c r="H796" s="2"/>
      <c r="I796" s="2"/>
      <c r="J796" s="2"/>
    </row>
    <row r="797" spans="1:10">
      <c r="A797" s="126" t="s">
        <v>2017</v>
      </c>
      <c r="B797" s="126"/>
      <c r="C797" s="126">
        <v>2750</v>
      </c>
      <c r="D797" s="1" t="s">
        <v>108</v>
      </c>
      <c r="E797" s="2"/>
      <c r="F797" s="2"/>
      <c r="G797" s="2"/>
      <c r="H797" s="2"/>
      <c r="I797" s="2"/>
      <c r="J797" s="2"/>
    </row>
    <row r="798" spans="1:10">
      <c r="A798" s="14"/>
      <c r="B798" s="14"/>
      <c r="C798" s="14"/>
      <c r="D798" s="2"/>
      <c r="E798" s="2"/>
      <c r="F798" s="2"/>
      <c r="G798" s="2"/>
      <c r="H798" s="2"/>
      <c r="I798" s="2"/>
      <c r="J798" s="2"/>
    </row>
    <row r="799" spans="1:10">
      <c r="A799" s="2" t="s">
        <v>2018</v>
      </c>
      <c r="B799" s="2"/>
      <c r="C799" s="2"/>
      <c r="D799" s="2"/>
      <c r="E799" s="2"/>
      <c r="F799" s="2"/>
      <c r="G799" s="2"/>
      <c r="H799" s="2"/>
      <c r="I799" s="2"/>
      <c r="J799" s="2"/>
    </row>
    <row r="800" spans="1:10">
      <c r="A800" s="2" t="s">
        <v>2019</v>
      </c>
      <c r="B800" s="2"/>
      <c r="C800" s="2"/>
      <c r="D800" s="2"/>
      <c r="E800" s="2"/>
      <c r="F800" s="2"/>
      <c r="G800" s="2"/>
      <c r="H800" s="2"/>
      <c r="I800" s="2"/>
      <c r="J800" s="2"/>
    </row>
    <row r="801" spans="1:10">
      <c r="A801" s="101" t="s">
        <v>2020</v>
      </c>
      <c r="B801" s="798">
        <f>(C797-(B758*B787))/B788</f>
        <v>500</v>
      </c>
      <c r="C801" s="428" t="s">
        <v>361</v>
      </c>
      <c r="D801" s="14"/>
      <c r="E801" s="2"/>
      <c r="F801" s="2"/>
      <c r="G801" s="2"/>
      <c r="H801" s="2"/>
      <c r="I801" s="2"/>
      <c r="J801" s="2"/>
    </row>
    <row r="802" spans="1:10">
      <c r="A802" s="14"/>
      <c r="B802" s="14"/>
      <c r="C802" s="14"/>
      <c r="D802" s="2"/>
      <c r="E802" s="2"/>
      <c r="F802" s="2"/>
      <c r="G802" s="2"/>
      <c r="H802" s="2"/>
      <c r="I802" s="2"/>
      <c r="J802" s="2"/>
    </row>
    <row r="803" spans="1:10">
      <c r="A803" s="2" t="s">
        <v>2021</v>
      </c>
      <c r="B803" s="49">
        <v>10</v>
      </c>
      <c r="C803" s="2"/>
      <c r="D803" s="2"/>
      <c r="E803" s="2"/>
      <c r="F803" s="2"/>
      <c r="G803" s="2"/>
      <c r="H803" s="2"/>
      <c r="I803" s="2"/>
      <c r="J803" s="2"/>
    </row>
    <row r="804" spans="1:10">
      <c r="A804" s="2" t="s">
        <v>1000</v>
      </c>
      <c r="B804" s="2" t="s">
        <v>2022</v>
      </c>
      <c r="C804" s="2"/>
      <c r="D804" s="2"/>
      <c r="E804" s="2"/>
      <c r="F804" s="2"/>
      <c r="G804" s="2"/>
      <c r="H804" s="2"/>
      <c r="I804" s="2"/>
      <c r="J804" s="2"/>
    </row>
    <row r="805" spans="1:10">
      <c r="A805" s="85" t="s">
        <v>1000</v>
      </c>
      <c r="B805" s="147">
        <v>15.5</v>
      </c>
      <c r="C805" s="2"/>
      <c r="D805" s="2"/>
      <c r="E805" s="2"/>
      <c r="F805" s="2"/>
      <c r="G805" s="2"/>
      <c r="H805" s="2"/>
      <c r="I805" s="2"/>
      <c r="J805" s="2"/>
    </row>
    <row r="806" spans="1:10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>
      <c r="A807" s="204" t="s">
        <v>168</v>
      </c>
      <c r="B807" s="162">
        <v>0.23899999999999999</v>
      </c>
      <c r="C807" s="204" t="s">
        <v>2023</v>
      </c>
      <c r="D807" s="100"/>
      <c r="E807" s="162">
        <v>0.02</v>
      </c>
      <c r="F807" s="2"/>
      <c r="G807" s="2"/>
      <c r="H807" s="2"/>
      <c r="I807" s="2"/>
      <c r="J807" s="2"/>
    </row>
    <row r="808" spans="1:10">
      <c r="A808" s="204" t="s">
        <v>2024</v>
      </c>
      <c r="B808" s="162">
        <v>0.08</v>
      </c>
      <c r="C808" s="85" t="s">
        <v>182</v>
      </c>
      <c r="D808" s="100"/>
      <c r="E808" s="162">
        <v>8.3299999999999999E-2</v>
      </c>
      <c r="F808" s="2"/>
      <c r="G808" s="2"/>
      <c r="H808" s="2"/>
      <c r="I808" s="2"/>
      <c r="J808" s="2"/>
    </row>
    <row r="809" spans="1:10">
      <c r="A809" s="804" t="s">
        <v>2025</v>
      </c>
      <c r="B809" s="162">
        <v>0.04</v>
      </c>
      <c r="C809" s="1024" t="s">
        <v>2026</v>
      </c>
      <c r="D809" s="1024"/>
      <c r="E809" s="162">
        <v>0.02</v>
      </c>
      <c r="F809" s="2"/>
      <c r="G809" s="2"/>
      <c r="H809" s="2"/>
      <c r="I809" s="2"/>
      <c r="J809" s="2"/>
    </row>
    <row r="810" spans="1:10">
      <c r="A810" s="2"/>
      <c r="B810" s="57"/>
      <c r="C810" s="1025"/>
      <c r="D810" s="1025"/>
      <c r="E810" s="799"/>
      <c r="F810" s="2"/>
      <c r="G810" s="2"/>
      <c r="H810" s="2"/>
      <c r="I810" s="2"/>
      <c r="J810" s="2"/>
    </row>
    <row r="811" spans="1:10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>
      <c r="A812" s="2" t="s">
        <v>2027</v>
      </c>
      <c r="B812" s="2" t="s">
        <v>2028</v>
      </c>
      <c r="C812" s="2"/>
      <c r="D812" s="2"/>
      <c r="E812" s="2"/>
      <c r="F812" s="2"/>
      <c r="G812" s="2"/>
      <c r="H812" s="2"/>
      <c r="I812" s="2"/>
      <c r="J812" s="2"/>
    </row>
    <row r="813" spans="1:10">
      <c r="A813" s="85" t="s">
        <v>2027</v>
      </c>
      <c r="B813" s="800">
        <f>((1+B808+B809+E807)*(1+E808)*(1+B807)+(E809))-1</f>
        <v>0.55011791799999998</v>
      </c>
      <c r="C813" s="2"/>
      <c r="D813" s="2"/>
      <c r="E813" s="2"/>
      <c r="F813" s="2"/>
      <c r="G813" s="2"/>
      <c r="H813" s="2"/>
      <c r="I813" s="2"/>
      <c r="J813" s="2"/>
    </row>
    <row r="814" spans="1:10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>
      <c r="A815" s="2" t="s">
        <v>1878</v>
      </c>
      <c r="B815" s="2" t="s">
        <v>594</v>
      </c>
      <c r="C815" s="2"/>
      <c r="D815" s="2"/>
      <c r="E815" s="2"/>
      <c r="F815" s="2"/>
      <c r="G815" s="2"/>
      <c r="H815" s="2"/>
      <c r="I815" s="2"/>
      <c r="J815" s="2"/>
    </row>
    <row r="816" spans="1:10">
      <c r="A816" s="2" t="s">
        <v>1878</v>
      </c>
      <c r="B816" s="2" t="s">
        <v>2029</v>
      </c>
      <c r="C816" s="2"/>
      <c r="D816" s="2"/>
      <c r="E816" s="2"/>
      <c r="F816" s="2"/>
      <c r="G816" s="2"/>
      <c r="H816" s="2"/>
      <c r="I816" s="2"/>
      <c r="J816" s="2"/>
    </row>
    <row r="817" spans="1:10">
      <c r="A817" s="85" t="s">
        <v>1878</v>
      </c>
      <c r="B817" s="121">
        <f>C797*15.5</f>
        <v>42625</v>
      </c>
      <c r="C817" s="2"/>
      <c r="D817" s="2"/>
      <c r="E817" s="2"/>
      <c r="F817" s="2"/>
      <c r="G817" s="2"/>
      <c r="H817" s="2"/>
      <c r="I817" s="2"/>
      <c r="J817" s="2"/>
    </row>
    <row r="818" spans="1:10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>
      <c r="A819" s="1" t="s">
        <v>2030</v>
      </c>
      <c r="B819" s="2"/>
      <c r="C819" s="2"/>
      <c r="D819" s="2"/>
      <c r="E819" s="2"/>
      <c r="F819" s="2"/>
      <c r="G819" s="2"/>
      <c r="H819" s="2"/>
      <c r="I819" s="2"/>
      <c r="J819" s="2"/>
    </row>
    <row r="820" spans="1:1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>
      <c r="A821" s="2"/>
      <c r="B821" s="953" t="s">
        <v>505</v>
      </c>
      <c r="C821" s="955"/>
      <c r="D821" s="953" t="s">
        <v>506</v>
      </c>
      <c r="E821" s="955"/>
      <c r="F821" s="953" t="s">
        <v>507</v>
      </c>
      <c r="G821" s="955"/>
      <c r="H821" s="953" t="s">
        <v>508</v>
      </c>
      <c r="I821" s="955"/>
      <c r="J821" s="2"/>
    </row>
    <row r="822" spans="1:10">
      <c r="A822" s="204" t="s">
        <v>1623</v>
      </c>
      <c r="B822" s="125">
        <f>0.5*C762+H762*0.25</f>
        <v>1250</v>
      </c>
      <c r="C822" s="8" t="s">
        <v>108</v>
      </c>
      <c r="D822" s="125">
        <f>B758*0.5+G758*0.25</f>
        <v>1125</v>
      </c>
      <c r="E822" s="8" t="s">
        <v>108</v>
      </c>
      <c r="F822" s="125">
        <f>D822</f>
        <v>1125</v>
      </c>
      <c r="G822" s="8" t="s">
        <v>108</v>
      </c>
      <c r="H822" s="125">
        <f>D822</f>
        <v>1125</v>
      </c>
      <c r="I822" s="8" t="s">
        <v>108</v>
      </c>
      <c r="J822" s="2"/>
    </row>
    <row r="823" spans="1:10">
      <c r="A823" s="204" t="s">
        <v>510</v>
      </c>
      <c r="B823" s="174">
        <f>B829</f>
        <v>16</v>
      </c>
      <c r="C823" s="174">
        <f>B823*B822</f>
        <v>20000</v>
      </c>
      <c r="D823" s="174">
        <f>B823</f>
        <v>16</v>
      </c>
      <c r="E823" s="174">
        <f>D823*D822</f>
        <v>18000</v>
      </c>
      <c r="F823" s="776">
        <f>G823/F822</f>
        <v>17.777777777777779</v>
      </c>
      <c r="G823" s="174">
        <f>C823</f>
        <v>20000</v>
      </c>
      <c r="H823" s="204"/>
      <c r="I823" s="435"/>
      <c r="J823" s="2"/>
    </row>
    <row r="824" spans="1:10">
      <c r="A824" s="204" t="s">
        <v>511</v>
      </c>
      <c r="B824" s="174">
        <v>13</v>
      </c>
      <c r="C824" s="174">
        <f>B824*B822</f>
        <v>16250</v>
      </c>
      <c r="D824" s="174">
        <f>B824</f>
        <v>13</v>
      </c>
      <c r="E824" s="174">
        <f>D824*D822</f>
        <v>14625</v>
      </c>
      <c r="F824" s="174">
        <f>B824</f>
        <v>13</v>
      </c>
      <c r="G824" s="174">
        <f>F824*F822</f>
        <v>14625</v>
      </c>
      <c r="H824" s="204"/>
      <c r="I824" s="347"/>
      <c r="J824" s="2"/>
    </row>
    <row r="825" spans="1:10">
      <c r="A825" s="204" t="s">
        <v>512</v>
      </c>
      <c r="B825" s="174">
        <f>B823+B824</f>
        <v>29</v>
      </c>
      <c r="C825" s="174">
        <f>B825*B822</f>
        <v>36250</v>
      </c>
      <c r="D825" s="174">
        <f>B825</f>
        <v>29</v>
      </c>
      <c r="E825" s="174">
        <f>D825*D822</f>
        <v>32625</v>
      </c>
      <c r="F825" s="174">
        <f>F823+F824</f>
        <v>30.777777777777779</v>
      </c>
      <c r="G825" s="174">
        <f>F825*F822</f>
        <v>34625</v>
      </c>
      <c r="H825" s="204"/>
      <c r="I825" s="287">
        <v>32500</v>
      </c>
      <c r="J825" s="2"/>
    </row>
    <row r="826" spans="1:10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>
      <c r="A827" s="2" t="s">
        <v>2031</v>
      </c>
      <c r="B827" s="43">
        <v>-2000</v>
      </c>
      <c r="C827" s="2"/>
      <c r="D827" s="2"/>
      <c r="E827" s="2"/>
      <c r="F827" s="2"/>
      <c r="G827" s="2"/>
      <c r="H827" s="2"/>
      <c r="I827" s="2"/>
      <c r="J827" s="2"/>
    </row>
    <row r="828" spans="1:10">
      <c r="A828" s="2" t="s">
        <v>2031</v>
      </c>
      <c r="B828" s="2" t="s">
        <v>2032</v>
      </c>
      <c r="C828" s="2"/>
      <c r="D828" s="2"/>
      <c r="E828" s="2"/>
      <c r="F828" s="2"/>
      <c r="G828" s="2"/>
      <c r="H828" s="2"/>
      <c r="I828" s="2"/>
      <c r="J828" s="2"/>
    </row>
    <row r="829" spans="1:10">
      <c r="A829" s="85" t="s">
        <v>2033</v>
      </c>
      <c r="B829" s="155">
        <f>B827/(D822-B822)</f>
        <v>16</v>
      </c>
      <c r="C829" s="2"/>
      <c r="D829" s="2"/>
      <c r="E829" s="2"/>
      <c r="F829" s="2"/>
      <c r="G829" s="2"/>
      <c r="H829" s="2"/>
      <c r="I829" s="2"/>
      <c r="J829" s="2"/>
    </row>
    <row r="830" spans="1:10" ht="15.75" thickBot="1">
      <c r="A830" s="2"/>
      <c r="B830" s="49"/>
      <c r="C830" s="2"/>
      <c r="D830" s="2"/>
      <c r="E830" s="2"/>
      <c r="F830" s="2"/>
      <c r="G830" s="2"/>
      <c r="H830" s="2"/>
      <c r="I830" s="2"/>
      <c r="J830" s="2"/>
    </row>
    <row r="831" spans="1:10" ht="15.75" thickBot="1">
      <c r="A831" s="2" t="s">
        <v>2034</v>
      </c>
      <c r="B831" s="801">
        <f>G825-I825</f>
        <v>2125</v>
      </c>
      <c r="C831" s="2"/>
      <c r="D831" s="2"/>
      <c r="E831" s="2"/>
      <c r="F831" s="2"/>
      <c r="G831" s="2"/>
      <c r="H831" s="2"/>
      <c r="I831" s="2"/>
      <c r="J831" s="2"/>
    </row>
    <row r="832" spans="1:10">
      <c r="A832" s="2"/>
      <c r="B832" s="54"/>
      <c r="C832" s="2"/>
      <c r="D832" s="2"/>
      <c r="E832" s="2"/>
      <c r="F832" s="2"/>
      <c r="G832" s="2"/>
      <c r="H832" s="2"/>
      <c r="I832" s="2"/>
      <c r="J832" s="2"/>
    </row>
    <row r="833" spans="1:10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>
      <c r="A834" s="972" t="s">
        <v>1885</v>
      </c>
      <c r="B834" s="973"/>
      <c r="C834" s="3"/>
      <c r="D834" s="2"/>
      <c r="E834" s="972" t="s">
        <v>1886</v>
      </c>
      <c r="F834" s="927"/>
      <c r="G834" s="973"/>
      <c r="H834" s="2"/>
      <c r="I834" s="2"/>
      <c r="J834" s="2"/>
    </row>
    <row r="835" spans="1:10">
      <c r="A835" s="122" t="s">
        <v>1987</v>
      </c>
      <c r="B835" s="717"/>
      <c r="C835" s="2"/>
      <c r="D835" s="2"/>
      <c r="E835" s="122" t="s">
        <v>1987</v>
      </c>
      <c r="F835" s="14"/>
      <c r="G835" s="717"/>
      <c r="H835" s="2"/>
      <c r="I835" s="2"/>
      <c r="J835" s="2"/>
    </row>
    <row r="836" spans="1:10">
      <c r="A836" s="122"/>
      <c r="B836" s="718">
        <f>B779*C771</f>
        <v>160</v>
      </c>
      <c r="C836" s="2"/>
      <c r="D836" s="2"/>
      <c r="E836" s="122"/>
      <c r="F836" s="14"/>
      <c r="G836" s="718">
        <f>B780*C771</f>
        <v>120</v>
      </c>
      <c r="H836" s="2"/>
      <c r="I836" s="2"/>
      <c r="J836" s="2"/>
    </row>
    <row r="837" spans="1:10">
      <c r="A837" s="122" t="s">
        <v>2035</v>
      </c>
      <c r="B837" s="717"/>
      <c r="C837" s="2"/>
      <c r="D837" s="2"/>
      <c r="E837" s="122" t="s">
        <v>2035</v>
      </c>
      <c r="F837" s="14"/>
      <c r="G837" s="717"/>
      <c r="H837" s="2"/>
      <c r="I837" s="2"/>
      <c r="J837" s="2"/>
    </row>
    <row r="838" spans="1:10">
      <c r="A838" s="122"/>
      <c r="B838" s="719">
        <f>B805*B787</f>
        <v>15.5</v>
      </c>
      <c r="C838" s="2"/>
      <c r="D838" s="2"/>
      <c r="E838" s="122"/>
      <c r="F838" s="14"/>
      <c r="G838" s="719">
        <f>B788*B805</f>
        <v>23.25</v>
      </c>
      <c r="H838" s="2"/>
      <c r="I838" s="2"/>
      <c r="J838" s="2"/>
    </row>
    <row r="839" spans="1:10">
      <c r="A839" s="122" t="s">
        <v>2030</v>
      </c>
      <c r="B839" s="717"/>
      <c r="C839" s="2"/>
      <c r="D839" s="2"/>
      <c r="E839" s="122" t="s">
        <v>2030</v>
      </c>
      <c r="F839" s="14"/>
      <c r="G839" s="717"/>
      <c r="H839" s="2"/>
      <c r="I839" s="2"/>
      <c r="J839" s="2"/>
    </row>
    <row r="840" spans="1:10">
      <c r="A840" s="122"/>
      <c r="B840" s="719">
        <f>B825*0.5</f>
        <v>14.5</v>
      </c>
      <c r="C840" s="2"/>
      <c r="D840" s="2"/>
      <c r="E840" s="122"/>
      <c r="F840" s="14"/>
      <c r="G840" s="719">
        <f>B825*0.25</f>
        <v>7.25</v>
      </c>
      <c r="H840" s="2"/>
      <c r="I840" s="2"/>
      <c r="J840" s="2"/>
    </row>
    <row r="841" spans="1:10">
      <c r="A841" s="125" t="s">
        <v>2036</v>
      </c>
      <c r="B841" s="436">
        <f>B836+B838+B840</f>
        <v>190</v>
      </c>
      <c r="C841" s="2"/>
      <c r="D841" s="2"/>
      <c r="E841" s="125" t="s">
        <v>2037</v>
      </c>
      <c r="F841" s="126"/>
      <c r="G841" s="436">
        <f>G836+G838+G840</f>
        <v>150.5</v>
      </c>
      <c r="H841" s="2"/>
      <c r="I841" s="2"/>
      <c r="J841" s="2"/>
    </row>
    <row r="842" spans="1:10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>
      <c r="A844" s="1" t="s">
        <v>1152</v>
      </c>
      <c r="B844" s="2"/>
      <c r="C844" s="2"/>
      <c r="D844" s="2"/>
      <c r="E844" s="2"/>
      <c r="F844" s="54"/>
      <c r="G844" s="2"/>
      <c r="H844" s="2"/>
      <c r="I844" s="2"/>
      <c r="J844" s="2"/>
    </row>
    <row r="845" spans="1:10">
      <c r="A845" s="2" t="s">
        <v>617</v>
      </c>
      <c r="C845" s="43">
        <v>1100000</v>
      </c>
      <c r="D845" s="2"/>
      <c r="E845" s="2"/>
      <c r="F845" s="2"/>
      <c r="G845" s="2"/>
      <c r="H845" s="2"/>
      <c r="I845" s="2"/>
      <c r="J845" s="2"/>
    </row>
    <row r="846" spans="1:10">
      <c r="A846" s="2" t="s">
        <v>1682</v>
      </c>
      <c r="C846" s="54">
        <f>-D761</f>
        <v>-860000</v>
      </c>
      <c r="D846" s="2"/>
      <c r="E846" s="2"/>
      <c r="F846" s="2"/>
      <c r="G846" s="2"/>
      <c r="H846" s="2"/>
      <c r="I846" s="2"/>
      <c r="J846" s="2"/>
    </row>
    <row r="847" spans="1:10">
      <c r="A847" s="57" t="s">
        <v>621</v>
      </c>
      <c r="B847" s="802"/>
      <c r="C847" s="58">
        <f>C845+C846</f>
        <v>240000</v>
      </c>
      <c r="D847" s="772"/>
      <c r="E847" s="2"/>
      <c r="F847" s="2"/>
      <c r="G847" s="2"/>
      <c r="H847" s="2"/>
      <c r="I847" s="2"/>
      <c r="J847" s="2"/>
    </row>
    <row r="848" spans="1:10">
      <c r="A848" s="2" t="s">
        <v>1683</v>
      </c>
      <c r="C848" s="68">
        <f>-(0.02*C845)</f>
        <v>-22000</v>
      </c>
      <c r="D848" s="2"/>
      <c r="E848" s="2"/>
      <c r="F848" s="2"/>
      <c r="G848" s="2"/>
      <c r="H848" s="2"/>
      <c r="I848" s="2"/>
      <c r="J848" s="2"/>
    </row>
    <row r="849" spans="1:10">
      <c r="A849" s="2" t="s">
        <v>1684</v>
      </c>
      <c r="C849" s="68">
        <v>-64575</v>
      </c>
      <c r="D849" s="2"/>
      <c r="E849" s="2"/>
      <c r="F849" s="2"/>
      <c r="G849" s="2"/>
      <c r="H849" s="2"/>
      <c r="I849" s="2"/>
      <c r="J849" s="2"/>
    </row>
    <row r="850" spans="1:10">
      <c r="A850" s="2" t="s">
        <v>1685</v>
      </c>
      <c r="C850" s="54">
        <f>(C794+C796)*15.5</f>
        <v>-1550</v>
      </c>
      <c r="D850" s="2"/>
      <c r="E850" s="2"/>
      <c r="F850" s="2"/>
      <c r="G850" s="2"/>
      <c r="H850" s="2"/>
      <c r="I850" s="2"/>
      <c r="J850" s="2"/>
    </row>
    <row r="851" spans="1:10">
      <c r="A851" s="2" t="s">
        <v>2038</v>
      </c>
      <c r="C851" s="54">
        <f>B827+B831</f>
        <v>125</v>
      </c>
      <c r="D851" s="2"/>
      <c r="E851" s="2"/>
      <c r="F851" s="2"/>
      <c r="G851" s="2"/>
      <c r="H851" s="2"/>
      <c r="I851" s="2"/>
      <c r="J851" s="2"/>
    </row>
    <row r="852" spans="1:10">
      <c r="A852" s="125" t="s">
        <v>628</v>
      </c>
      <c r="B852" s="803"/>
      <c r="C852" s="436">
        <f>C847+C848+C849+C850+C851</f>
        <v>152000</v>
      </c>
      <c r="D852" s="2"/>
      <c r="E852" s="2"/>
      <c r="F852" s="2"/>
      <c r="G852" s="2"/>
      <c r="H852" s="2"/>
      <c r="I852" s="2"/>
      <c r="J852" s="2"/>
    </row>
    <row r="853" spans="1:10">
      <c r="A853" s="2"/>
      <c r="B853" s="2"/>
      <c r="C853" s="2"/>
      <c r="D853" s="2"/>
      <c r="E853" s="2"/>
      <c r="F853" s="2"/>
      <c r="G853" s="2"/>
      <c r="H853" s="2"/>
      <c r="I853" s="2"/>
      <c r="J853" s="2"/>
    </row>
  </sheetData>
  <mergeCells count="131">
    <mergeCell ref="A222:A223"/>
    <mergeCell ref="B225:B227"/>
    <mergeCell ref="A225:A227"/>
    <mergeCell ref="D225:D227"/>
    <mergeCell ref="B273:C273"/>
    <mergeCell ref="D273:E273"/>
    <mergeCell ref="F273:G273"/>
    <mergeCell ref="H273:I273"/>
    <mergeCell ref="E508:G508"/>
    <mergeCell ref="D372:E372"/>
    <mergeCell ref="F372:G372"/>
    <mergeCell ref="B456:C456"/>
    <mergeCell ref="D456:E456"/>
    <mergeCell ref="F456:G456"/>
    <mergeCell ref="H456:I456"/>
    <mergeCell ref="B502:C502"/>
    <mergeCell ref="D502:E502"/>
    <mergeCell ref="F502:G502"/>
    <mergeCell ref="H502:I502"/>
    <mergeCell ref="B21:C21"/>
    <mergeCell ref="D21:E21"/>
    <mergeCell ref="F21:G21"/>
    <mergeCell ref="H21:I21"/>
    <mergeCell ref="A46:B46"/>
    <mergeCell ref="A47:B47"/>
    <mergeCell ref="H22:I22"/>
    <mergeCell ref="H116:I116"/>
    <mergeCell ref="H117:I118"/>
    <mergeCell ref="F22:G22"/>
    <mergeCell ref="D22:E22"/>
    <mergeCell ref="B22:C22"/>
    <mergeCell ref="B116:C116"/>
    <mergeCell ref="D116:E116"/>
    <mergeCell ref="E27:G27"/>
    <mergeCell ref="B52:C52"/>
    <mergeCell ref="D52:E52"/>
    <mergeCell ref="F52:G52"/>
    <mergeCell ref="H52:I52"/>
    <mergeCell ref="B53:C53"/>
    <mergeCell ref="D53:E53"/>
    <mergeCell ref="F53:G53"/>
    <mergeCell ref="H53:I53"/>
    <mergeCell ref="B115:C115"/>
    <mergeCell ref="D115:E115"/>
    <mergeCell ref="F115:G115"/>
    <mergeCell ref="H115:I115"/>
    <mergeCell ref="E121:G121"/>
    <mergeCell ref="B503:C503"/>
    <mergeCell ref="D503:E503"/>
    <mergeCell ref="F503:G503"/>
    <mergeCell ref="H503:I503"/>
    <mergeCell ref="E461:G461"/>
    <mergeCell ref="H654:H655"/>
    <mergeCell ref="I654:I655"/>
    <mergeCell ref="H504:I505"/>
    <mergeCell ref="B593:C593"/>
    <mergeCell ref="D593:E593"/>
    <mergeCell ref="F593:G593"/>
    <mergeCell ref="H593:I593"/>
    <mergeCell ref="E599:G599"/>
    <mergeCell ref="A623:D623"/>
    <mergeCell ref="A630:C630"/>
    <mergeCell ref="A627:C627"/>
    <mergeCell ref="A633:C633"/>
    <mergeCell ref="E623:H623"/>
    <mergeCell ref="E627:G627"/>
    <mergeCell ref="E630:G630"/>
    <mergeCell ref="E633:G633"/>
    <mergeCell ref="A662:A663"/>
    <mergeCell ref="B662:B663"/>
    <mergeCell ref="D662:D663"/>
    <mergeCell ref="A654:A655"/>
    <mergeCell ref="B654:B655"/>
    <mergeCell ref="D654:D655"/>
    <mergeCell ref="B716:C716"/>
    <mergeCell ref="D716:E716"/>
    <mergeCell ref="F716:G716"/>
    <mergeCell ref="F654:F655"/>
    <mergeCell ref="G654:G655"/>
    <mergeCell ref="H716:I716"/>
    <mergeCell ref="A674:B674"/>
    <mergeCell ref="A677:B677"/>
    <mergeCell ref="A679:B679"/>
    <mergeCell ref="A703:C703"/>
    <mergeCell ref="A705:C705"/>
    <mergeCell ref="A730:C730"/>
    <mergeCell ref="E730:G730"/>
    <mergeCell ref="E722:G722"/>
    <mergeCell ref="A759:A760"/>
    <mergeCell ref="B759:B760"/>
    <mergeCell ref="C759:C760"/>
    <mergeCell ref="D759:D760"/>
    <mergeCell ref="F759:F760"/>
    <mergeCell ref="G759:G760"/>
    <mergeCell ref="H821:I821"/>
    <mergeCell ref="A834:B834"/>
    <mergeCell ref="E834:G834"/>
    <mergeCell ref="C809:D809"/>
    <mergeCell ref="C810:D810"/>
    <mergeCell ref="B821:C821"/>
    <mergeCell ref="D821:E821"/>
    <mergeCell ref="F821:G821"/>
    <mergeCell ref="I759:I760"/>
    <mergeCell ref="A769:A770"/>
    <mergeCell ref="B769:B770"/>
    <mergeCell ref="D769:D770"/>
    <mergeCell ref="A784:B784"/>
    <mergeCell ref="A76:A77"/>
    <mergeCell ref="B76:B77"/>
    <mergeCell ref="D76:D77"/>
    <mergeCell ref="E58:H58"/>
    <mergeCell ref="H455:I455"/>
    <mergeCell ref="F455:G455"/>
    <mergeCell ref="D455:E455"/>
    <mergeCell ref="B455:C455"/>
    <mergeCell ref="A1:J1"/>
    <mergeCell ref="B274:C274"/>
    <mergeCell ref="D274:E274"/>
    <mergeCell ref="F274:G274"/>
    <mergeCell ref="H274:I274"/>
    <mergeCell ref="A299:C299"/>
    <mergeCell ref="H275:I276"/>
    <mergeCell ref="E279:G279"/>
    <mergeCell ref="D295:D296"/>
    <mergeCell ref="A295:A296"/>
    <mergeCell ref="H372:I372"/>
    <mergeCell ref="E378:G378"/>
    <mergeCell ref="B362:C362"/>
    <mergeCell ref="B363:C363"/>
    <mergeCell ref="B372:C372"/>
    <mergeCell ref="F116:G116"/>
  </mergeCells>
  <pageMargins left="0.70866141732283472" right="0.70866141732283472" top="0.74803149606299213" bottom="0.74803149606299213" header="0.31496062992125984" footer="0.31496062992125984"/>
  <pageSetup scale="57" orientation="landscape" r:id="rId1"/>
  <headerFooter>
    <oddHeader>&amp;L&amp;"+,Negrita"Resolución Guía de trabajos prácticos - Sistemas de Costos</oddHeader>
    <oddFooter>&amp;C&amp;"+,Normal"Departamento de Contabilidad e Impuestos
Universidad Argentina de la Empresa</oddFooter>
  </headerFooter>
  <rowBreaks count="17" manualBreakCount="17">
    <brk id="48" max="9" man="1"/>
    <brk id="82" max="9" man="1"/>
    <brk id="112" max="16383" man="1"/>
    <brk id="169" max="9" man="1"/>
    <brk id="217" max="9" man="1"/>
    <brk id="270" max="9" man="1"/>
    <brk id="314" max="9" man="1"/>
    <brk id="369" max="9" man="1"/>
    <brk id="420" max="9" man="1"/>
    <brk id="467" max="9" man="1"/>
    <brk id="498" max="9" man="1"/>
    <brk id="553" max="9" man="1"/>
    <brk id="590" max="9" man="1"/>
    <brk id="647" max="9" man="1"/>
    <brk id="701" max="9" man="1"/>
    <brk id="751" max="9" man="1"/>
    <brk id="798" max="9" man="1"/>
  </rowBreaks>
  <colBreaks count="1" manualBreakCount="1">
    <brk id="10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Q469"/>
  <sheetViews>
    <sheetView showGridLines="0" tabSelected="1" view="pageBreakPreview" topLeftCell="A264" zoomScale="80" zoomScaleNormal="80" zoomScaleSheetLayoutView="80" workbookViewId="0">
      <selection activeCell="A20" sqref="A20:A25"/>
    </sheetView>
  </sheetViews>
  <sheetFormatPr baseColWidth="10" defaultRowHeight="14.25"/>
  <cols>
    <col min="1" max="1" width="11.7109375" style="368" customWidth="1"/>
    <col min="2" max="2" width="11.85546875" style="368" customWidth="1"/>
    <col min="3" max="3" width="13.140625" style="368" customWidth="1"/>
    <col min="4" max="4" width="13" style="368" customWidth="1"/>
    <col min="5" max="5" width="14" style="368" customWidth="1"/>
    <col min="6" max="6" width="13" style="368" customWidth="1"/>
    <col min="7" max="7" width="9" style="368" customWidth="1"/>
    <col min="8" max="9" width="9.85546875" style="368" customWidth="1"/>
    <col min="10" max="10" width="7.85546875" style="368" customWidth="1"/>
    <col min="11" max="11" width="7.5703125" style="368" customWidth="1"/>
    <col min="12" max="12" width="7.7109375" style="368" customWidth="1"/>
    <col min="13" max="13" width="8" style="368" customWidth="1"/>
    <col min="14" max="14" width="10" style="368" customWidth="1"/>
    <col min="15" max="15" width="10.7109375" style="368" customWidth="1"/>
    <col min="16" max="16384" width="11.42578125" style="368"/>
  </cols>
  <sheetData>
    <row r="1" spans="1:16" ht="18.75" customHeight="1">
      <c r="A1" s="1002" t="s">
        <v>1605</v>
      </c>
      <c r="B1" s="1002"/>
      <c r="C1" s="1002"/>
      <c r="D1" s="1002"/>
      <c r="E1" s="1002"/>
      <c r="F1" s="1002"/>
      <c r="G1" s="1002"/>
      <c r="H1" s="1002"/>
      <c r="I1" s="1002"/>
      <c r="J1" s="1002"/>
      <c r="K1" s="1002"/>
      <c r="L1" s="1002"/>
      <c r="M1" s="1002"/>
      <c r="N1" s="1002"/>
      <c r="O1" s="1002"/>
      <c r="P1" s="377"/>
    </row>
    <row r="2" spans="1:16" ht="12.75" customHeight="1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1:16">
      <c r="A3" s="1" t="s">
        <v>2267</v>
      </c>
    </row>
    <row r="4" spans="1:16">
      <c r="A4" s="1" t="s">
        <v>786</v>
      </c>
      <c r="B4" s="375"/>
      <c r="C4" s="375"/>
      <c r="D4" s="375"/>
      <c r="E4" s="375"/>
    </row>
    <row r="5" spans="1:16">
      <c r="A5" s="1049" t="s">
        <v>768</v>
      </c>
      <c r="B5" s="1050"/>
      <c r="C5" s="1050"/>
      <c r="D5" s="1050"/>
      <c r="E5" s="1051"/>
      <c r="F5" s="217" t="s">
        <v>769</v>
      </c>
      <c r="G5" s="100"/>
      <c r="H5" s="366"/>
      <c r="I5" s="86"/>
      <c r="J5" s="100"/>
      <c r="K5" s="2"/>
    </row>
    <row r="6" spans="1:16" ht="15" customHeight="1">
      <c r="A6" s="1049" t="s">
        <v>770</v>
      </c>
      <c r="B6" s="1050"/>
      <c r="C6" s="1050"/>
      <c r="D6" s="1050"/>
      <c r="E6" s="1051"/>
      <c r="F6" s="217" t="s">
        <v>771</v>
      </c>
      <c r="G6" s="100"/>
      <c r="H6" s="86"/>
      <c r="I6" s="86"/>
      <c r="J6" s="100"/>
      <c r="K6" s="2"/>
    </row>
    <row r="7" spans="1:16">
      <c r="A7" s="217" t="s">
        <v>772</v>
      </c>
      <c r="B7" s="606"/>
      <c r="C7" s="606"/>
      <c r="D7" s="86"/>
      <c r="E7" s="367"/>
      <c r="F7" s="365" t="s">
        <v>773</v>
      </c>
      <c r="G7" s="100"/>
      <c r="H7" s="86"/>
      <c r="I7" s="86"/>
      <c r="J7" s="100"/>
      <c r="K7" s="2"/>
    </row>
    <row r="8" spans="1:16">
      <c r="A8" s="376" t="s">
        <v>774</v>
      </c>
      <c r="B8" s="607"/>
      <c r="C8" s="608"/>
      <c r="D8" s="86"/>
      <c r="E8" s="608"/>
      <c r="F8" s="217" t="s">
        <v>775</v>
      </c>
      <c r="G8" s="100"/>
      <c r="H8" s="86"/>
      <c r="I8" s="86"/>
      <c r="J8" s="100"/>
      <c r="K8" s="2"/>
    </row>
    <row r="9" spans="1:16">
      <c r="A9" s="217" t="s">
        <v>776</v>
      </c>
      <c r="B9" s="609"/>
      <c r="C9" s="610"/>
      <c r="D9" s="86"/>
      <c r="E9" s="610"/>
      <c r="F9" s="217" t="s">
        <v>777</v>
      </c>
      <c r="G9" s="327"/>
      <c r="H9" s="46"/>
      <c r="I9" s="46"/>
      <c r="J9" s="327"/>
      <c r="K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6">
      <c r="A11" s="370" t="s">
        <v>785</v>
      </c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6">
      <c r="A12" s="229" t="s">
        <v>778</v>
      </c>
      <c r="B12" s="217"/>
      <c r="C12" s="229"/>
      <c r="D12" s="86"/>
      <c r="E12" s="229"/>
      <c r="F12" s="217" t="s">
        <v>779</v>
      </c>
      <c r="G12" s="100"/>
      <c r="H12" s="86"/>
      <c r="I12" s="86"/>
      <c r="J12" s="100"/>
      <c r="K12" s="14"/>
    </row>
    <row r="13" spans="1:16">
      <c r="A13" s="217" t="s">
        <v>770</v>
      </c>
      <c r="B13" s="229"/>
      <c r="C13" s="229"/>
      <c r="D13" s="86"/>
      <c r="E13" s="229"/>
      <c r="F13" s="217" t="s">
        <v>780</v>
      </c>
      <c r="G13" s="100"/>
      <c r="H13" s="86"/>
      <c r="I13" s="86"/>
      <c r="J13" s="100"/>
      <c r="K13" s="14"/>
    </row>
    <row r="14" spans="1:16">
      <c r="A14" s="217" t="s">
        <v>772</v>
      </c>
      <c r="B14" s="229"/>
      <c r="C14" s="229"/>
      <c r="D14" s="86"/>
      <c r="E14" s="229"/>
      <c r="F14" s="217" t="s">
        <v>781</v>
      </c>
      <c r="G14" s="100"/>
      <c r="H14" s="86"/>
      <c r="I14" s="86"/>
      <c r="J14" s="100"/>
      <c r="K14" s="14"/>
    </row>
    <row r="15" spans="1:16">
      <c r="A15" s="217" t="s">
        <v>774</v>
      </c>
      <c r="B15" s="229"/>
      <c r="C15" s="229"/>
      <c r="D15" s="86"/>
      <c r="E15" s="229"/>
      <c r="F15" s="217" t="s">
        <v>782</v>
      </c>
      <c r="G15" s="100"/>
      <c r="H15" s="86"/>
      <c r="I15" s="86"/>
      <c r="J15" s="100"/>
      <c r="K15" s="14"/>
    </row>
    <row r="16" spans="1:16">
      <c r="A16" s="217" t="s">
        <v>776</v>
      </c>
      <c r="B16" s="229"/>
      <c r="C16" s="229"/>
      <c r="D16" s="86"/>
      <c r="E16" s="229"/>
      <c r="F16" s="217" t="s">
        <v>783</v>
      </c>
      <c r="G16" s="100"/>
      <c r="H16" s="86"/>
      <c r="I16" s="86"/>
      <c r="J16" s="100"/>
      <c r="K16" s="14"/>
    </row>
    <row r="17" spans="1:15">
      <c r="A17" s="217" t="s">
        <v>768</v>
      </c>
      <c r="B17" s="229"/>
      <c r="C17" s="229"/>
      <c r="D17" s="86"/>
      <c r="E17" s="229"/>
      <c r="F17" s="217" t="s">
        <v>784</v>
      </c>
      <c r="G17" s="100"/>
      <c r="H17" s="86"/>
      <c r="I17" s="86"/>
      <c r="J17" s="100"/>
      <c r="K17" s="14"/>
    </row>
    <row r="18" spans="1: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5">
      <c r="A19" s="370" t="s">
        <v>787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5">
      <c r="A20" s="217" t="s">
        <v>778</v>
      </c>
      <c r="B20" s="229"/>
      <c r="C20" s="229"/>
      <c r="D20" s="86"/>
      <c r="E20" s="229"/>
      <c r="F20" s="217" t="s">
        <v>788</v>
      </c>
      <c r="G20" s="100"/>
      <c r="H20" s="86"/>
      <c r="I20" s="86"/>
      <c r="J20" s="100"/>
      <c r="K20" s="14"/>
    </row>
    <row r="21" spans="1:15">
      <c r="A21" s="365" t="s">
        <v>770</v>
      </c>
      <c r="B21" s="217"/>
      <c r="C21" s="229"/>
      <c r="D21" s="86"/>
      <c r="E21" s="229"/>
      <c r="F21" s="217" t="s">
        <v>789</v>
      </c>
      <c r="G21" s="100"/>
      <c r="H21" s="86"/>
      <c r="I21" s="86"/>
      <c r="J21" s="100"/>
      <c r="K21" s="14"/>
    </row>
    <row r="22" spans="1:15">
      <c r="A22" s="217" t="s">
        <v>772</v>
      </c>
      <c r="B22" s="229"/>
      <c r="C22" s="229"/>
      <c r="D22" s="86"/>
      <c r="E22" s="229"/>
      <c r="F22" s="217" t="s">
        <v>790</v>
      </c>
      <c r="G22" s="100"/>
      <c r="H22" s="86"/>
      <c r="I22" s="86"/>
      <c r="J22" s="100"/>
      <c r="K22" s="14"/>
    </row>
    <row r="23" spans="1:15">
      <c r="A23" s="217" t="s">
        <v>774</v>
      </c>
      <c r="B23" s="229"/>
      <c r="C23" s="229"/>
      <c r="D23" s="86"/>
      <c r="E23" s="229"/>
      <c r="F23" s="217" t="s">
        <v>791</v>
      </c>
      <c r="G23" s="100"/>
      <c r="H23" s="86"/>
      <c r="I23" s="86"/>
      <c r="J23" s="100"/>
      <c r="K23" s="14"/>
    </row>
    <row r="24" spans="1:15">
      <c r="A24" s="365" t="s">
        <v>776</v>
      </c>
      <c r="B24" s="217"/>
      <c r="C24" s="229"/>
      <c r="D24" s="86"/>
      <c r="E24" s="229"/>
      <c r="F24" s="217" t="s">
        <v>792</v>
      </c>
      <c r="G24" s="100"/>
      <c r="H24" s="86"/>
      <c r="I24" s="86"/>
      <c r="J24" s="100"/>
      <c r="K24" s="14"/>
    </row>
    <row r="25" spans="1:15">
      <c r="A25" s="217" t="s">
        <v>768</v>
      </c>
      <c r="B25" s="229"/>
      <c r="C25" s="229"/>
      <c r="D25" s="86"/>
      <c r="E25" s="229"/>
      <c r="F25" s="374" t="s">
        <v>793</v>
      </c>
      <c r="G25" s="100"/>
      <c r="H25" s="86"/>
      <c r="I25" s="86"/>
      <c r="J25" s="100"/>
      <c r="K25" s="14"/>
    </row>
    <row r="26" spans="1:15">
      <c r="A26" s="364"/>
      <c r="B26" s="364"/>
      <c r="C26" s="364"/>
      <c r="D26" s="377"/>
      <c r="E26" s="364"/>
      <c r="F26" s="364"/>
      <c r="G26" s="377"/>
      <c r="H26" s="377"/>
      <c r="I26" s="377"/>
      <c r="J26" s="377"/>
      <c r="K26" s="377"/>
    </row>
    <row r="27" spans="1:15">
      <c r="A27" s="1" t="s">
        <v>2268</v>
      </c>
      <c r="B27" s="364"/>
      <c r="C27" s="364"/>
      <c r="D27" s="377"/>
      <c r="E27" s="364"/>
      <c r="F27" s="364"/>
      <c r="G27" s="377"/>
      <c r="H27" s="377"/>
      <c r="I27" s="377"/>
      <c r="J27" s="377"/>
      <c r="K27" s="377"/>
    </row>
    <row r="28" spans="1:15">
      <c r="A28" s="364"/>
      <c r="B28" s="364"/>
      <c r="C28" s="364"/>
      <c r="D28" s="377"/>
      <c r="E28" s="364"/>
      <c r="F28" s="364"/>
      <c r="G28" s="377"/>
      <c r="H28" s="377"/>
      <c r="I28" s="377"/>
      <c r="J28" s="377"/>
      <c r="K28" s="377"/>
    </row>
    <row r="29" spans="1:15">
      <c r="A29" s="364" t="s">
        <v>2269</v>
      </c>
      <c r="B29" s="364"/>
      <c r="C29" s="364"/>
      <c r="D29" s="377"/>
      <c r="E29" s="364"/>
      <c r="F29" s="364"/>
      <c r="G29" s="377"/>
      <c r="H29" s="377"/>
      <c r="I29" s="377"/>
      <c r="J29" s="377"/>
      <c r="K29" s="377"/>
    </row>
    <row r="30" spans="1:15">
      <c r="A30" s="1053" t="s">
        <v>794</v>
      </c>
      <c r="B30" s="1053" t="s">
        <v>828</v>
      </c>
      <c r="C30" s="1052" t="s">
        <v>796</v>
      </c>
      <c r="D30" s="1052"/>
      <c r="E30" s="1052"/>
      <c r="F30" s="1052" t="s">
        <v>797</v>
      </c>
      <c r="G30" s="1052"/>
      <c r="H30" s="1052"/>
      <c r="I30" s="1053" t="s">
        <v>798</v>
      </c>
      <c r="J30" s="1052" t="s">
        <v>799</v>
      </c>
      <c r="K30" s="1052"/>
      <c r="L30" s="1052"/>
      <c r="M30" s="1052"/>
      <c r="N30" s="1053" t="s">
        <v>800</v>
      </c>
      <c r="O30" s="1053" t="s">
        <v>801</v>
      </c>
    </row>
    <row r="31" spans="1:15">
      <c r="A31" s="1053"/>
      <c r="B31" s="1053"/>
      <c r="C31" s="857" t="s">
        <v>802</v>
      </c>
      <c r="D31" s="857" t="s">
        <v>803</v>
      </c>
      <c r="E31" s="857" t="s">
        <v>804</v>
      </c>
      <c r="F31" s="857" t="s">
        <v>802</v>
      </c>
      <c r="G31" s="857" t="s">
        <v>803</v>
      </c>
      <c r="H31" s="857" t="s">
        <v>804</v>
      </c>
      <c r="I31" s="1053"/>
      <c r="J31" s="857" t="s">
        <v>837</v>
      </c>
      <c r="K31" s="857" t="s">
        <v>806</v>
      </c>
      <c r="L31" s="857" t="s">
        <v>807</v>
      </c>
      <c r="M31" s="857" t="s">
        <v>808</v>
      </c>
      <c r="N31" s="1053"/>
      <c r="O31" s="1053"/>
    </row>
    <row r="32" spans="1:15">
      <c r="A32" s="204" t="s">
        <v>809</v>
      </c>
      <c r="B32" s="346">
        <v>10000</v>
      </c>
      <c r="C32" s="848" t="s">
        <v>2275</v>
      </c>
      <c r="D32" s="277">
        <v>50</v>
      </c>
      <c r="E32" s="277" t="s">
        <v>2273</v>
      </c>
      <c r="F32" s="277">
        <v>5000</v>
      </c>
      <c r="G32" s="277">
        <v>100</v>
      </c>
      <c r="H32" s="277">
        <v>5000</v>
      </c>
      <c r="I32" s="277" t="s">
        <v>2271</v>
      </c>
      <c r="J32" s="277">
        <v>600</v>
      </c>
      <c r="K32" s="277" t="s">
        <v>2277</v>
      </c>
      <c r="L32" s="277" t="s">
        <v>2279</v>
      </c>
      <c r="M32" s="277" t="s">
        <v>2281</v>
      </c>
      <c r="N32" s="277" t="s">
        <v>2283</v>
      </c>
      <c r="O32" s="277">
        <v>15000</v>
      </c>
    </row>
    <row r="33" spans="1:15">
      <c r="A33" s="204" t="s">
        <v>681</v>
      </c>
      <c r="B33" s="346">
        <v>10000</v>
      </c>
      <c r="C33" s="277">
        <v>18800</v>
      </c>
      <c r="D33" s="277">
        <v>50</v>
      </c>
      <c r="E33" s="277">
        <v>9400</v>
      </c>
      <c r="F33" s="277">
        <v>5000</v>
      </c>
      <c r="G33" s="297">
        <f>H33/F33</f>
        <v>0.8</v>
      </c>
      <c r="H33" s="277">
        <v>4000</v>
      </c>
      <c r="I33" s="277" t="s">
        <v>2285</v>
      </c>
      <c r="J33" s="277">
        <v>600</v>
      </c>
      <c r="K33" s="277" t="s">
        <v>2287</v>
      </c>
      <c r="L33" s="277" t="s">
        <v>2289</v>
      </c>
      <c r="M33" s="277" t="s">
        <v>2291</v>
      </c>
      <c r="N33" s="277" t="s">
        <v>2293</v>
      </c>
      <c r="O33" s="277" t="s">
        <v>2295</v>
      </c>
    </row>
    <row r="34" spans="1:15">
      <c r="A34" s="204" t="s">
        <v>685</v>
      </c>
      <c r="B34" s="346">
        <v>10000</v>
      </c>
      <c r="C34" s="277">
        <v>18800</v>
      </c>
      <c r="D34" s="277">
        <v>50</v>
      </c>
      <c r="E34" s="277">
        <v>9400</v>
      </c>
      <c r="F34" s="277">
        <v>5000</v>
      </c>
      <c r="G34" s="297">
        <f>H34/F34</f>
        <v>0.4</v>
      </c>
      <c r="H34" s="277">
        <v>2000</v>
      </c>
      <c r="I34" s="277" t="s">
        <v>2297</v>
      </c>
      <c r="J34" s="277">
        <v>600</v>
      </c>
      <c r="K34" s="277" t="s">
        <v>2299</v>
      </c>
      <c r="L34" s="277" t="s">
        <v>2301</v>
      </c>
      <c r="M34" s="277" t="s">
        <v>2303</v>
      </c>
      <c r="N34" s="277" t="s">
        <v>2305</v>
      </c>
      <c r="O34" s="277" t="s">
        <v>2307</v>
      </c>
    </row>
    <row r="35" spans="1:15">
      <c r="A35" s="364"/>
      <c r="B35" s="364"/>
      <c r="C35" s="364"/>
      <c r="D35" s="377"/>
      <c r="E35" s="364"/>
      <c r="F35" s="364"/>
      <c r="G35" s="377"/>
      <c r="H35" s="377"/>
      <c r="I35" s="377"/>
      <c r="J35" s="377"/>
      <c r="K35" s="377"/>
    </row>
    <row r="36" spans="1:15">
      <c r="A36" s="364" t="s">
        <v>839</v>
      </c>
      <c r="B36" s="364"/>
      <c r="C36" s="364"/>
      <c r="D36" s="377"/>
      <c r="E36" s="364"/>
      <c r="F36" s="364"/>
      <c r="G36" s="377"/>
      <c r="H36" s="377"/>
      <c r="I36" s="377"/>
      <c r="J36" s="377"/>
      <c r="K36" s="377"/>
    </row>
    <row r="37" spans="1:15">
      <c r="A37" s="364" t="s">
        <v>2270</v>
      </c>
      <c r="B37" s="364"/>
      <c r="C37" s="364"/>
      <c r="D37" s="377"/>
      <c r="E37" s="364"/>
      <c r="F37" s="364"/>
      <c r="G37" s="377"/>
      <c r="H37" s="377"/>
      <c r="I37" s="377"/>
      <c r="J37" s="377"/>
      <c r="K37" s="377"/>
    </row>
    <row r="38" spans="1:15">
      <c r="A38" s="2" t="s">
        <v>2272</v>
      </c>
      <c r="B38" s="364"/>
      <c r="C38" s="364"/>
      <c r="D38" s="377"/>
      <c r="E38" s="364"/>
      <c r="F38" s="364"/>
      <c r="G38" s="377"/>
      <c r="H38" s="377"/>
      <c r="I38" s="377"/>
      <c r="J38" s="377"/>
      <c r="K38" s="377"/>
    </row>
    <row r="39" spans="1:15">
      <c r="A39" s="2" t="s">
        <v>2274</v>
      </c>
      <c r="B39" s="364"/>
      <c r="C39" s="364"/>
      <c r="D39" s="377"/>
      <c r="E39" s="364"/>
      <c r="F39" s="364"/>
      <c r="G39" s="377"/>
      <c r="H39" s="377"/>
      <c r="I39" s="377"/>
      <c r="J39" s="377"/>
      <c r="K39" s="377"/>
    </row>
    <row r="40" spans="1:15">
      <c r="A40" s="364" t="s">
        <v>2276</v>
      </c>
      <c r="B40" s="364"/>
      <c r="C40" s="364"/>
      <c r="D40" s="377"/>
      <c r="E40" s="364"/>
      <c r="F40" s="364"/>
      <c r="G40" s="377"/>
      <c r="H40" s="377"/>
      <c r="I40" s="377"/>
      <c r="J40" s="377"/>
      <c r="K40" s="377"/>
    </row>
    <row r="41" spans="1:15">
      <c r="A41" s="364" t="s">
        <v>2278</v>
      </c>
      <c r="B41" s="364"/>
      <c r="C41" s="364"/>
      <c r="D41" s="377"/>
      <c r="E41" s="364"/>
      <c r="F41" s="364"/>
      <c r="G41" s="377"/>
      <c r="H41" s="377"/>
      <c r="I41" s="377"/>
      <c r="J41" s="377"/>
      <c r="K41" s="377"/>
    </row>
    <row r="42" spans="1:15">
      <c r="A42" s="364" t="s">
        <v>2280</v>
      </c>
      <c r="B42" s="364"/>
      <c r="C42" s="364"/>
      <c r="D42" s="377"/>
      <c r="E42" s="364"/>
      <c r="F42" s="364"/>
      <c r="G42" s="377"/>
      <c r="H42" s="377"/>
      <c r="I42" s="377"/>
      <c r="J42" s="377"/>
      <c r="K42" s="377"/>
    </row>
    <row r="43" spans="1:15">
      <c r="A43" s="364" t="s">
        <v>2282</v>
      </c>
      <c r="B43" s="364"/>
      <c r="C43" s="364"/>
      <c r="D43" s="377"/>
      <c r="E43" s="364"/>
      <c r="F43" s="364"/>
      <c r="G43" s="377"/>
      <c r="H43" s="377"/>
      <c r="I43" s="377"/>
      <c r="J43" s="377"/>
      <c r="K43" s="377"/>
    </row>
    <row r="44" spans="1:15">
      <c r="A44" s="364" t="s">
        <v>2284</v>
      </c>
      <c r="B44" s="364"/>
      <c r="C44" s="364"/>
      <c r="D44" s="377"/>
      <c r="E44" s="364"/>
      <c r="F44" s="364"/>
      <c r="G44" s="377"/>
      <c r="H44" s="377"/>
      <c r="I44" s="377"/>
      <c r="J44" s="377"/>
      <c r="K44" s="377"/>
    </row>
    <row r="45" spans="1:15">
      <c r="A45" s="364" t="s">
        <v>2286</v>
      </c>
      <c r="B45" s="364"/>
      <c r="C45" s="364"/>
      <c r="D45" s="377"/>
      <c r="E45" s="364"/>
      <c r="F45" s="364"/>
      <c r="G45" s="377"/>
      <c r="H45" s="377"/>
      <c r="I45" s="377"/>
      <c r="J45" s="377"/>
      <c r="K45" s="377"/>
    </row>
    <row r="46" spans="1:15">
      <c r="A46" s="364" t="s">
        <v>2288</v>
      </c>
      <c r="B46" s="364"/>
      <c r="C46" s="364"/>
      <c r="D46" s="377"/>
      <c r="E46" s="364"/>
      <c r="F46" s="364"/>
      <c r="G46" s="377"/>
      <c r="H46" s="377"/>
      <c r="I46" s="377"/>
      <c r="J46" s="377"/>
      <c r="K46" s="377"/>
    </row>
    <row r="47" spans="1:15">
      <c r="A47" s="364" t="s">
        <v>2290</v>
      </c>
      <c r="B47" s="364"/>
      <c r="C47" s="364"/>
      <c r="D47" s="377"/>
      <c r="E47" s="364"/>
      <c r="F47" s="364"/>
      <c r="G47" s="377"/>
      <c r="H47" s="377"/>
      <c r="I47" s="377"/>
      <c r="J47" s="377"/>
      <c r="K47" s="377"/>
    </row>
    <row r="48" spans="1:15">
      <c r="A48" s="364" t="s">
        <v>2292</v>
      </c>
      <c r="B48" s="364"/>
      <c r="C48" s="364"/>
      <c r="D48" s="377"/>
      <c r="E48" s="364"/>
      <c r="F48" s="364"/>
      <c r="G48" s="377"/>
      <c r="H48" s="377"/>
      <c r="I48" s="377"/>
      <c r="J48" s="377"/>
      <c r="K48" s="377"/>
    </row>
    <row r="49" spans="1:11">
      <c r="A49" s="364" t="s">
        <v>2294</v>
      </c>
      <c r="B49" s="364"/>
      <c r="C49" s="364"/>
      <c r="D49" s="377"/>
      <c r="E49" s="364"/>
      <c r="F49" s="364"/>
      <c r="G49" s="377"/>
      <c r="H49" s="377"/>
      <c r="I49" s="377"/>
      <c r="J49" s="377"/>
      <c r="K49" s="377"/>
    </row>
    <row r="50" spans="1:11">
      <c r="A50" s="364" t="s">
        <v>2296</v>
      </c>
      <c r="B50" s="364"/>
      <c r="C50" s="364"/>
      <c r="D50" s="377"/>
      <c r="E50" s="364"/>
      <c r="F50" s="364"/>
      <c r="G50" s="377"/>
      <c r="H50" s="377"/>
      <c r="I50" s="377"/>
      <c r="J50" s="377"/>
      <c r="K50" s="377"/>
    </row>
    <row r="51" spans="1:11">
      <c r="A51" s="364" t="s">
        <v>2298</v>
      </c>
      <c r="B51" s="364"/>
      <c r="C51" s="364"/>
      <c r="D51" s="377"/>
      <c r="E51" s="364"/>
      <c r="F51" s="364"/>
      <c r="G51" s="377"/>
      <c r="H51" s="377"/>
      <c r="I51" s="377"/>
      <c r="J51" s="377"/>
      <c r="K51" s="377"/>
    </row>
    <row r="52" spans="1:11">
      <c r="A52" s="364" t="s">
        <v>2300</v>
      </c>
      <c r="B52" s="364"/>
      <c r="C52" s="364"/>
      <c r="D52" s="377"/>
      <c r="E52" s="364"/>
      <c r="F52" s="364"/>
      <c r="G52" s="377"/>
      <c r="H52" s="377"/>
      <c r="I52" s="377"/>
      <c r="J52" s="377"/>
      <c r="K52" s="377"/>
    </row>
    <row r="53" spans="1:11">
      <c r="A53" s="364" t="s">
        <v>2302</v>
      </c>
      <c r="B53" s="364"/>
      <c r="C53" s="364"/>
      <c r="D53" s="377"/>
      <c r="E53" s="364"/>
      <c r="F53" s="364"/>
      <c r="G53" s="377"/>
      <c r="H53" s="377"/>
      <c r="I53" s="377"/>
      <c r="J53" s="377"/>
      <c r="K53" s="377"/>
    </row>
    <row r="54" spans="1:11">
      <c r="A54" s="364" t="s">
        <v>2304</v>
      </c>
      <c r="B54" s="364"/>
      <c r="C54" s="364"/>
      <c r="D54" s="377"/>
      <c r="E54" s="364"/>
      <c r="F54" s="364"/>
      <c r="G54" s="377"/>
      <c r="H54" s="377"/>
      <c r="I54" s="377"/>
      <c r="J54" s="377"/>
      <c r="K54" s="377"/>
    </row>
    <row r="55" spans="1:11">
      <c r="A55" s="364" t="s">
        <v>2306</v>
      </c>
      <c r="B55" s="364"/>
      <c r="C55" s="364"/>
      <c r="D55" s="377"/>
      <c r="E55" s="364"/>
      <c r="F55" s="364"/>
      <c r="G55" s="377"/>
      <c r="H55" s="377"/>
      <c r="I55" s="377"/>
      <c r="J55" s="377"/>
      <c r="K55" s="377"/>
    </row>
    <row r="56" spans="1:11">
      <c r="A56" s="364"/>
      <c r="B56" s="364"/>
      <c r="C56" s="364"/>
      <c r="D56" s="377"/>
      <c r="E56" s="364"/>
      <c r="F56" s="364"/>
      <c r="G56" s="377"/>
      <c r="H56" s="377"/>
      <c r="I56" s="377"/>
      <c r="J56" s="377"/>
      <c r="K56" s="377"/>
    </row>
    <row r="57" spans="1:11">
      <c r="A57" s="364" t="s">
        <v>2308</v>
      </c>
      <c r="B57" s="364"/>
      <c r="C57" s="364"/>
      <c r="D57" s="377"/>
      <c r="E57" s="364"/>
      <c r="F57" s="364"/>
      <c r="G57" s="377"/>
      <c r="H57" s="377"/>
      <c r="I57" s="377"/>
      <c r="J57" s="377"/>
      <c r="K57" s="377"/>
    </row>
    <row r="58" spans="1:11">
      <c r="A58" s="1070" t="s">
        <v>820</v>
      </c>
      <c r="B58" s="1070"/>
      <c r="C58" s="884" t="s">
        <v>809</v>
      </c>
      <c r="D58" s="886">
        <v>90833</v>
      </c>
      <c r="F58" s="382"/>
      <c r="G58" s="377"/>
      <c r="H58" s="377"/>
      <c r="I58" s="377"/>
      <c r="J58" s="377"/>
      <c r="K58" s="377"/>
    </row>
    <row r="59" spans="1:11">
      <c r="A59" s="2"/>
      <c r="B59" s="2"/>
      <c r="C59" s="884" t="s">
        <v>681</v>
      </c>
      <c r="D59" s="886">
        <v>45960</v>
      </c>
      <c r="F59" s="382"/>
      <c r="G59" s="377"/>
      <c r="H59" s="377"/>
      <c r="I59" s="377"/>
      <c r="J59" s="377"/>
      <c r="K59" s="377"/>
    </row>
    <row r="60" spans="1:11">
      <c r="A60" s="14"/>
      <c r="B60" s="14"/>
      <c r="C60" s="885" t="s">
        <v>825</v>
      </c>
      <c r="D60" s="887">
        <v>34235</v>
      </c>
      <c r="F60" s="382"/>
      <c r="G60" s="377"/>
      <c r="H60" s="377"/>
      <c r="I60" s="377"/>
      <c r="J60" s="377"/>
      <c r="K60" s="377"/>
    </row>
    <row r="61" spans="1:11" ht="14.25" customHeight="1">
      <c r="A61" s="871" t="s">
        <v>794</v>
      </c>
      <c r="B61" s="871" t="s">
        <v>824</v>
      </c>
      <c r="C61" s="871" t="s">
        <v>800</v>
      </c>
      <c r="D61" s="1078" t="s">
        <v>677</v>
      </c>
      <c r="E61" s="1078"/>
      <c r="F61" s="2"/>
      <c r="G61" s="377"/>
      <c r="H61" s="377"/>
      <c r="I61" s="377"/>
      <c r="J61" s="377"/>
      <c r="K61" s="377"/>
    </row>
    <row r="62" spans="1:11">
      <c r="A62" s="379" t="s">
        <v>809</v>
      </c>
      <c r="B62" s="388">
        <f>D58</f>
        <v>90833</v>
      </c>
      <c r="C62" s="380">
        <v>14706</v>
      </c>
      <c r="D62" s="1086">
        <f>B62/C62</f>
        <v>6.1765945872433017</v>
      </c>
      <c r="E62" s="1086"/>
      <c r="F62" s="2"/>
      <c r="G62" s="377"/>
      <c r="H62" s="377"/>
      <c r="I62" s="377"/>
      <c r="J62" s="377"/>
      <c r="K62" s="377"/>
    </row>
    <row r="63" spans="1:11">
      <c r="A63" s="379" t="s">
        <v>681</v>
      </c>
      <c r="B63" s="388">
        <f>D59</f>
        <v>45960</v>
      </c>
      <c r="C63" s="380">
        <v>15686</v>
      </c>
      <c r="D63" s="1086">
        <f>B63/C63</f>
        <v>2.9300012750223128</v>
      </c>
      <c r="E63" s="1086"/>
      <c r="F63" s="2"/>
      <c r="G63" s="377"/>
      <c r="H63" s="377"/>
      <c r="I63" s="377"/>
      <c r="J63" s="377"/>
      <c r="K63" s="377"/>
    </row>
    <row r="64" spans="1:11">
      <c r="A64" s="379" t="s">
        <v>825</v>
      </c>
      <c r="B64" s="388">
        <f>D60</f>
        <v>34235</v>
      </c>
      <c r="C64" s="380">
        <v>17647</v>
      </c>
      <c r="D64" s="1086">
        <f>B64/C64</f>
        <v>1.9399897999659999</v>
      </c>
      <c r="E64" s="1086"/>
      <c r="H64" s="377"/>
      <c r="I64" s="377"/>
      <c r="J64" s="377"/>
      <c r="K64" s="377"/>
    </row>
    <row r="65" spans="1:15">
      <c r="A65" s="1087" t="s">
        <v>2311</v>
      </c>
      <c r="B65" s="1088"/>
      <c r="C65" s="1088"/>
      <c r="D65" s="889">
        <f>D62+D63+D64</f>
        <v>11.046585662231614</v>
      </c>
      <c r="E65" s="8" t="s">
        <v>2309</v>
      </c>
      <c r="F65" s="364"/>
      <c r="G65" s="377"/>
      <c r="H65" s="377"/>
      <c r="I65" s="377"/>
      <c r="J65" s="377"/>
      <c r="K65" s="377"/>
    </row>
    <row r="66" spans="1:15">
      <c r="A66" s="364"/>
      <c r="B66" s="364"/>
      <c r="C66" s="364"/>
      <c r="D66" s="377"/>
      <c r="E66" s="364"/>
      <c r="F66" s="364"/>
      <c r="G66" s="377"/>
      <c r="H66" s="377"/>
      <c r="I66" s="377"/>
      <c r="J66" s="377"/>
      <c r="K66" s="377"/>
    </row>
    <row r="67" spans="1:15">
      <c r="A67" s="364" t="s">
        <v>2310</v>
      </c>
      <c r="B67" s="364"/>
      <c r="C67" s="364"/>
      <c r="D67" s="377"/>
      <c r="E67" s="364"/>
      <c r="F67" s="364"/>
      <c r="G67" s="377"/>
      <c r="H67" s="377"/>
      <c r="I67" s="377"/>
      <c r="J67" s="377"/>
      <c r="K67" s="377"/>
    </row>
    <row r="68" spans="1:15">
      <c r="A68" s="871" t="s">
        <v>794</v>
      </c>
      <c r="B68" s="871" t="s">
        <v>808</v>
      </c>
      <c r="C68" s="871" t="s">
        <v>824</v>
      </c>
      <c r="D68" s="1078" t="s">
        <v>183</v>
      </c>
      <c r="E68" s="1078"/>
      <c r="F68" s="364"/>
      <c r="G68" s="377"/>
      <c r="H68" s="377"/>
      <c r="I68" s="377"/>
      <c r="J68" s="377"/>
      <c r="K68" s="377"/>
    </row>
    <row r="69" spans="1:15">
      <c r="A69" s="379" t="s">
        <v>809</v>
      </c>
      <c r="B69" s="888">
        <v>306</v>
      </c>
      <c r="C69" s="387">
        <f>D62</f>
        <v>6.1765945872433017</v>
      </c>
      <c r="D69" s="1086">
        <f>B69*C69</f>
        <v>1890.0379436964504</v>
      </c>
      <c r="E69" s="1086"/>
      <c r="F69" s="364"/>
      <c r="G69" s="377"/>
      <c r="H69" s="377"/>
      <c r="I69" s="377"/>
      <c r="J69" s="377"/>
      <c r="K69" s="377"/>
    </row>
    <row r="70" spans="1:15">
      <c r="A70" s="379" t="s">
        <v>681</v>
      </c>
      <c r="B70" s="870">
        <v>286</v>
      </c>
      <c r="C70" s="387">
        <f>D63</f>
        <v>2.9300012750223128</v>
      </c>
      <c r="D70" s="1086">
        <f>B70*C70</f>
        <v>837.98036465638143</v>
      </c>
      <c r="E70" s="1086"/>
      <c r="F70" s="364"/>
      <c r="G70" s="377"/>
      <c r="H70" s="377"/>
      <c r="I70" s="377"/>
      <c r="J70" s="377"/>
      <c r="K70" s="377"/>
    </row>
    <row r="71" spans="1:15">
      <c r="A71" s="379" t="s">
        <v>825</v>
      </c>
      <c r="B71" s="870">
        <v>247</v>
      </c>
      <c r="C71" s="387">
        <f>D64</f>
        <v>1.9399897999659999</v>
      </c>
      <c r="D71" s="1086">
        <f>B71*C71</f>
        <v>479.17748059160198</v>
      </c>
      <c r="E71" s="1086"/>
      <c r="F71" s="364"/>
      <c r="G71" s="377"/>
      <c r="H71" s="377"/>
      <c r="I71" s="377"/>
      <c r="J71" s="377"/>
      <c r="K71" s="377"/>
    </row>
    <row r="72" spans="1:15">
      <c r="A72" s="972" t="s">
        <v>2312</v>
      </c>
      <c r="B72" s="927"/>
      <c r="C72" s="973"/>
      <c r="D72" s="1089">
        <f>D69+D70+D71</f>
        <v>3207.1957889444338</v>
      </c>
      <c r="E72" s="1089"/>
      <c r="F72" s="364"/>
      <c r="G72" s="377"/>
      <c r="H72" s="377"/>
      <c r="I72" s="377"/>
      <c r="J72" s="377"/>
      <c r="K72" s="377"/>
    </row>
    <row r="73" spans="1:15">
      <c r="A73" s="364"/>
      <c r="B73" s="364"/>
      <c r="C73" s="364"/>
      <c r="D73" s="377"/>
      <c r="E73" s="364"/>
      <c r="F73" s="364"/>
      <c r="G73" s="377"/>
      <c r="H73" s="377"/>
      <c r="I73" s="377"/>
      <c r="J73" s="377"/>
      <c r="K73" s="377"/>
    </row>
    <row r="74" spans="1:15">
      <c r="A74" s="1" t="s">
        <v>2313</v>
      </c>
    </row>
    <row r="75" spans="1:15">
      <c r="A75" s="1" t="s">
        <v>1054</v>
      </c>
    </row>
    <row r="76" spans="1:15">
      <c r="A76" s="1053" t="s">
        <v>794</v>
      </c>
      <c r="B76" s="1053" t="s">
        <v>795</v>
      </c>
      <c r="C76" s="1052" t="s">
        <v>796</v>
      </c>
      <c r="D76" s="1052"/>
      <c r="E76" s="1052"/>
      <c r="F76" s="1052" t="s">
        <v>797</v>
      </c>
      <c r="G76" s="1052"/>
      <c r="H76" s="1052"/>
      <c r="I76" s="1053" t="s">
        <v>798</v>
      </c>
      <c r="J76" s="1052" t="s">
        <v>799</v>
      </c>
      <c r="K76" s="1052"/>
      <c r="L76" s="1052"/>
      <c r="M76" s="1052"/>
      <c r="N76" s="1053" t="s">
        <v>800</v>
      </c>
      <c r="O76" s="1053" t="s">
        <v>801</v>
      </c>
    </row>
    <row r="77" spans="1:15">
      <c r="A77" s="1053"/>
      <c r="B77" s="1053"/>
      <c r="C77" s="480" t="s">
        <v>802</v>
      </c>
      <c r="D77" s="480" t="s">
        <v>803</v>
      </c>
      <c r="E77" s="480" t="s">
        <v>804</v>
      </c>
      <c r="F77" s="480" t="s">
        <v>802</v>
      </c>
      <c r="G77" s="480" t="s">
        <v>803</v>
      </c>
      <c r="H77" s="480" t="s">
        <v>804</v>
      </c>
      <c r="I77" s="1053"/>
      <c r="J77" s="480" t="s">
        <v>805</v>
      </c>
      <c r="K77" s="480" t="s">
        <v>806</v>
      </c>
      <c r="L77" s="480" t="s">
        <v>807</v>
      </c>
      <c r="M77" s="480" t="s">
        <v>808</v>
      </c>
      <c r="N77" s="1053"/>
      <c r="O77" s="1053"/>
    </row>
    <row r="78" spans="1:15">
      <c r="A78" s="204" t="s">
        <v>809</v>
      </c>
      <c r="B78" s="204">
        <v>844</v>
      </c>
      <c r="C78" s="358">
        <v>240</v>
      </c>
      <c r="D78" s="358">
        <v>90</v>
      </c>
      <c r="E78" s="358">
        <v>216</v>
      </c>
      <c r="F78" s="358">
        <v>200</v>
      </c>
      <c r="G78" s="358">
        <v>100</v>
      </c>
      <c r="H78" s="358">
        <v>200</v>
      </c>
      <c r="I78" s="358" t="s">
        <v>810</v>
      </c>
      <c r="J78" s="358">
        <v>139</v>
      </c>
      <c r="K78" s="358" t="s">
        <v>811</v>
      </c>
      <c r="L78" s="358" t="s">
        <v>812</v>
      </c>
      <c r="M78" s="358">
        <v>120</v>
      </c>
      <c r="N78" s="358">
        <v>980</v>
      </c>
      <c r="O78" s="358">
        <v>999</v>
      </c>
    </row>
    <row r="79" spans="1:15">
      <c r="A79" s="204" t="s">
        <v>681</v>
      </c>
      <c r="B79" s="204">
        <v>844</v>
      </c>
      <c r="C79" s="358">
        <v>240</v>
      </c>
      <c r="D79" s="358">
        <v>60</v>
      </c>
      <c r="E79" s="358">
        <v>144</v>
      </c>
      <c r="F79" s="358">
        <v>200</v>
      </c>
      <c r="G79" s="358">
        <v>50</v>
      </c>
      <c r="H79" s="358">
        <v>100</v>
      </c>
      <c r="I79" s="358" t="s">
        <v>813</v>
      </c>
      <c r="J79" s="358">
        <v>139</v>
      </c>
      <c r="K79" s="358">
        <v>18</v>
      </c>
      <c r="L79" s="358">
        <v>121</v>
      </c>
      <c r="M79" s="358">
        <v>119</v>
      </c>
      <c r="N79" s="358">
        <v>1007</v>
      </c>
      <c r="O79" s="358">
        <v>1027</v>
      </c>
    </row>
    <row r="80" spans="1:15">
      <c r="A80" s="204" t="s">
        <v>685</v>
      </c>
      <c r="B80" s="204">
        <v>844</v>
      </c>
      <c r="C80" s="358">
        <v>240</v>
      </c>
      <c r="D80" s="358">
        <v>60</v>
      </c>
      <c r="E80" s="358">
        <v>144</v>
      </c>
      <c r="F80" s="358">
        <v>200</v>
      </c>
      <c r="G80" s="358">
        <v>50</v>
      </c>
      <c r="H80" s="358">
        <v>100</v>
      </c>
      <c r="I80" s="378">
        <v>889</v>
      </c>
      <c r="J80" s="358">
        <v>139</v>
      </c>
      <c r="K80" s="358">
        <v>18</v>
      </c>
      <c r="L80" s="358">
        <v>121</v>
      </c>
      <c r="M80" s="358">
        <v>119</v>
      </c>
      <c r="N80" s="358">
        <v>1007</v>
      </c>
      <c r="O80" s="358">
        <v>1027</v>
      </c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 t="s">
        <v>814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 t="s">
        <v>815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 t="s">
        <v>816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 t="s">
        <v>817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 t="s">
        <v>818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 t="s">
        <v>819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373" t="s">
        <v>1055</v>
      </c>
      <c r="B89" s="373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1070" t="s">
        <v>820</v>
      </c>
      <c r="B90" s="1070"/>
      <c r="C90" s="371" t="s">
        <v>821</v>
      </c>
      <c r="D90" s="371"/>
      <c r="F90" s="382">
        <v>9000</v>
      </c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/>
      <c r="B91" s="2"/>
      <c r="C91" s="371" t="s">
        <v>822</v>
      </c>
      <c r="D91" s="371"/>
      <c r="F91" s="382">
        <v>6000</v>
      </c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14"/>
      <c r="B92" s="14"/>
      <c r="C92" s="381" t="s">
        <v>823</v>
      </c>
      <c r="D92" s="381"/>
      <c r="F92" s="382">
        <v>4000</v>
      </c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481" t="s">
        <v>794</v>
      </c>
      <c r="B93" s="481" t="s">
        <v>824</v>
      </c>
      <c r="C93" s="481" t="s">
        <v>800</v>
      </c>
      <c r="D93" s="1078" t="s">
        <v>677</v>
      </c>
      <c r="E93" s="1078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 s="379" t="s">
        <v>809</v>
      </c>
      <c r="B94" s="388">
        <v>9000</v>
      </c>
      <c r="C94" s="380">
        <v>980</v>
      </c>
      <c r="D94" s="1079">
        <f>B94/C94</f>
        <v>9.183673469387756</v>
      </c>
      <c r="E94" s="1079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379" t="s">
        <v>681</v>
      </c>
      <c r="B95" s="388">
        <v>6000</v>
      </c>
      <c r="C95" s="380">
        <v>1007</v>
      </c>
      <c r="D95" s="1079">
        <f>B95/C95</f>
        <v>5.9582919563058594</v>
      </c>
      <c r="E95" s="1079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379" t="s">
        <v>825</v>
      </c>
      <c r="B96" s="388">
        <v>4000</v>
      </c>
      <c r="C96" s="380">
        <v>1007</v>
      </c>
      <c r="D96" s="1079">
        <f>B96/C96</f>
        <v>3.9721946375372394</v>
      </c>
      <c r="E96" s="1079"/>
      <c r="F96" s="372">
        <f>D94+D95+D96</f>
        <v>19.114160063230855</v>
      </c>
      <c r="G96" s="371" t="s">
        <v>826</v>
      </c>
      <c r="H96" s="2"/>
      <c r="I96" s="2"/>
      <c r="J96" s="2"/>
      <c r="K96" s="2"/>
      <c r="L96" s="2"/>
      <c r="M96" s="2"/>
      <c r="N96" s="2"/>
      <c r="O96" s="2"/>
    </row>
    <row r="97" spans="1: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 s="146" t="s">
        <v>1056</v>
      </c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 s="357" t="s">
        <v>827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481" t="s">
        <v>794</v>
      </c>
      <c r="B100" s="481" t="s">
        <v>828</v>
      </c>
      <c r="C100" s="481" t="s">
        <v>824</v>
      </c>
      <c r="D100" s="1078" t="s">
        <v>183</v>
      </c>
      <c r="E100" s="1078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 s="379" t="s">
        <v>809</v>
      </c>
      <c r="B101" s="383">
        <v>844</v>
      </c>
      <c r="C101" s="387">
        <f>D94</f>
        <v>9.183673469387756</v>
      </c>
      <c r="D101" s="1080">
        <f>B101*C101</f>
        <v>7751.0204081632664</v>
      </c>
      <c r="E101" s="1080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 s="379" t="s">
        <v>681</v>
      </c>
      <c r="B102" s="380">
        <v>844</v>
      </c>
      <c r="C102" s="387">
        <f>D95</f>
        <v>5.9582919563058594</v>
      </c>
      <c r="D102" s="1080">
        <f>B102*C102</f>
        <v>5028.7984111221449</v>
      </c>
      <c r="E102" s="1080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379" t="s">
        <v>825</v>
      </c>
      <c r="B103" s="380">
        <v>844</v>
      </c>
      <c r="C103" s="387">
        <f>D96</f>
        <v>3.9721946375372394</v>
      </c>
      <c r="D103" s="1080">
        <f>B103*C103</f>
        <v>3352.5322740814299</v>
      </c>
      <c r="E103" s="1080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 s="2"/>
      <c r="B104" s="380">
        <v>844</v>
      </c>
      <c r="C104" s="387">
        <f>C101+C102+C103</f>
        <v>19.114160063230855</v>
      </c>
      <c r="D104" s="1080">
        <f>D101+D102+D103</f>
        <v>16132.35109336684</v>
      </c>
      <c r="E104" s="1080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>
      <c r="A106" s="146" t="s">
        <v>1057</v>
      </c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>
      <c r="A107" s="481" t="s">
        <v>794</v>
      </c>
      <c r="B107" s="481" t="s">
        <v>808</v>
      </c>
      <c r="C107" s="481" t="s">
        <v>824</v>
      </c>
      <c r="D107" s="1078" t="s">
        <v>183</v>
      </c>
      <c r="E107" s="1078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>
      <c r="A108" s="379" t="s">
        <v>809</v>
      </c>
      <c r="B108" s="383">
        <f>M78</f>
        <v>120</v>
      </c>
      <c r="C108" s="387">
        <f>C101</f>
        <v>9.183673469387756</v>
      </c>
      <c r="D108" s="1080">
        <f>B108*C108</f>
        <v>1102.0408163265306</v>
      </c>
      <c r="E108" s="1080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379" t="s">
        <v>681</v>
      </c>
      <c r="B109" s="380">
        <f>M79</f>
        <v>119</v>
      </c>
      <c r="C109" s="387">
        <f>C102</f>
        <v>5.9582919563058594</v>
      </c>
      <c r="D109" s="1080">
        <f>B109*C109</f>
        <v>709.03674280039729</v>
      </c>
      <c r="E109" s="1080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>
      <c r="A110" s="379" t="s">
        <v>825</v>
      </c>
      <c r="B110" s="380">
        <f>M80</f>
        <v>119</v>
      </c>
      <c r="C110" s="387">
        <f>C103</f>
        <v>3.9721946375372394</v>
      </c>
      <c r="D110" s="1080">
        <f>B110*C110</f>
        <v>472.69116186693151</v>
      </c>
      <c r="E110" s="1080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>
      <c r="A111" s="2"/>
      <c r="B111" s="384"/>
      <c r="C111" s="385"/>
      <c r="D111" s="1079">
        <f>D108+D109+D110</f>
        <v>2283.7687209938595</v>
      </c>
      <c r="E111" s="1079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>
      <c r="A113" s="146" t="s">
        <v>829</v>
      </c>
      <c r="B113" s="14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5" customHeight="1">
      <c r="A114" s="481" t="s">
        <v>794</v>
      </c>
      <c r="B114" s="481" t="s">
        <v>830</v>
      </c>
      <c r="C114" s="1081" t="s">
        <v>824</v>
      </c>
      <c r="D114" s="1081"/>
      <c r="E114" s="1081"/>
      <c r="F114" s="482" t="s">
        <v>183</v>
      </c>
      <c r="G114" s="2"/>
      <c r="H114" s="2"/>
      <c r="I114" s="2"/>
      <c r="J114" s="2"/>
      <c r="K114" s="2"/>
      <c r="L114" s="2"/>
      <c r="M114" s="2"/>
      <c r="N114" s="2"/>
      <c r="O114" s="2"/>
    </row>
    <row r="115" spans="1:15">
      <c r="A115" s="379" t="s">
        <v>809</v>
      </c>
      <c r="B115" s="383">
        <f>E78</f>
        <v>216</v>
      </c>
      <c r="C115" s="1082" t="s">
        <v>833</v>
      </c>
      <c r="D115" s="1082"/>
      <c r="E115" s="1082"/>
      <c r="F115" s="386">
        <f>16*C108+200*9</f>
        <v>1946.9387755102041</v>
      </c>
      <c r="G115" s="2" t="s">
        <v>836</v>
      </c>
      <c r="H115" s="2"/>
      <c r="I115" s="2"/>
      <c r="J115" s="2"/>
      <c r="K115" s="2"/>
      <c r="L115" s="2"/>
      <c r="M115" s="2"/>
      <c r="N115" s="2"/>
      <c r="O115" s="2"/>
    </row>
    <row r="116" spans="1:15">
      <c r="A116" s="379" t="s">
        <v>681</v>
      </c>
      <c r="B116" s="380">
        <f>E79</f>
        <v>144</v>
      </c>
      <c r="C116" s="1082" t="s">
        <v>834</v>
      </c>
      <c r="D116" s="1082"/>
      <c r="E116" s="1082"/>
      <c r="F116" s="386">
        <f>44*C109+100*5</f>
        <v>762.16484607745781</v>
      </c>
      <c r="G116" s="2" t="s">
        <v>831</v>
      </c>
      <c r="H116" s="2"/>
      <c r="I116" s="2"/>
      <c r="J116" s="2"/>
      <c r="K116" s="2"/>
      <c r="L116" s="2"/>
      <c r="M116" s="2"/>
      <c r="N116" s="2"/>
      <c r="O116" s="2"/>
    </row>
    <row r="117" spans="1:15" ht="15.75" customHeight="1">
      <c r="A117" s="379" t="s">
        <v>825</v>
      </c>
      <c r="B117" s="380">
        <f>E80</f>
        <v>144</v>
      </c>
      <c r="C117" s="1082" t="s">
        <v>835</v>
      </c>
      <c r="D117" s="1082"/>
      <c r="E117" s="1082"/>
      <c r="F117" s="386">
        <f>44*C110+100*3</f>
        <v>474.7765640516385</v>
      </c>
      <c r="G117" s="2" t="s">
        <v>832</v>
      </c>
      <c r="H117" s="2"/>
      <c r="I117" s="2"/>
      <c r="J117" s="2"/>
      <c r="K117" s="2"/>
      <c r="L117" s="2"/>
      <c r="M117" s="2"/>
      <c r="N117" s="2"/>
      <c r="O117" s="2"/>
    </row>
    <row r="118" spans="1:15">
      <c r="A118" s="2"/>
      <c r="B118" s="384"/>
      <c r="C118" s="385"/>
      <c r="D118" s="14"/>
      <c r="F118" s="386">
        <f>F115+F116+F117</f>
        <v>3183.8801856393006</v>
      </c>
      <c r="G118" s="2"/>
      <c r="H118" s="2"/>
      <c r="I118" s="2"/>
      <c r="J118" s="2"/>
      <c r="K118" s="2"/>
      <c r="L118" s="2"/>
      <c r="M118" s="2"/>
      <c r="N118" s="2"/>
      <c r="O118" s="2"/>
    </row>
    <row r="120" spans="1:15">
      <c r="A120" s="1" t="s">
        <v>2314</v>
      </c>
    </row>
    <row r="121" spans="1:15">
      <c r="A121" s="1" t="s">
        <v>1058</v>
      </c>
    </row>
    <row r="122" spans="1:15">
      <c r="A122" s="1053" t="s">
        <v>794</v>
      </c>
      <c r="B122" s="1053" t="s">
        <v>828</v>
      </c>
      <c r="C122" s="1052" t="s">
        <v>796</v>
      </c>
      <c r="D122" s="1052"/>
      <c r="E122" s="1052"/>
      <c r="F122" s="1052" t="s">
        <v>797</v>
      </c>
      <c r="G122" s="1052"/>
      <c r="H122" s="1052"/>
      <c r="I122" s="1053" t="s">
        <v>798</v>
      </c>
      <c r="J122" s="1052" t="s">
        <v>799</v>
      </c>
      <c r="K122" s="1052"/>
      <c r="L122" s="1052"/>
      <c r="M122" s="1052"/>
      <c r="N122" s="1053" t="s">
        <v>800</v>
      </c>
      <c r="O122" s="1053" t="s">
        <v>801</v>
      </c>
    </row>
    <row r="123" spans="1:15">
      <c r="A123" s="1053"/>
      <c r="B123" s="1053"/>
      <c r="C123" s="480" t="s">
        <v>802</v>
      </c>
      <c r="D123" s="480" t="s">
        <v>803</v>
      </c>
      <c r="E123" s="480" t="s">
        <v>804</v>
      </c>
      <c r="F123" s="480" t="s">
        <v>802</v>
      </c>
      <c r="G123" s="480" t="s">
        <v>803</v>
      </c>
      <c r="H123" s="480" t="s">
        <v>804</v>
      </c>
      <c r="I123" s="1053"/>
      <c r="J123" s="480" t="s">
        <v>837</v>
      </c>
      <c r="K123" s="483" t="s">
        <v>838</v>
      </c>
      <c r="L123" s="480" t="s">
        <v>807</v>
      </c>
      <c r="M123" s="480" t="s">
        <v>808</v>
      </c>
      <c r="N123" s="1053"/>
      <c r="O123" s="1053"/>
    </row>
    <row r="124" spans="1:15">
      <c r="A124" s="204" t="s">
        <v>809</v>
      </c>
      <c r="B124" s="394">
        <v>10000</v>
      </c>
      <c r="C124" s="394" t="s">
        <v>847</v>
      </c>
      <c r="D124" s="394">
        <v>63</v>
      </c>
      <c r="E124" s="394" t="s">
        <v>848</v>
      </c>
      <c r="F124" s="394" t="s">
        <v>849</v>
      </c>
      <c r="G124" s="394" t="s">
        <v>850</v>
      </c>
      <c r="H124" s="394">
        <v>3120</v>
      </c>
      <c r="I124" s="394" t="s">
        <v>852</v>
      </c>
      <c r="J124" s="394" t="s">
        <v>856</v>
      </c>
      <c r="K124" s="394" t="s">
        <v>857</v>
      </c>
      <c r="L124" s="394" t="s">
        <v>858</v>
      </c>
      <c r="M124" s="394" t="s">
        <v>859</v>
      </c>
      <c r="N124" s="394">
        <v>8296</v>
      </c>
      <c r="O124" s="394" t="s">
        <v>865</v>
      </c>
    </row>
    <row r="125" spans="1:15">
      <c r="A125" s="204" t="s">
        <v>681</v>
      </c>
      <c r="B125" s="394">
        <v>10000</v>
      </c>
      <c r="C125" s="394">
        <v>2000</v>
      </c>
      <c r="D125" s="394">
        <v>50</v>
      </c>
      <c r="E125" s="394">
        <v>1000</v>
      </c>
      <c r="F125" s="394">
        <v>4000</v>
      </c>
      <c r="G125" s="394">
        <v>60</v>
      </c>
      <c r="H125" s="394" t="s">
        <v>851</v>
      </c>
      <c r="I125" s="394" t="s">
        <v>853</v>
      </c>
      <c r="J125" s="394">
        <v>820</v>
      </c>
      <c r="K125" s="394" t="s">
        <v>870</v>
      </c>
      <c r="L125" s="394" t="s">
        <v>874</v>
      </c>
      <c r="M125" s="394" t="s">
        <v>879</v>
      </c>
      <c r="N125" s="394" t="s">
        <v>860</v>
      </c>
      <c r="O125" s="394" t="s">
        <v>862</v>
      </c>
    </row>
    <row r="126" spans="1:15">
      <c r="A126" s="204" t="s">
        <v>685</v>
      </c>
      <c r="B126" s="394">
        <v>10000</v>
      </c>
      <c r="C126" s="394">
        <v>2000</v>
      </c>
      <c r="D126" s="394">
        <v>48</v>
      </c>
      <c r="E126" s="394">
        <v>960</v>
      </c>
      <c r="F126" s="394">
        <v>4000</v>
      </c>
      <c r="G126" s="394">
        <v>52</v>
      </c>
      <c r="H126" s="394" t="s">
        <v>855</v>
      </c>
      <c r="I126" s="394" t="s">
        <v>854</v>
      </c>
      <c r="J126" s="394">
        <v>820</v>
      </c>
      <c r="K126" s="394" t="s">
        <v>871</v>
      </c>
      <c r="L126" s="394" t="s">
        <v>875</v>
      </c>
      <c r="M126" s="394" t="s">
        <v>880</v>
      </c>
      <c r="N126" s="394" t="s">
        <v>861</v>
      </c>
      <c r="O126" s="394" t="s">
        <v>863</v>
      </c>
    </row>
    <row r="128" spans="1:15" s="395" customFormat="1" ht="15">
      <c r="A128" s="1" t="s">
        <v>839</v>
      </c>
      <c r="B128" s="1"/>
      <c r="C128" s="1"/>
      <c r="D128" s="1"/>
      <c r="E128" s="1"/>
      <c r="F128" s="1"/>
      <c r="G128" s="1"/>
      <c r="H128" s="1"/>
      <c r="I128" s="1"/>
    </row>
    <row r="129" spans="1:9">
      <c r="A129" s="211" t="s">
        <v>866</v>
      </c>
      <c r="B129" s="2"/>
      <c r="C129" s="2"/>
      <c r="D129" s="2"/>
      <c r="E129" s="2"/>
      <c r="F129" s="2"/>
      <c r="G129" s="2"/>
      <c r="H129" s="2"/>
      <c r="I129" s="2"/>
    </row>
    <row r="130" spans="1:9">
      <c r="A130" s="2" t="s">
        <v>840</v>
      </c>
      <c r="B130" s="2"/>
      <c r="C130" s="2"/>
      <c r="D130" s="2"/>
      <c r="E130" s="2"/>
      <c r="F130" s="2"/>
      <c r="G130" s="2"/>
      <c r="H130" s="2"/>
      <c r="I130" s="2"/>
    </row>
    <row r="131" spans="1:9">
      <c r="A131" s="2" t="s">
        <v>867</v>
      </c>
      <c r="B131" s="2"/>
      <c r="C131" s="2"/>
      <c r="D131" s="2"/>
      <c r="E131" s="2"/>
      <c r="F131" s="2"/>
      <c r="G131" s="2"/>
      <c r="H131" s="2"/>
      <c r="I131" s="2"/>
    </row>
    <row r="132" spans="1:9">
      <c r="A132" s="2" t="s">
        <v>868</v>
      </c>
      <c r="B132" s="2"/>
      <c r="C132" s="2"/>
      <c r="D132" s="2"/>
      <c r="E132" s="2"/>
      <c r="F132" s="2"/>
      <c r="G132" s="2"/>
      <c r="H132" s="2"/>
      <c r="I132" s="2"/>
    </row>
    <row r="133" spans="1:9">
      <c r="A133" s="2" t="s">
        <v>869</v>
      </c>
      <c r="B133" s="2"/>
      <c r="C133" s="2"/>
      <c r="D133" s="2"/>
      <c r="E133" s="2"/>
      <c r="F133" s="2"/>
      <c r="G133" s="2"/>
      <c r="H133" s="2"/>
      <c r="I133" s="2"/>
    </row>
    <row r="134" spans="1:9">
      <c r="A134" s="2" t="s">
        <v>872</v>
      </c>
      <c r="B134" s="2"/>
      <c r="C134" s="2"/>
      <c r="D134" s="2"/>
      <c r="E134" s="2"/>
      <c r="F134" s="2"/>
      <c r="G134" s="2"/>
      <c r="H134" s="2"/>
      <c r="I134" s="2"/>
    </row>
    <row r="135" spans="1:9">
      <c r="A135" s="2" t="s">
        <v>873</v>
      </c>
      <c r="B135" s="2"/>
      <c r="C135" s="2"/>
      <c r="D135" s="2"/>
      <c r="E135" s="2"/>
      <c r="F135" s="2"/>
      <c r="G135" s="2"/>
      <c r="H135" s="2"/>
      <c r="I135" s="2"/>
    </row>
    <row r="136" spans="1:9">
      <c r="A136" s="2" t="s">
        <v>878</v>
      </c>
      <c r="B136" s="2"/>
      <c r="C136" s="2"/>
      <c r="D136" s="2"/>
      <c r="E136" s="2"/>
      <c r="F136" s="2"/>
      <c r="G136" s="2"/>
      <c r="H136" s="2"/>
      <c r="I136" s="2"/>
    </row>
    <row r="137" spans="1:9">
      <c r="A137" s="2" t="s">
        <v>877</v>
      </c>
      <c r="B137" s="2"/>
      <c r="C137" s="2"/>
      <c r="D137" s="2"/>
      <c r="E137" s="2"/>
      <c r="F137" s="2"/>
      <c r="G137" s="2"/>
      <c r="H137" s="2"/>
      <c r="I137" s="2"/>
    </row>
    <row r="138" spans="1:9">
      <c r="A138" s="2" t="s">
        <v>876</v>
      </c>
      <c r="B138" s="2"/>
      <c r="C138" s="2"/>
      <c r="D138" s="2"/>
      <c r="E138" s="2"/>
      <c r="F138" s="2"/>
      <c r="G138" s="2"/>
      <c r="H138" s="2"/>
      <c r="I138" s="2"/>
    </row>
    <row r="139" spans="1:9">
      <c r="A139" s="2" t="s">
        <v>881</v>
      </c>
      <c r="B139" s="2"/>
      <c r="C139" s="2"/>
      <c r="D139" s="2"/>
      <c r="E139" s="2"/>
      <c r="F139" s="2"/>
      <c r="G139" s="2"/>
      <c r="H139" s="2"/>
      <c r="I139" s="2"/>
    </row>
    <row r="140" spans="1:9">
      <c r="A140" s="2" t="s">
        <v>882</v>
      </c>
      <c r="B140" s="2"/>
      <c r="C140" s="2"/>
      <c r="D140" s="2"/>
      <c r="E140" s="2"/>
      <c r="F140" s="2"/>
      <c r="G140" s="2"/>
      <c r="H140" s="2"/>
      <c r="I140" s="2"/>
    </row>
    <row r="141" spans="1:9">
      <c r="A141" s="2" t="s">
        <v>883</v>
      </c>
      <c r="B141" s="2"/>
      <c r="C141" s="2"/>
      <c r="D141" s="2"/>
      <c r="E141" s="2"/>
      <c r="F141" s="2"/>
      <c r="G141" s="2"/>
      <c r="H141" s="2"/>
      <c r="I141" s="2"/>
    </row>
    <row r="142" spans="1:9">
      <c r="A142" s="2" t="s">
        <v>884</v>
      </c>
      <c r="B142" s="2"/>
      <c r="C142" s="2"/>
      <c r="D142" s="2"/>
      <c r="E142" s="2"/>
      <c r="F142" s="2"/>
      <c r="G142" s="2"/>
      <c r="H142" s="2"/>
      <c r="I142" s="2"/>
    </row>
    <row r="143" spans="1:9">
      <c r="A143" s="2" t="s">
        <v>885</v>
      </c>
      <c r="B143" s="2"/>
      <c r="C143" s="2"/>
      <c r="D143" s="2"/>
      <c r="E143" s="2"/>
      <c r="F143" s="2"/>
      <c r="G143" s="2"/>
      <c r="H143" s="2"/>
      <c r="I143" s="2"/>
    </row>
    <row r="144" spans="1:9">
      <c r="A144" s="2" t="s">
        <v>886</v>
      </c>
      <c r="B144" s="2"/>
      <c r="C144" s="2"/>
      <c r="D144" s="2"/>
      <c r="E144" s="2"/>
      <c r="F144" s="2"/>
      <c r="G144" s="2"/>
      <c r="H144" s="2"/>
      <c r="I144" s="2"/>
    </row>
    <row r="145" spans="1:9">
      <c r="A145" s="2" t="s">
        <v>887</v>
      </c>
      <c r="B145" s="2"/>
      <c r="C145" s="2"/>
      <c r="D145" s="2"/>
      <c r="E145" s="2"/>
      <c r="F145" s="2"/>
      <c r="G145" s="2"/>
      <c r="H145" s="2"/>
      <c r="I145" s="2"/>
    </row>
    <row r="146" spans="1:9">
      <c r="A146" s="2" t="s">
        <v>888</v>
      </c>
      <c r="B146" s="2"/>
      <c r="C146" s="2"/>
      <c r="D146" s="2"/>
      <c r="E146" s="2"/>
      <c r="F146" s="2"/>
      <c r="G146" s="2"/>
      <c r="H146" s="2"/>
      <c r="I146" s="2"/>
    </row>
    <row r="147" spans="1:9">
      <c r="A147" s="2" t="s">
        <v>889</v>
      </c>
      <c r="B147" s="2"/>
      <c r="C147" s="2"/>
      <c r="D147" s="2"/>
      <c r="E147" s="2"/>
      <c r="F147" s="2"/>
      <c r="G147" s="2"/>
      <c r="H147" s="2"/>
      <c r="I147" s="2"/>
    </row>
    <row r="148" spans="1:9">
      <c r="A148" s="2" t="s">
        <v>890</v>
      </c>
      <c r="B148" s="2"/>
      <c r="C148" s="2"/>
      <c r="D148" s="2"/>
      <c r="E148" s="2"/>
      <c r="F148" s="2"/>
      <c r="G148" s="2"/>
      <c r="H148" s="2"/>
      <c r="I148" s="2"/>
    </row>
    <row r="149" spans="1:9">
      <c r="A149" s="2" t="s">
        <v>891</v>
      </c>
      <c r="B149" s="2"/>
      <c r="C149" s="2"/>
      <c r="D149" s="2"/>
      <c r="E149" s="2"/>
      <c r="F149" s="2"/>
      <c r="G149" s="2"/>
      <c r="H149" s="2"/>
      <c r="I149" s="2"/>
    </row>
    <row r="150" spans="1:9">
      <c r="A150" s="2" t="s">
        <v>892</v>
      </c>
      <c r="B150" s="2"/>
      <c r="C150" s="2"/>
      <c r="D150" s="2"/>
      <c r="E150" s="2"/>
      <c r="F150" s="2"/>
      <c r="G150" s="2"/>
      <c r="H150" s="2"/>
      <c r="I150" s="2"/>
    </row>
    <row r="151" spans="1:9">
      <c r="A151" s="2" t="s">
        <v>893</v>
      </c>
      <c r="B151" s="2"/>
      <c r="C151" s="2"/>
      <c r="D151" s="2"/>
      <c r="E151" s="2"/>
      <c r="F151" s="2"/>
      <c r="G151" s="2"/>
      <c r="H151" s="2"/>
      <c r="I151" s="2"/>
    </row>
    <row r="152" spans="1:9">
      <c r="A152" s="2" t="s">
        <v>894</v>
      </c>
      <c r="B152" s="2"/>
      <c r="C152" s="2"/>
      <c r="D152" s="2"/>
      <c r="E152" s="2"/>
      <c r="F152" s="2"/>
      <c r="G152" s="2"/>
      <c r="H152" s="2"/>
      <c r="I152" s="2"/>
    </row>
    <row r="153" spans="1:9">
      <c r="A153" s="2" t="s">
        <v>895</v>
      </c>
      <c r="B153" s="2"/>
      <c r="C153" s="2"/>
      <c r="D153" s="2"/>
      <c r="E153" s="2"/>
      <c r="F153" s="2"/>
      <c r="G153" s="2"/>
      <c r="H153" s="2"/>
      <c r="I153" s="2"/>
    </row>
    <row r="154" spans="1:9">
      <c r="A154" s="2"/>
      <c r="B154" s="2"/>
      <c r="C154" s="2"/>
      <c r="D154" s="2"/>
      <c r="E154" s="2"/>
      <c r="F154" s="2"/>
      <c r="G154" s="2"/>
      <c r="H154" s="2"/>
      <c r="I154" s="2"/>
    </row>
    <row r="155" spans="1:9" s="395" customFormat="1" ht="15">
      <c r="A155" s="1" t="s">
        <v>841</v>
      </c>
      <c r="B155" s="1"/>
      <c r="C155" s="1"/>
      <c r="D155" s="1"/>
      <c r="E155" s="1"/>
      <c r="F155" s="1"/>
      <c r="G155" s="1"/>
      <c r="H155" s="1"/>
      <c r="I155" s="1"/>
    </row>
    <row r="156" spans="1:9">
      <c r="A156" s="943" t="s">
        <v>842</v>
      </c>
      <c r="B156" s="943"/>
      <c r="C156" s="99">
        <v>2000</v>
      </c>
      <c r="D156" s="389">
        <v>4</v>
      </c>
      <c r="E156" s="390">
        <v>8000</v>
      </c>
      <c r="F156" s="2"/>
      <c r="G156" s="2"/>
      <c r="H156" s="2"/>
      <c r="I156" s="2"/>
    </row>
    <row r="157" spans="1:9">
      <c r="A157" s="1085" t="s">
        <v>843</v>
      </c>
      <c r="B157" s="1085"/>
      <c r="C157" s="99">
        <v>30000</v>
      </c>
      <c r="D157" s="389">
        <v>4.2</v>
      </c>
      <c r="E157" s="390">
        <f>C157*D157</f>
        <v>126000</v>
      </c>
      <c r="F157" s="2"/>
      <c r="G157" s="2"/>
      <c r="H157" s="2"/>
      <c r="I157" s="2"/>
    </row>
    <row r="158" spans="1:9">
      <c r="A158" s="1085" t="s">
        <v>844</v>
      </c>
      <c r="B158" s="1085"/>
      <c r="C158" s="99">
        <v>9600</v>
      </c>
      <c r="D158" s="389">
        <v>4.2</v>
      </c>
      <c r="E158" s="390">
        <f>C158*D158</f>
        <v>40320</v>
      </c>
      <c r="F158" s="2"/>
      <c r="G158" s="2"/>
      <c r="H158" s="2"/>
      <c r="I158" s="2"/>
    </row>
    <row r="159" spans="1:9" ht="27" customHeight="1">
      <c r="A159" s="1084" t="s">
        <v>845</v>
      </c>
      <c r="B159" s="1084"/>
      <c r="C159" s="396">
        <f>C156+C157-C158</f>
        <v>22400</v>
      </c>
      <c r="D159" s="210" t="s">
        <v>896</v>
      </c>
      <c r="E159" s="391">
        <f>E156+E157-E158</f>
        <v>93680</v>
      </c>
      <c r="F159" s="2"/>
      <c r="G159" s="2"/>
      <c r="H159" s="2"/>
      <c r="I159" s="2"/>
    </row>
    <row r="160" spans="1:9">
      <c r="A160" s="2"/>
      <c r="B160" s="2"/>
      <c r="C160" s="2"/>
      <c r="D160" s="2"/>
      <c r="E160" s="2"/>
      <c r="F160" s="2"/>
      <c r="G160" s="2"/>
      <c r="H160" s="2"/>
      <c r="I160" s="2"/>
    </row>
    <row r="161" spans="1:9">
      <c r="A161" s="2" t="s">
        <v>897</v>
      </c>
      <c r="B161" s="2"/>
      <c r="C161" s="2"/>
      <c r="D161" s="2"/>
      <c r="E161" s="2"/>
      <c r="F161" s="2"/>
      <c r="G161" s="2"/>
      <c r="H161" s="2"/>
      <c r="I161" s="2"/>
    </row>
    <row r="162" spans="1:9">
      <c r="A162" s="2" t="s">
        <v>898</v>
      </c>
      <c r="B162" s="2"/>
      <c r="C162" s="2"/>
      <c r="D162" s="2"/>
      <c r="E162" s="2"/>
      <c r="F162" s="2"/>
      <c r="G162" s="2"/>
      <c r="H162" s="2"/>
      <c r="I162" s="2"/>
    </row>
    <row r="163" spans="1:9">
      <c r="A163" s="2" t="s">
        <v>899</v>
      </c>
      <c r="B163" s="2"/>
      <c r="C163" s="2"/>
      <c r="D163" s="2"/>
      <c r="E163" s="2"/>
      <c r="F163" s="2"/>
      <c r="G163" s="2"/>
      <c r="H163" s="2"/>
      <c r="I163" s="2"/>
    </row>
    <row r="164" spans="1:9">
      <c r="A164" s="2"/>
      <c r="B164" s="2"/>
      <c r="C164" s="2"/>
      <c r="D164" s="2"/>
      <c r="E164" s="2"/>
      <c r="F164" s="2"/>
      <c r="G164" s="2"/>
      <c r="H164" s="2"/>
      <c r="I164" s="2"/>
    </row>
    <row r="165" spans="1:9">
      <c r="A165" s="1" t="s">
        <v>864</v>
      </c>
      <c r="B165" s="2"/>
      <c r="C165" s="2"/>
      <c r="D165" s="2"/>
      <c r="E165" s="2"/>
      <c r="F165" s="2"/>
      <c r="G165" s="2"/>
      <c r="H165" s="2"/>
      <c r="I165" s="2"/>
    </row>
    <row r="166" spans="1:9">
      <c r="A166" s="2" t="s">
        <v>809</v>
      </c>
      <c r="B166" s="2" t="s">
        <v>900</v>
      </c>
      <c r="D166" s="359">
        <v>31200</v>
      </c>
      <c r="E166" s="2"/>
      <c r="F166" s="2"/>
      <c r="G166" s="2"/>
      <c r="H166" s="2"/>
      <c r="I166" s="2"/>
    </row>
    <row r="167" spans="1:9">
      <c r="A167" s="2"/>
      <c r="B167" s="2" t="s">
        <v>901</v>
      </c>
      <c r="D167" s="392">
        <v>77690.34</v>
      </c>
      <c r="E167" s="2"/>
      <c r="F167" s="2"/>
      <c r="G167" s="2"/>
      <c r="H167" s="2"/>
      <c r="I167" s="2"/>
    </row>
    <row r="168" spans="1:9">
      <c r="A168" s="2"/>
      <c r="B168" s="2"/>
      <c r="D168" s="393">
        <v>108890.34</v>
      </c>
      <c r="E168" s="2"/>
      <c r="F168" s="2"/>
      <c r="G168" s="2"/>
      <c r="H168" s="2"/>
      <c r="I168" s="2"/>
    </row>
    <row r="169" spans="1:9">
      <c r="A169" s="2"/>
      <c r="B169" s="2"/>
      <c r="C169" s="359"/>
      <c r="D169" s="2"/>
      <c r="E169" s="2"/>
      <c r="F169" s="2"/>
      <c r="G169" s="2"/>
      <c r="H169" s="2"/>
      <c r="I169" s="2"/>
    </row>
    <row r="170" spans="1:9">
      <c r="A170" s="2" t="s">
        <v>846</v>
      </c>
      <c r="B170" s="2" t="s">
        <v>902</v>
      </c>
      <c r="D170" s="359">
        <v>19680</v>
      </c>
      <c r="E170" s="2"/>
      <c r="F170" s="2"/>
      <c r="G170" s="2"/>
      <c r="H170" s="2"/>
      <c r="I170" s="2"/>
    </row>
    <row r="171" spans="1:9">
      <c r="A171" s="2"/>
      <c r="B171" s="2" t="s">
        <v>903</v>
      </c>
      <c r="D171" s="392">
        <v>67640</v>
      </c>
      <c r="E171" s="2"/>
      <c r="F171" s="2"/>
      <c r="G171" s="2"/>
      <c r="H171" s="2"/>
      <c r="I171" s="2"/>
    </row>
    <row r="172" spans="1:9">
      <c r="A172" s="2"/>
      <c r="B172" s="2"/>
      <c r="D172" s="393">
        <v>87320</v>
      </c>
      <c r="E172" s="2"/>
      <c r="F172" s="2"/>
      <c r="G172" s="2"/>
      <c r="H172" s="2"/>
      <c r="I172" s="2"/>
    </row>
    <row r="173" spans="1:9">
      <c r="A173" s="2"/>
      <c r="B173" s="2"/>
      <c r="C173" s="359"/>
      <c r="D173" s="2"/>
      <c r="E173" s="2"/>
      <c r="F173" s="2"/>
      <c r="G173" s="2"/>
      <c r="H173" s="2"/>
      <c r="I173" s="2"/>
    </row>
    <row r="174" spans="1:9">
      <c r="A174" s="2" t="s">
        <v>685</v>
      </c>
      <c r="B174" s="2" t="s">
        <v>905</v>
      </c>
      <c r="D174" s="359">
        <v>15600</v>
      </c>
      <c r="E174" s="2"/>
      <c r="F174" s="2"/>
      <c r="G174" s="2"/>
      <c r="H174" s="2"/>
      <c r="I174" s="2"/>
    </row>
    <row r="175" spans="1:9">
      <c r="A175" s="2"/>
      <c r="B175" s="2" t="s">
        <v>904</v>
      </c>
      <c r="D175" s="359">
        <v>62164.87</v>
      </c>
      <c r="E175" s="2"/>
      <c r="F175" s="2"/>
      <c r="G175" s="2"/>
      <c r="H175" s="2"/>
      <c r="I175" s="2"/>
    </row>
    <row r="176" spans="1:9">
      <c r="A176" s="2"/>
      <c r="B176" s="2"/>
      <c r="D176" s="392">
        <v>77764.87</v>
      </c>
      <c r="E176" s="2"/>
      <c r="F176" s="2"/>
      <c r="G176" s="2"/>
      <c r="H176" s="2"/>
      <c r="I176" s="2"/>
    </row>
    <row r="177" spans="1:9">
      <c r="A177" s="2"/>
      <c r="B177" s="2"/>
      <c r="D177" s="393">
        <v>273975.21000000002</v>
      </c>
      <c r="E177" s="2"/>
      <c r="F177" s="2"/>
      <c r="G177" s="2"/>
      <c r="H177" s="2"/>
      <c r="I177" s="2"/>
    </row>
    <row r="178" spans="1:9">
      <c r="A178" s="1" t="s">
        <v>2315</v>
      </c>
    </row>
    <row r="179" spans="1:9">
      <c r="A179" s="2" t="s">
        <v>2316</v>
      </c>
    </row>
    <row r="180" spans="1:9">
      <c r="A180" s="2"/>
      <c r="E180" s="149" t="s">
        <v>1381</v>
      </c>
    </row>
    <row r="181" spans="1:9">
      <c r="A181" s="309" t="s">
        <v>543</v>
      </c>
      <c r="B181" s="879">
        <f>0.25*B184</f>
        <v>13433</v>
      </c>
      <c r="C181" s="325">
        <v>2.5</v>
      </c>
      <c r="D181" s="892">
        <f>B181*C181</f>
        <v>33582.5</v>
      </c>
      <c r="E181" s="2" t="s">
        <v>2322</v>
      </c>
    </row>
    <row r="182" spans="1:9">
      <c r="A182" s="311" t="s">
        <v>544</v>
      </c>
      <c r="B182" s="879">
        <f>B184-B183-B181</f>
        <v>55299</v>
      </c>
      <c r="C182" s="325">
        <f>C181*1.08</f>
        <v>2.7</v>
      </c>
      <c r="D182" s="892">
        <f>B182*C182</f>
        <v>149307.30000000002</v>
      </c>
      <c r="E182" s="2" t="s">
        <v>2317</v>
      </c>
    </row>
    <row r="183" spans="1:9">
      <c r="A183" s="311" t="s">
        <v>545</v>
      </c>
      <c r="B183" s="879">
        <f>-0.25*30000*2</f>
        <v>-15000</v>
      </c>
      <c r="C183" s="891">
        <v>2.7</v>
      </c>
      <c r="D183" s="892">
        <f>B183*C183</f>
        <v>-40500</v>
      </c>
      <c r="E183" s="2" t="s">
        <v>2318</v>
      </c>
    </row>
    <row r="184" spans="1:9" ht="12" customHeight="1">
      <c r="A184" s="1016" t="s">
        <v>53</v>
      </c>
      <c r="B184" s="999">
        <v>53732</v>
      </c>
      <c r="C184" s="890" t="s">
        <v>2320</v>
      </c>
      <c r="D184" s="1067">
        <f>13433*2.5+(53732-13433)*2.7</f>
        <v>142389.79999999999</v>
      </c>
      <c r="E184" s="1063" t="s">
        <v>2319</v>
      </c>
      <c r="F184" s="1064"/>
      <c r="G184" s="1064"/>
      <c r="H184" s="1064"/>
    </row>
    <row r="185" spans="1:9" ht="12" customHeight="1" thickBot="1">
      <c r="A185" s="1065"/>
      <c r="B185" s="1066"/>
      <c r="C185" s="314" t="s">
        <v>2321</v>
      </c>
      <c r="D185" s="1068"/>
      <c r="E185" s="1063"/>
      <c r="F185" s="1064"/>
      <c r="G185" s="1064"/>
      <c r="H185" s="1064"/>
    </row>
    <row r="186" spans="1:9" ht="15" thickTop="1">
      <c r="A186" s="1"/>
    </row>
    <row r="187" spans="1:9">
      <c r="A187" s="2" t="s">
        <v>2323</v>
      </c>
    </row>
    <row r="188" spans="1:9">
      <c r="A188" s="2" t="s">
        <v>2324</v>
      </c>
    </row>
    <row r="189" spans="1:9">
      <c r="A189" s="2" t="s">
        <v>2325</v>
      </c>
    </row>
    <row r="190" spans="1:9">
      <c r="A190" s="85" t="s">
        <v>2326</v>
      </c>
      <c r="B190" s="369"/>
    </row>
    <row r="191" spans="1:9">
      <c r="A191" s="1"/>
    </row>
    <row r="192" spans="1:9">
      <c r="A192" s="2" t="s">
        <v>2327</v>
      </c>
    </row>
    <row r="193" spans="1:15">
      <c r="A193" s="1053" t="s">
        <v>794</v>
      </c>
      <c r="B193" s="1053" t="s">
        <v>828</v>
      </c>
      <c r="C193" s="1052" t="s">
        <v>796</v>
      </c>
      <c r="D193" s="1052"/>
      <c r="E193" s="1052"/>
      <c r="F193" s="1052" t="s">
        <v>797</v>
      </c>
      <c r="G193" s="1052"/>
      <c r="H193" s="1052"/>
      <c r="I193" s="1053" t="s">
        <v>798</v>
      </c>
      <c r="J193" s="1052" t="s">
        <v>799</v>
      </c>
      <c r="K193" s="1052"/>
      <c r="L193" s="1052"/>
      <c r="M193" s="1052"/>
      <c r="N193" s="1053" t="s">
        <v>800</v>
      </c>
      <c r="O193" s="1053" t="s">
        <v>801</v>
      </c>
    </row>
    <row r="194" spans="1:15">
      <c r="A194" s="1053"/>
      <c r="B194" s="1053"/>
      <c r="C194" s="880" t="s">
        <v>802</v>
      </c>
      <c r="D194" s="880" t="s">
        <v>803</v>
      </c>
      <c r="E194" s="880" t="s">
        <v>804</v>
      </c>
      <c r="F194" s="880" t="s">
        <v>802</v>
      </c>
      <c r="G194" s="880" t="s">
        <v>803</v>
      </c>
      <c r="H194" s="880" t="s">
        <v>804</v>
      </c>
      <c r="I194" s="1053"/>
      <c r="J194" s="880" t="s">
        <v>837</v>
      </c>
      <c r="K194" s="880" t="s">
        <v>806</v>
      </c>
      <c r="L194" s="880" t="s">
        <v>807</v>
      </c>
      <c r="M194" s="880" t="s">
        <v>808</v>
      </c>
      <c r="N194" s="1053"/>
      <c r="O194" s="1053"/>
    </row>
    <row r="195" spans="1:15">
      <c r="A195" s="875" t="s">
        <v>809</v>
      </c>
      <c r="B195" s="277">
        <v>22000</v>
      </c>
      <c r="C195" s="277">
        <f>E195/(D195/100)</f>
        <v>10000</v>
      </c>
      <c r="D195" s="277">
        <v>80</v>
      </c>
      <c r="E195" s="277">
        <v>8000</v>
      </c>
      <c r="F195" s="277">
        <v>10000</v>
      </c>
      <c r="G195" s="277">
        <v>60</v>
      </c>
      <c r="H195" s="277">
        <f>F195*(G195/100)</f>
        <v>6000</v>
      </c>
      <c r="I195" s="277" t="s">
        <v>2329</v>
      </c>
      <c r="J195" s="277" t="s">
        <v>2331</v>
      </c>
      <c r="K195" s="277" t="s">
        <v>2333</v>
      </c>
      <c r="L195" s="277" t="s">
        <v>2335</v>
      </c>
      <c r="M195" s="277" t="s">
        <v>2337</v>
      </c>
      <c r="N195" s="277" t="s">
        <v>2339</v>
      </c>
      <c r="O195" s="277">
        <v>26866</v>
      </c>
    </row>
    <row r="196" spans="1:15">
      <c r="A196" s="1"/>
    </row>
    <row r="197" spans="1:15">
      <c r="A197" s="2" t="s">
        <v>2328</v>
      </c>
    </row>
    <row r="198" spans="1:15">
      <c r="A198" s="2" t="s">
        <v>2330</v>
      </c>
    </row>
    <row r="199" spans="1:15">
      <c r="A199" s="2" t="s">
        <v>2332</v>
      </c>
    </row>
    <row r="200" spans="1:15">
      <c r="A200" s="2" t="s">
        <v>2334</v>
      </c>
    </row>
    <row r="201" spans="1:15">
      <c r="A201" s="2" t="s">
        <v>2336</v>
      </c>
    </row>
    <row r="202" spans="1:15">
      <c r="A202" s="2" t="s">
        <v>2338</v>
      </c>
    </row>
    <row r="203" spans="1:15">
      <c r="A203" s="2"/>
    </row>
    <row r="204" spans="1:15">
      <c r="A204" s="2" t="s">
        <v>2340</v>
      </c>
    </row>
    <row r="205" spans="1:15">
      <c r="A205" s="2" t="s">
        <v>2342</v>
      </c>
    </row>
    <row r="206" spans="1:15">
      <c r="A206" s="2" t="s">
        <v>2341</v>
      </c>
    </row>
    <row r="207" spans="1:15">
      <c r="A207" s="2"/>
    </row>
    <row r="208" spans="1:15">
      <c r="A208" s="2" t="s">
        <v>2343</v>
      </c>
    </row>
    <row r="209" spans="1:3">
      <c r="A209" s="875" t="s">
        <v>2344</v>
      </c>
      <c r="B209" s="875" t="s">
        <v>1980</v>
      </c>
      <c r="C209" s="875" t="s">
        <v>90</v>
      </c>
    </row>
    <row r="210" spans="1:3">
      <c r="A210" s="875">
        <v>2600</v>
      </c>
      <c r="B210" s="173">
        <v>5.3529999999999998</v>
      </c>
      <c r="C210" s="347">
        <f>A210*B210</f>
        <v>13917.8</v>
      </c>
    </row>
    <row r="211" spans="1:3">
      <c r="A211" s="2"/>
    </row>
    <row r="212" spans="1:3">
      <c r="A212" s="2" t="s">
        <v>2345</v>
      </c>
    </row>
    <row r="213" spans="1:3">
      <c r="A213" s="875" t="s">
        <v>828</v>
      </c>
      <c r="B213" s="875" t="s">
        <v>1980</v>
      </c>
      <c r="C213" s="875" t="s">
        <v>90</v>
      </c>
    </row>
    <row r="214" spans="1:3">
      <c r="A214" s="346">
        <v>6000</v>
      </c>
      <c r="B214" s="347">
        <v>5</v>
      </c>
      <c r="C214" s="346">
        <f>A214*B214</f>
        <v>30000</v>
      </c>
    </row>
    <row r="215" spans="1:3">
      <c r="A215" s="346">
        <v>16000</v>
      </c>
      <c r="B215" s="360">
        <v>5.3529999999999998</v>
      </c>
      <c r="C215" s="346">
        <f>A215*B215</f>
        <v>85648</v>
      </c>
    </row>
    <row r="216" spans="1:3">
      <c r="A216" s="346">
        <v>22000</v>
      </c>
      <c r="B216" s="347">
        <f>C216/A216</f>
        <v>5.2567272727272725</v>
      </c>
      <c r="C216" s="346">
        <f>C214+C215</f>
        <v>115648</v>
      </c>
    </row>
    <row r="217" spans="1:3">
      <c r="A217" s="2"/>
      <c r="B217" s="877" t="s">
        <v>2346</v>
      </c>
    </row>
    <row r="218" spans="1:3">
      <c r="A218" s="1"/>
    </row>
    <row r="219" spans="1:3">
      <c r="A219" s="2" t="s">
        <v>2347</v>
      </c>
    </row>
    <row r="220" spans="1:3">
      <c r="A220" s="875" t="s">
        <v>796</v>
      </c>
      <c r="B220" s="875" t="s">
        <v>1980</v>
      </c>
      <c r="C220" s="875" t="s">
        <v>90</v>
      </c>
    </row>
    <row r="221" spans="1:3">
      <c r="A221" s="346">
        <v>8000</v>
      </c>
      <c r="B221" s="893">
        <v>5.3529999999999998</v>
      </c>
      <c r="C221" s="894">
        <f>A221*B221</f>
        <v>42824</v>
      </c>
    </row>
    <row r="222" spans="1:3">
      <c r="A222" s="1"/>
    </row>
    <row r="223" spans="1:3">
      <c r="A223" s="1" t="s">
        <v>2348</v>
      </c>
    </row>
    <row r="224" spans="1:3">
      <c r="A224" s="2" t="s">
        <v>1059</v>
      </c>
    </row>
    <row r="225" spans="1:17" ht="14.25" customHeight="1">
      <c r="A225" s="1054" t="s">
        <v>906</v>
      </c>
      <c r="B225" s="1055"/>
      <c r="C225" s="1056"/>
    </row>
    <row r="226" spans="1:17" ht="14.25" customHeight="1">
      <c r="A226" s="486" t="s">
        <v>911</v>
      </c>
      <c r="B226" s="486" t="s">
        <v>803</v>
      </c>
      <c r="C226" s="486" t="s">
        <v>907</v>
      </c>
    </row>
    <row r="227" spans="1:17">
      <c r="A227" s="484">
        <v>4000</v>
      </c>
      <c r="B227" s="485">
        <v>60</v>
      </c>
      <c r="C227" s="484" t="s">
        <v>908</v>
      </c>
    </row>
    <row r="229" spans="1:17">
      <c r="A229" s="2" t="s">
        <v>909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</row>
    <row r="230" spans="1:17">
      <c r="A230" s="2" t="s">
        <v>910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</row>
    <row r="231" spans="1:17">
      <c r="A231" s="371" t="s">
        <v>912</v>
      </c>
      <c r="B231" s="356"/>
      <c r="C231" s="35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</row>
    <row r="232" spans="1:17">
      <c r="A232" s="356"/>
      <c r="B232" s="356"/>
      <c r="C232" s="397" t="s">
        <v>913</v>
      </c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</row>
    <row r="233" spans="1:17">
      <c r="A233" s="356"/>
      <c r="B233" s="356"/>
      <c r="C233" s="397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</row>
    <row r="234" spans="1:17">
      <c r="A234" s="2" t="s">
        <v>1060</v>
      </c>
    </row>
    <row r="235" spans="1:17">
      <c r="A235" s="1060" t="s">
        <v>914</v>
      </c>
      <c r="B235" s="1061"/>
      <c r="C235" s="1061"/>
      <c r="D235" s="1062"/>
      <c r="E235" s="488" t="s">
        <v>915</v>
      </c>
      <c r="F235" s="398"/>
    </row>
    <row r="236" spans="1:17" ht="14.25" customHeight="1">
      <c r="A236" s="1057" t="s">
        <v>916</v>
      </c>
      <c r="B236" s="1058"/>
      <c r="C236" s="1058"/>
      <c r="D236" s="1059"/>
      <c r="E236" s="485" t="s">
        <v>917</v>
      </c>
      <c r="F236" s="399"/>
    </row>
    <row r="237" spans="1:17" ht="14.25" customHeight="1">
      <c r="A237" s="487" t="s">
        <v>918</v>
      </c>
      <c r="B237" s="489"/>
      <c r="C237" s="490"/>
      <c r="D237" s="491"/>
      <c r="E237" s="485" t="s">
        <v>919</v>
      </c>
      <c r="F237" s="399"/>
    </row>
    <row r="238" spans="1:17" ht="14.25" customHeight="1">
      <c r="A238" s="487" t="s">
        <v>920</v>
      </c>
      <c r="B238" s="489"/>
      <c r="C238" s="490"/>
      <c r="D238" s="491"/>
      <c r="E238" s="485" t="s">
        <v>921</v>
      </c>
      <c r="F238" s="399"/>
    </row>
    <row r="239" spans="1:17" ht="14.25" customHeight="1">
      <c r="A239" s="487" t="s">
        <v>922</v>
      </c>
      <c r="B239" s="489"/>
      <c r="C239" s="490"/>
      <c r="D239" s="491"/>
      <c r="E239" s="485" t="s">
        <v>923</v>
      </c>
      <c r="F239" s="399"/>
    </row>
    <row r="240" spans="1:17" ht="14.25" customHeight="1">
      <c r="A240" s="487" t="s">
        <v>924</v>
      </c>
      <c r="B240" s="489"/>
      <c r="C240" s="490"/>
      <c r="D240" s="491"/>
      <c r="E240" s="485" t="s">
        <v>925</v>
      </c>
      <c r="F240" s="399"/>
    </row>
    <row r="241" spans="1:7" ht="14.25" customHeight="1">
      <c r="A241" s="492" t="s">
        <v>926</v>
      </c>
      <c r="B241" s="493"/>
      <c r="C241" s="494"/>
      <c r="D241" s="495"/>
      <c r="E241" s="482" t="s">
        <v>927</v>
      </c>
      <c r="F241" s="399"/>
    </row>
    <row r="243" spans="1:7">
      <c r="A243" s="2" t="s">
        <v>1061</v>
      </c>
      <c r="B243" s="2"/>
      <c r="C243" s="2"/>
      <c r="D243" s="2"/>
      <c r="E243" s="2"/>
      <c r="F243" s="204" t="s">
        <v>929</v>
      </c>
      <c r="G243" s="204"/>
    </row>
    <row r="244" spans="1:7">
      <c r="A244" s="286" t="s">
        <v>928</v>
      </c>
    </row>
    <row r="246" spans="1:7">
      <c r="A246" s="2" t="s">
        <v>1062</v>
      </c>
      <c r="F246" s="85" t="s">
        <v>930</v>
      </c>
      <c r="G246" s="369"/>
    </row>
    <row r="247" spans="1:7">
      <c r="A247" s="286" t="s">
        <v>931</v>
      </c>
      <c r="B247" s="2"/>
      <c r="C247" s="2"/>
      <c r="D247" s="2"/>
    </row>
    <row r="248" spans="1:7">
      <c r="A248" s="286" t="s">
        <v>932</v>
      </c>
      <c r="B248" s="2"/>
      <c r="C248" s="2"/>
      <c r="D248" s="2"/>
    </row>
    <row r="250" spans="1:7">
      <c r="A250" s="2" t="s">
        <v>1063</v>
      </c>
      <c r="F250" s="85" t="s">
        <v>933</v>
      </c>
      <c r="G250" s="369"/>
    </row>
    <row r="251" spans="1:7">
      <c r="A251" s="286" t="s">
        <v>934</v>
      </c>
    </row>
    <row r="253" spans="1:7">
      <c r="A253" s="2" t="s">
        <v>1064</v>
      </c>
      <c r="F253" s="400" t="s">
        <v>936</v>
      </c>
      <c r="G253" s="401"/>
    </row>
    <row r="254" spans="1:7">
      <c r="A254" s="2" t="s">
        <v>935</v>
      </c>
    </row>
    <row r="256" spans="1:7">
      <c r="A256" s="2" t="s">
        <v>1065</v>
      </c>
    </row>
    <row r="258" spans="1:15" ht="14.25" customHeight="1">
      <c r="A258" s="883" t="s">
        <v>937</v>
      </c>
      <c r="B258" s="883"/>
      <c r="C258" s="883"/>
    </row>
    <row r="259" spans="1:15">
      <c r="A259" s="486" t="s">
        <v>911</v>
      </c>
      <c r="B259" s="486" t="s">
        <v>803</v>
      </c>
      <c r="C259" s="486" t="s">
        <v>907</v>
      </c>
    </row>
    <row r="260" spans="1:15">
      <c r="A260" s="484">
        <v>2000</v>
      </c>
      <c r="B260" s="485">
        <v>50</v>
      </c>
      <c r="C260" s="484">
        <v>1000</v>
      </c>
    </row>
    <row r="262" spans="1:15">
      <c r="A262" s="2" t="s">
        <v>938</v>
      </c>
      <c r="B262" s="2"/>
      <c r="C262" s="2"/>
      <c r="D262" s="2"/>
      <c r="E262" s="2"/>
      <c r="F262" s="2"/>
      <c r="G262" s="2"/>
      <c r="H262" s="2"/>
      <c r="I262" s="2"/>
    </row>
    <row r="263" spans="1:15">
      <c r="A263" s="2" t="s">
        <v>939</v>
      </c>
      <c r="B263" s="2"/>
      <c r="C263" s="2"/>
      <c r="D263" s="2"/>
      <c r="E263" s="2"/>
      <c r="F263" s="2"/>
      <c r="G263" s="2"/>
      <c r="H263" s="2"/>
      <c r="I263" s="2"/>
    </row>
    <row r="264" spans="1:15">
      <c r="A264" s="2" t="s">
        <v>940</v>
      </c>
      <c r="B264" s="2"/>
      <c r="C264" s="2"/>
      <c r="D264" s="2"/>
      <c r="E264" s="2"/>
      <c r="F264" s="2"/>
      <c r="G264" s="2"/>
      <c r="H264" s="2"/>
      <c r="I264" s="2"/>
    </row>
    <row r="266" spans="1:15">
      <c r="A266" s="2" t="s">
        <v>1066</v>
      </c>
      <c r="F266" s="400" t="s">
        <v>942</v>
      </c>
      <c r="G266" s="369"/>
    </row>
    <row r="268" spans="1:15">
      <c r="A268" s="286" t="s">
        <v>941</v>
      </c>
    </row>
    <row r="270" spans="1:15">
      <c r="A270" s="2" t="s">
        <v>1067</v>
      </c>
    </row>
    <row r="271" spans="1:15">
      <c r="A271" s="2"/>
    </row>
    <row r="272" spans="1:15">
      <c r="A272" s="1053" t="s">
        <v>794</v>
      </c>
      <c r="B272" s="1053" t="s">
        <v>828</v>
      </c>
      <c r="C272" s="1052" t="s">
        <v>796</v>
      </c>
      <c r="D272" s="1052"/>
      <c r="E272" s="1052"/>
      <c r="F272" s="1052" t="s">
        <v>797</v>
      </c>
      <c r="G272" s="1052"/>
      <c r="H272" s="1052"/>
      <c r="I272" s="1053" t="s">
        <v>798</v>
      </c>
      <c r="J272" s="1052" t="s">
        <v>799</v>
      </c>
      <c r="K272" s="1052"/>
      <c r="L272" s="1052"/>
      <c r="M272" s="1052"/>
      <c r="N272" s="1053" t="s">
        <v>800</v>
      </c>
      <c r="O272" s="1053" t="s">
        <v>801</v>
      </c>
    </row>
    <row r="273" spans="1:15">
      <c r="A273" s="1053"/>
      <c r="B273" s="1053"/>
      <c r="C273" s="480" t="s">
        <v>802</v>
      </c>
      <c r="D273" s="480" t="s">
        <v>803</v>
      </c>
      <c r="E273" s="480" t="s">
        <v>804</v>
      </c>
      <c r="F273" s="480" t="s">
        <v>802</v>
      </c>
      <c r="G273" s="480" t="s">
        <v>803</v>
      </c>
      <c r="H273" s="480" t="s">
        <v>804</v>
      </c>
      <c r="I273" s="1053"/>
      <c r="J273" s="480" t="s">
        <v>837</v>
      </c>
      <c r="K273" s="480" t="s">
        <v>806</v>
      </c>
      <c r="L273" s="480" t="s">
        <v>807</v>
      </c>
      <c r="M273" s="480" t="s">
        <v>808</v>
      </c>
      <c r="N273" s="1053"/>
      <c r="O273" s="1053"/>
    </row>
    <row r="274" spans="1:15">
      <c r="A274" s="496" t="s">
        <v>681</v>
      </c>
      <c r="B274" s="497">
        <v>10000</v>
      </c>
      <c r="C274" s="497">
        <v>4000</v>
      </c>
      <c r="D274" s="497">
        <v>60</v>
      </c>
      <c r="E274" s="497">
        <v>2400</v>
      </c>
      <c r="F274" s="497">
        <v>2000</v>
      </c>
      <c r="G274" s="497">
        <v>50</v>
      </c>
      <c r="H274" s="497">
        <v>1000</v>
      </c>
      <c r="I274" s="497">
        <v>8600</v>
      </c>
      <c r="J274" s="497">
        <v>820</v>
      </c>
      <c r="K274" s="497">
        <v>688</v>
      </c>
      <c r="L274" s="497">
        <v>132</v>
      </c>
      <c r="M274" s="497">
        <v>122</v>
      </c>
      <c r="N274" s="497">
        <v>8722</v>
      </c>
      <c r="O274" s="497">
        <v>9420</v>
      </c>
    </row>
    <row r="276" spans="1:15">
      <c r="A276" s="286" t="s">
        <v>1068</v>
      </c>
    </row>
    <row r="277" spans="1:15">
      <c r="A277" s="2" t="s">
        <v>943</v>
      </c>
      <c r="B277" s="2"/>
      <c r="C277" s="2"/>
      <c r="D277" s="2"/>
      <c r="E277" s="2"/>
      <c r="F277" s="2"/>
      <c r="G277" s="2"/>
      <c r="H277" s="2"/>
      <c r="I277" s="2"/>
      <c r="J277" s="2"/>
    </row>
    <row r="278" spans="1:15">
      <c r="A278" s="2" t="s">
        <v>944</v>
      </c>
      <c r="B278" s="2"/>
      <c r="C278" s="2"/>
      <c r="D278" s="2"/>
      <c r="E278" s="2"/>
      <c r="F278" s="2"/>
      <c r="G278" s="2"/>
      <c r="H278" s="2"/>
      <c r="I278" s="2"/>
      <c r="J278" s="2"/>
    </row>
    <row r="279" spans="1:15">
      <c r="A279" s="2" t="s">
        <v>945</v>
      </c>
      <c r="B279" s="2"/>
      <c r="C279" s="2"/>
      <c r="D279" s="2"/>
      <c r="E279" s="2"/>
      <c r="F279" s="2"/>
      <c r="G279" s="2"/>
      <c r="H279" s="2"/>
      <c r="I279" s="2"/>
      <c r="J279" s="2"/>
    </row>
    <row r="280" spans="1:15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spans="1:15">
      <c r="A281" s="286" t="s">
        <v>1069</v>
      </c>
      <c r="B281" s="356"/>
      <c r="C281" s="356"/>
      <c r="D281" s="286"/>
      <c r="F281" s="402" t="s">
        <v>946</v>
      </c>
      <c r="G281" s="369"/>
    </row>
    <row r="282" spans="1:15">
      <c r="A282" s="286" t="s">
        <v>947</v>
      </c>
    </row>
    <row r="284" spans="1:15">
      <c r="A284" s="286" t="s">
        <v>1070</v>
      </c>
      <c r="F284" s="400" t="s">
        <v>951</v>
      </c>
      <c r="G284" s="407"/>
    </row>
    <row r="285" spans="1:15" ht="15">
      <c r="A285" s="371" t="s">
        <v>948</v>
      </c>
      <c r="B285"/>
      <c r="C285"/>
      <c r="D285"/>
    </row>
    <row r="286" spans="1:15" ht="40.5" customHeight="1">
      <c r="A286" s="1047" t="s">
        <v>949</v>
      </c>
      <c r="B286" s="1048"/>
      <c r="C286" s="237">
        <v>10000</v>
      </c>
      <c r="D286" s="1074" t="s">
        <v>950</v>
      </c>
      <c r="E286" s="1074"/>
      <c r="F286" s="1075">
        <v>88847.3</v>
      </c>
      <c r="G286" s="1075"/>
    </row>
    <row r="287" spans="1:15" ht="15.75" customHeight="1">
      <c r="A287" s="285"/>
      <c r="B287" s="405"/>
      <c r="C287" s="403"/>
      <c r="D287" s="404"/>
      <c r="E287" s="377"/>
      <c r="F287" s="406"/>
      <c r="G287" s="377"/>
    </row>
    <row r="288" spans="1:15">
      <c r="A288" s="286" t="s">
        <v>1071</v>
      </c>
      <c r="B288" s="377"/>
      <c r="C288" s="377"/>
      <c r="D288" s="377"/>
      <c r="E288" s="377"/>
      <c r="F288" s="400" t="s">
        <v>952</v>
      </c>
      <c r="G288" s="407"/>
    </row>
    <row r="290" spans="1:12" ht="32.25" customHeight="1">
      <c r="A290" s="1047" t="s">
        <v>953</v>
      </c>
      <c r="B290" s="1048"/>
      <c r="C290" s="309" t="s">
        <v>954</v>
      </c>
      <c r="D290" s="1083">
        <v>9.1008999999999993</v>
      </c>
      <c r="E290" s="1083"/>
      <c r="F290" s="1076">
        <v>9100.9</v>
      </c>
      <c r="G290" s="1076"/>
    </row>
    <row r="292" spans="1:12">
      <c r="A292" s="2" t="s">
        <v>1072</v>
      </c>
    </row>
    <row r="293" spans="1:12">
      <c r="A293" s="286" t="s">
        <v>955</v>
      </c>
      <c r="B293" s="2"/>
      <c r="C293" s="2"/>
      <c r="D293" s="2"/>
      <c r="E293" s="2"/>
      <c r="F293" s="2"/>
    </row>
    <row r="294" spans="1:12">
      <c r="A294" s="286" t="s">
        <v>956</v>
      </c>
      <c r="B294" s="2"/>
      <c r="C294" s="2"/>
      <c r="D294" s="2"/>
      <c r="E294" s="2"/>
      <c r="F294" s="2"/>
    </row>
    <row r="295" spans="1:12">
      <c r="A295" s="408" t="s">
        <v>957</v>
      </c>
      <c r="B295" s="2"/>
      <c r="C295" s="2"/>
      <c r="D295" s="2"/>
      <c r="E295" s="2"/>
      <c r="F295" s="2"/>
    </row>
    <row r="297" spans="1:12">
      <c r="A297" s="1" t="s">
        <v>2349</v>
      </c>
    </row>
    <row r="298" spans="1:12">
      <c r="A298" s="12" t="s">
        <v>1073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>
      <c r="A299" s="12" t="s">
        <v>966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>
      <c r="A300" s="12" t="s">
        <v>958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>
      <c r="A301" s="416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>
      <c r="A302" s="2" t="s">
        <v>1074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>
      <c r="A303" s="880" t="s">
        <v>797</v>
      </c>
      <c r="B303" s="880"/>
      <c r="C303" s="880"/>
      <c r="D303" s="2"/>
      <c r="E303" s="2"/>
      <c r="F303" s="2"/>
      <c r="G303" s="2"/>
      <c r="H303" s="2"/>
      <c r="I303" s="2"/>
      <c r="J303" s="2"/>
      <c r="K303" s="2"/>
      <c r="L303" s="2"/>
    </row>
    <row r="304" spans="1:12">
      <c r="A304" s="498" t="s">
        <v>911</v>
      </c>
      <c r="B304" s="498" t="s">
        <v>803</v>
      </c>
      <c r="C304" s="498" t="s">
        <v>907</v>
      </c>
      <c r="D304" s="2"/>
      <c r="E304" s="2"/>
      <c r="F304" s="2"/>
      <c r="G304" s="2"/>
      <c r="H304" s="2"/>
      <c r="I304" s="2"/>
      <c r="J304" s="2"/>
      <c r="K304" s="2"/>
      <c r="L304" s="2"/>
    </row>
    <row r="305" spans="1:12">
      <c r="A305" s="499">
        <v>4000</v>
      </c>
      <c r="B305" s="500">
        <v>52</v>
      </c>
      <c r="C305" s="499">
        <v>2080</v>
      </c>
      <c r="D305" s="2"/>
      <c r="E305" s="2"/>
      <c r="F305" s="2"/>
      <c r="G305" s="2"/>
      <c r="H305" s="2"/>
      <c r="I305" s="2"/>
      <c r="J305" s="2"/>
      <c r="K305" s="2"/>
      <c r="L305" s="2"/>
    </row>
    <row r="306" spans="1:1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>
      <c r="A307" s="2" t="s">
        <v>967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>
      <c r="A308" s="2" t="s">
        <v>968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>
      <c r="A310" s="2" t="s">
        <v>969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>
      <c r="A311" s="2" t="s">
        <v>970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>
      <c r="A313" s="2" t="s">
        <v>1075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>
      <c r="A314" s="2" t="s">
        <v>971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>
      <c r="A316" s="2" t="s">
        <v>1076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>
      <c r="A317" s="2" t="s">
        <v>972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>
      <c r="A319" s="2" t="s">
        <v>1077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>
      <c r="A320" s="2" t="s">
        <v>959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>
      <c r="A322" s="2" t="s">
        <v>1078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>
      <c r="A323" s="2" t="s">
        <v>973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>
      <c r="A325" s="2" t="s">
        <v>1079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>
      <c r="A326" s="880" t="s">
        <v>796</v>
      </c>
      <c r="B326" s="880"/>
      <c r="C326" s="880"/>
      <c r="D326" s="2"/>
      <c r="E326" s="2"/>
      <c r="F326" s="2"/>
      <c r="G326" s="2"/>
      <c r="H326" s="2"/>
      <c r="I326" s="2"/>
      <c r="J326" s="2"/>
      <c r="K326" s="2"/>
      <c r="L326" s="2"/>
    </row>
    <row r="327" spans="1:12">
      <c r="A327" s="498" t="s">
        <v>911</v>
      </c>
      <c r="B327" s="498" t="s">
        <v>803</v>
      </c>
      <c r="C327" s="498" t="s">
        <v>907</v>
      </c>
      <c r="D327" s="2"/>
      <c r="E327" s="2"/>
      <c r="F327" s="2"/>
      <c r="G327" s="2"/>
      <c r="H327" s="2"/>
      <c r="I327" s="2"/>
      <c r="J327" s="2"/>
      <c r="K327" s="2"/>
      <c r="L327" s="2"/>
    </row>
    <row r="328" spans="1:12">
      <c r="A328" s="499">
        <v>2000</v>
      </c>
      <c r="B328" s="500">
        <v>48</v>
      </c>
      <c r="C328" s="499">
        <v>960</v>
      </c>
      <c r="D328" s="2"/>
      <c r="E328" s="2"/>
      <c r="F328" s="2"/>
      <c r="G328" s="2"/>
      <c r="H328" s="2"/>
      <c r="I328" s="2"/>
      <c r="J328" s="2"/>
      <c r="K328" s="2"/>
      <c r="L328" s="2"/>
    </row>
    <row r="329" spans="1:1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>
      <c r="A330" s="2" t="s">
        <v>1080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>
      <c r="A331" s="2" t="s">
        <v>960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>
      <c r="A333" s="2" t="s">
        <v>1081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>
      <c r="A334" s="2" t="s">
        <v>975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>
      <c r="A336" s="2" t="s">
        <v>1082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>
      <c r="A337" s="972" t="s">
        <v>552</v>
      </c>
      <c r="B337" s="973"/>
      <c r="C337" s="363" t="s">
        <v>800</v>
      </c>
      <c r="D337" s="363" t="s">
        <v>961</v>
      </c>
      <c r="E337" s="2"/>
      <c r="F337" s="2"/>
      <c r="G337" s="2"/>
      <c r="H337" s="2"/>
      <c r="I337" s="2"/>
      <c r="J337" s="2"/>
      <c r="K337" s="2"/>
      <c r="L337" s="2"/>
    </row>
    <row r="338" spans="1:12">
      <c r="A338" s="1045">
        <v>70500.850000000006</v>
      </c>
      <c r="B338" s="1046"/>
      <c r="C338" s="277">
        <v>8981</v>
      </c>
      <c r="D338" s="363">
        <v>7.85</v>
      </c>
      <c r="E338" s="2"/>
      <c r="F338" s="2"/>
      <c r="G338" s="2"/>
      <c r="H338" s="2"/>
      <c r="I338" s="2"/>
      <c r="J338" s="2"/>
      <c r="K338" s="2"/>
      <c r="L338" s="2"/>
    </row>
    <row r="339" spans="1:12">
      <c r="A339" s="2" t="s">
        <v>974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>
      <c r="A341" s="2" t="s">
        <v>962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>
      <c r="A342" s="2" t="s">
        <v>963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>
      <c r="A344" s="2" t="s">
        <v>1083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ht="39.75" customHeight="1">
      <c r="A345" s="1047" t="s">
        <v>949</v>
      </c>
      <c r="B345" s="1048"/>
      <c r="C345" s="237">
        <v>10000</v>
      </c>
      <c r="D345" s="1074" t="s">
        <v>964</v>
      </c>
      <c r="E345" s="1074"/>
      <c r="F345" s="1075">
        <v>77772</v>
      </c>
      <c r="G345" s="1075"/>
      <c r="H345" s="2"/>
      <c r="I345" s="2"/>
      <c r="J345" s="2"/>
      <c r="K345" s="2"/>
      <c r="L345" s="2"/>
    </row>
    <row r="346" spans="1:1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>
      <c r="A347" s="2" t="s">
        <v>1084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ht="39.75" customHeight="1">
      <c r="A348" s="1047" t="s">
        <v>953</v>
      </c>
      <c r="B348" s="1048"/>
      <c r="C348" s="415" t="s">
        <v>965</v>
      </c>
      <c r="D348" s="1076">
        <v>7.85</v>
      </c>
      <c r="E348" s="1076"/>
      <c r="F348" s="1077">
        <v>7536</v>
      </c>
      <c r="G348" s="1077"/>
      <c r="H348" s="2"/>
      <c r="I348" s="2"/>
      <c r="J348" s="2"/>
      <c r="K348" s="2"/>
      <c r="L348" s="2"/>
    </row>
    <row r="349" spans="1:12">
      <c r="A349" s="1" t="s">
        <v>2351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>
      <c r="A350" s="14" t="s">
        <v>1529</v>
      </c>
      <c r="B350" s="14"/>
      <c r="C350" s="14"/>
      <c r="D350" s="14"/>
      <c r="E350" s="14"/>
      <c r="F350" s="19"/>
      <c r="G350" s="14"/>
    </row>
    <row r="351" spans="1:12">
      <c r="A351" s="14" t="s">
        <v>1491</v>
      </c>
      <c r="B351" s="14"/>
      <c r="C351" s="14"/>
      <c r="D351" s="14"/>
      <c r="E351" s="14"/>
      <c r="F351" s="910">
        <v>210058.2</v>
      </c>
      <c r="G351" s="669"/>
    </row>
    <row r="352" spans="1:12">
      <c r="A352" s="14"/>
      <c r="B352" s="14"/>
      <c r="C352" s="14"/>
      <c r="D352" s="14"/>
      <c r="E352" s="14"/>
      <c r="F352" s="545"/>
      <c r="G352" s="605"/>
    </row>
    <row r="353" spans="1:7">
      <c r="A353" s="14" t="s">
        <v>1530</v>
      </c>
      <c r="B353" s="14"/>
      <c r="C353" s="14"/>
      <c r="D353" s="14"/>
      <c r="E353" s="14"/>
      <c r="F353" s="911" t="s">
        <v>1508</v>
      </c>
      <c r="G353" s="670"/>
    </row>
    <row r="354" spans="1:7" ht="15" customHeight="1">
      <c r="A354" s="14" t="s">
        <v>1492</v>
      </c>
      <c r="B354" s="14"/>
      <c r="C354" s="14"/>
      <c r="D354" s="14"/>
      <c r="E354" s="14"/>
      <c r="F354" s="545"/>
      <c r="G354" s="605"/>
    </row>
    <row r="355" spans="1:7">
      <c r="A355" s="14"/>
      <c r="B355" s="14"/>
      <c r="C355" s="14"/>
      <c r="D355" s="14"/>
      <c r="E355" s="14"/>
      <c r="F355" s="545"/>
      <c r="G355" s="605"/>
    </row>
    <row r="356" spans="1:7">
      <c r="A356" s="14" t="s">
        <v>1531</v>
      </c>
      <c r="B356" s="14"/>
      <c r="C356" s="14"/>
      <c r="D356" s="14"/>
      <c r="E356" s="14"/>
      <c r="F356" s="911" t="s">
        <v>1493</v>
      </c>
      <c r="G356" s="670"/>
    </row>
    <row r="357" spans="1:7">
      <c r="A357" s="14" t="s">
        <v>1494</v>
      </c>
      <c r="B357" s="14"/>
      <c r="C357" s="14"/>
      <c r="D357" s="14"/>
      <c r="E357" s="14"/>
      <c r="F357" s="545"/>
      <c r="G357" s="605"/>
    </row>
    <row r="358" spans="1:7">
      <c r="A358" s="14"/>
      <c r="B358" s="14"/>
      <c r="C358" s="14"/>
      <c r="D358" s="14"/>
      <c r="E358" s="14"/>
      <c r="F358" s="545"/>
      <c r="G358" s="605"/>
    </row>
    <row r="359" spans="1:7">
      <c r="A359" s="14" t="s">
        <v>1532</v>
      </c>
      <c r="B359" s="14"/>
      <c r="C359" s="14"/>
      <c r="D359" s="14"/>
      <c r="E359" s="14"/>
      <c r="F359" s="911" t="s">
        <v>1495</v>
      </c>
      <c r="G359" s="670"/>
    </row>
    <row r="360" spans="1:7">
      <c r="A360" s="14" t="s">
        <v>1509</v>
      </c>
      <c r="B360" s="14"/>
      <c r="C360" s="14"/>
      <c r="D360" s="14"/>
      <c r="E360" s="14"/>
      <c r="F360" s="545"/>
      <c r="G360" s="605"/>
    </row>
    <row r="361" spans="1:7">
      <c r="A361" s="14"/>
      <c r="B361" s="14"/>
      <c r="C361" s="14"/>
      <c r="D361" s="14"/>
      <c r="E361" s="14"/>
      <c r="F361" s="545"/>
      <c r="G361" s="605"/>
    </row>
    <row r="362" spans="1:7" ht="15" customHeight="1">
      <c r="A362" s="14" t="s">
        <v>1533</v>
      </c>
      <c r="B362" s="14"/>
      <c r="C362" s="14"/>
      <c r="D362" s="14"/>
      <c r="E362" s="14"/>
      <c r="F362" s="912">
        <v>0.03</v>
      </c>
      <c r="G362" s="670"/>
    </row>
    <row r="363" spans="1:7">
      <c r="A363" s="14" t="s">
        <v>1496</v>
      </c>
      <c r="B363" s="14"/>
      <c r="C363" s="14"/>
      <c r="D363" s="14"/>
      <c r="E363" s="14"/>
      <c r="F363" s="545"/>
      <c r="G363" s="605"/>
    </row>
    <row r="364" spans="1:7">
      <c r="A364" s="14" t="s">
        <v>1497</v>
      </c>
      <c r="B364" s="14"/>
      <c r="C364" s="14"/>
      <c r="D364" s="14"/>
      <c r="E364" s="14"/>
      <c r="F364" s="545"/>
      <c r="G364" s="605"/>
    </row>
    <row r="365" spans="1:7">
      <c r="A365" s="14"/>
      <c r="B365" s="14"/>
      <c r="C365" s="14"/>
      <c r="D365" s="14"/>
      <c r="E365" s="14"/>
      <c r="F365" s="545"/>
      <c r="G365" s="605"/>
    </row>
    <row r="366" spans="1:7" ht="15" customHeight="1">
      <c r="A366" s="14" t="s">
        <v>1534</v>
      </c>
      <c r="B366" s="14"/>
      <c r="C366" s="14"/>
      <c r="D366" s="14"/>
      <c r="E366" s="14"/>
      <c r="F366" s="911" t="s">
        <v>1498</v>
      </c>
      <c r="G366" s="670"/>
    </row>
    <row r="367" spans="1:7">
      <c r="A367" s="14" t="s">
        <v>1499</v>
      </c>
      <c r="B367" s="14"/>
      <c r="C367" s="14"/>
      <c r="D367" s="14"/>
      <c r="E367" s="14"/>
      <c r="F367" s="545"/>
      <c r="G367" s="605"/>
    </row>
    <row r="368" spans="1:7">
      <c r="A368" s="14"/>
      <c r="B368" s="14"/>
      <c r="C368" s="14"/>
      <c r="D368" s="14"/>
      <c r="E368" s="14"/>
      <c r="F368" s="545"/>
      <c r="G368" s="605"/>
    </row>
    <row r="369" spans="1:7" ht="15" customHeight="1">
      <c r="A369" s="14" t="s">
        <v>1535</v>
      </c>
      <c r="B369" s="14"/>
      <c r="C369" s="14"/>
      <c r="D369" s="14"/>
      <c r="E369" s="14"/>
      <c r="F369" s="911" t="s">
        <v>1500</v>
      </c>
      <c r="G369" s="670"/>
    </row>
    <row r="370" spans="1:7">
      <c r="A370" s="14" t="s">
        <v>1501</v>
      </c>
      <c r="B370" s="14"/>
      <c r="C370" s="14"/>
      <c r="D370" s="14"/>
      <c r="E370" s="14"/>
      <c r="F370" s="545"/>
      <c r="G370" s="605"/>
    </row>
    <row r="371" spans="1:7">
      <c r="A371" s="14" t="s">
        <v>1502</v>
      </c>
      <c r="B371" s="14"/>
      <c r="C371" s="14"/>
      <c r="D371" s="14"/>
      <c r="E371" s="14"/>
      <c r="F371" s="545"/>
      <c r="G371" s="605"/>
    </row>
    <row r="372" spans="1:7" ht="15" customHeight="1">
      <c r="A372" s="14"/>
      <c r="B372" s="14"/>
      <c r="C372" s="14"/>
      <c r="D372" s="14"/>
      <c r="E372" s="14"/>
      <c r="F372" s="911" t="s">
        <v>1503</v>
      </c>
      <c r="G372" s="670"/>
    </row>
    <row r="373" spans="1:7">
      <c r="A373" s="14" t="s">
        <v>1536</v>
      </c>
      <c r="B373" s="14"/>
      <c r="C373" s="14"/>
      <c r="D373" s="14"/>
      <c r="E373" s="14"/>
      <c r="F373" s="545"/>
      <c r="G373" s="605"/>
    </row>
    <row r="374" spans="1:7">
      <c r="A374" s="14" t="s">
        <v>1504</v>
      </c>
      <c r="B374" s="14"/>
      <c r="C374" s="14"/>
      <c r="D374" s="14"/>
      <c r="E374" s="14"/>
      <c r="F374" s="545"/>
      <c r="G374" s="605"/>
    </row>
    <row r="375" spans="1:7">
      <c r="A375" s="14"/>
      <c r="B375" s="14"/>
      <c r="C375" s="14"/>
      <c r="D375" s="14"/>
      <c r="E375" s="14"/>
      <c r="F375" s="545"/>
      <c r="G375" s="605"/>
    </row>
    <row r="376" spans="1:7" ht="15" customHeight="1">
      <c r="A376" s="14" t="s">
        <v>1537</v>
      </c>
      <c r="B376" s="14"/>
      <c r="C376" s="14"/>
      <c r="D376" s="14"/>
      <c r="E376" s="14"/>
      <c r="F376" s="911" t="s">
        <v>1505</v>
      </c>
      <c r="G376" s="670"/>
    </row>
    <row r="377" spans="1:7">
      <c r="A377" s="14" t="s">
        <v>1506</v>
      </c>
      <c r="B377" s="14"/>
      <c r="C377" s="14"/>
      <c r="D377" s="14"/>
      <c r="E377" s="14"/>
      <c r="F377" s="545"/>
      <c r="G377" s="605"/>
    </row>
    <row r="378" spans="1:7">
      <c r="A378" s="14"/>
      <c r="B378" s="14"/>
      <c r="C378" s="14"/>
      <c r="D378" s="14"/>
      <c r="E378" s="14"/>
      <c r="F378" s="545"/>
      <c r="G378" s="605"/>
    </row>
    <row r="379" spans="1:7" ht="15" customHeight="1">
      <c r="A379" s="14" t="s">
        <v>1538</v>
      </c>
      <c r="B379" s="14"/>
      <c r="C379" s="14"/>
      <c r="D379" s="14"/>
      <c r="E379" s="14"/>
      <c r="F379" s="911" t="s">
        <v>1507</v>
      </c>
      <c r="G379" s="670"/>
    </row>
    <row r="380" spans="1:7">
      <c r="A380" s="2"/>
      <c r="B380" s="2"/>
      <c r="C380" s="2"/>
      <c r="D380" s="2"/>
      <c r="E380" s="2"/>
      <c r="F380" s="2"/>
      <c r="G380" s="2"/>
    </row>
    <row r="381" spans="1:7" s="1" customFormat="1" ht="12.75">
      <c r="A381" s="1" t="s">
        <v>2350</v>
      </c>
    </row>
    <row r="383" spans="1:7">
      <c r="A383" s="2" t="s">
        <v>1539</v>
      </c>
      <c r="F383" s="911" t="s">
        <v>1510</v>
      </c>
    </row>
    <row r="384" spans="1:7" ht="15">
      <c r="A384" s="2" t="s">
        <v>1511</v>
      </c>
      <c r="B384" s="2"/>
      <c r="F384" s="909"/>
    </row>
    <row r="385" spans="1:6" ht="15">
      <c r="A385" s="2"/>
      <c r="B385" s="2"/>
      <c r="F385" s="909"/>
    </row>
    <row r="386" spans="1:6">
      <c r="A386" s="2" t="s">
        <v>1540</v>
      </c>
      <c r="F386" s="913">
        <v>106090</v>
      </c>
    </row>
    <row r="387" spans="1:6" ht="15">
      <c r="A387" s="2" t="s">
        <v>1512</v>
      </c>
      <c r="B387" s="2"/>
      <c r="F387" s="909"/>
    </row>
    <row r="388" spans="1:6" ht="15">
      <c r="A388" s="2"/>
      <c r="B388" s="2"/>
      <c r="F388" s="909"/>
    </row>
    <row r="389" spans="1:6">
      <c r="A389" s="2" t="s">
        <v>1541</v>
      </c>
      <c r="F389" s="911" t="s">
        <v>1513</v>
      </c>
    </row>
    <row r="390" spans="1:6" ht="15">
      <c r="A390" s="2" t="s">
        <v>1514</v>
      </c>
      <c r="B390" s="2"/>
      <c r="F390" s="909"/>
    </row>
    <row r="391" spans="1:6" ht="15">
      <c r="A391" s="2" t="s">
        <v>1515</v>
      </c>
      <c r="B391" s="2"/>
      <c r="F391" s="909"/>
    </row>
    <row r="392" spans="1:6" ht="15">
      <c r="A392" s="2"/>
      <c r="B392" s="2"/>
      <c r="F392" s="909"/>
    </row>
    <row r="393" spans="1:6">
      <c r="A393" s="2" t="s">
        <v>1542</v>
      </c>
      <c r="F393" s="911" t="s">
        <v>1516</v>
      </c>
    </row>
    <row r="394" spans="1:6" ht="15">
      <c r="A394" s="2" t="s">
        <v>1517</v>
      </c>
      <c r="B394" s="2"/>
      <c r="F394" s="909"/>
    </row>
    <row r="395" spans="1:6" ht="15">
      <c r="A395" s="2"/>
      <c r="B395" s="2"/>
      <c r="F395" s="914"/>
    </row>
    <row r="396" spans="1:6">
      <c r="A396" s="2" t="s">
        <v>1533</v>
      </c>
      <c r="F396" s="912">
        <v>0.03</v>
      </c>
    </row>
    <row r="397" spans="1:6" ht="15">
      <c r="A397" s="2" t="s">
        <v>1518</v>
      </c>
      <c r="B397" s="2"/>
      <c r="F397" s="909"/>
    </row>
    <row r="398" spans="1:6" ht="15">
      <c r="A398" s="2"/>
      <c r="B398" s="2"/>
      <c r="F398" s="909"/>
    </row>
    <row r="399" spans="1:6">
      <c r="A399" s="2" t="s">
        <v>1543</v>
      </c>
      <c r="F399" s="911" t="s">
        <v>1519</v>
      </c>
    </row>
    <row r="400" spans="1:6" ht="15">
      <c r="A400" s="2" t="s">
        <v>1520</v>
      </c>
      <c r="B400" s="2"/>
      <c r="F400" s="909"/>
    </row>
    <row r="401" spans="1:14" ht="15">
      <c r="A401" s="2"/>
      <c r="B401" s="2"/>
      <c r="F401" s="909"/>
    </row>
    <row r="402" spans="1:14">
      <c r="A402" s="2" t="s">
        <v>1544</v>
      </c>
      <c r="F402" s="911" t="s">
        <v>1521</v>
      </c>
    </row>
    <row r="403" spans="1:14" ht="15">
      <c r="A403" s="2" t="s">
        <v>1522</v>
      </c>
      <c r="B403" s="2"/>
      <c r="F403" s="909"/>
    </row>
    <row r="404" spans="1:14" ht="15">
      <c r="A404" s="2"/>
      <c r="B404" s="2"/>
      <c r="F404" s="909"/>
    </row>
    <row r="405" spans="1:14">
      <c r="A405" s="2" t="s">
        <v>1545</v>
      </c>
      <c r="F405" s="911" t="s">
        <v>1523</v>
      </c>
    </row>
    <row r="406" spans="1:14" ht="15">
      <c r="A406" s="2" t="s">
        <v>1524</v>
      </c>
      <c r="B406" s="2"/>
      <c r="F406" s="909"/>
    </row>
    <row r="407" spans="1:14" ht="15">
      <c r="A407" s="2"/>
      <c r="B407" s="2"/>
      <c r="F407" s="909"/>
    </row>
    <row r="408" spans="1:14">
      <c r="A408" s="2" t="s">
        <v>1546</v>
      </c>
      <c r="F408" s="911" t="s">
        <v>1525</v>
      </c>
    </row>
    <row r="409" spans="1:14" ht="15">
      <c r="A409" s="2" t="s">
        <v>1526</v>
      </c>
      <c r="B409" s="2"/>
      <c r="F409" s="909"/>
    </row>
    <row r="410" spans="1:14" ht="15">
      <c r="A410" s="2"/>
      <c r="B410" s="2"/>
      <c r="F410" s="909"/>
    </row>
    <row r="411" spans="1:14">
      <c r="A411" s="2" t="s">
        <v>1547</v>
      </c>
      <c r="F411" s="911" t="s">
        <v>1527</v>
      </c>
    </row>
    <row r="412" spans="1:14" ht="15">
      <c r="A412" s="2" t="s">
        <v>1528</v>
      </c>
      <c r="B412" s="2"/>
      <c r="F412" s="909"/>
    </row>
    <row r="414" spans="1:14">
      <c r="A414" s="1" t="s">
        <v>2352</v>
      </c>
    </row>
    <row r="416" spans="1:14">
      <c r="A416" s="2" t="s">
        <v>1915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>
      <c r="A417" s="2" t="s">
        <v>1916</v>
      </c>
      <c r="B417" s="2" t="s">
        <v>724</v>
      </c>
      <c r="C417" s="2"/>
      <c r="D417" s="2" t="s">
        <v>1917</v>
      </c>
      <c r="E417" s="2"/>
      <c r="F417" s="2"/>
      <c r="G417" s="2"/>
      <c r="H417" s="2"/>
      <c r="I417" s="2"/>
      <c r="J417" s="2" t="s">
        <v>1918</v>
      </c>
      <c r="K417" s="2"/>
      <c r="L417" s="2"/>
      <c r="M417" s="2"/>
      <c r="N417" s="2"/>
    </row>
    <row r="418" spans="1:14">
      <c r="A418" s="2" t="s">
        <v>1919</v>
      </c>
      <c r="B418" s="742">
        <v>0</v>
      </c>
      <c r="C418" s="2"/>
      <c r="D418" s="740" t="s">
        <v>1919</v>
      </c>
      <c r="E418" s="2"/>
      <c r="F418" s="2">
        <v>0</v>
      </c>
      <c r="G418" s="2"/>
      <c r="H418" s="740" t="s">
        <v>1919</v>
      </c>
      <c r="I418" s="2"/>
      <c r="J418" s="2">
        <v>250</v>
      </c>
      <c r="K418" s="2"/>
      <c r="L418" s="2"/>
      <c r="M418" s="2"/>
      <c r="N418" s="2"/>
    </row>
    <row r="419" spans="1:14">
      <c r="A419" s="2" t="s">
        <v>1769</v>
      </c>
      <c r="B419" s="742">
        <v>16000</v>
      </c>
      <c r="C419" s="2"/>
      <c r="D419" s="740" t="s">
        <v>1920</v>
      </c>
      <c r="E419" s="2"/>
      <c r="F419" s="2">
        <v>15000</v>
      </c>
      <c r="G419" s="2"/>
      <c r="H419" s="740" t="s">
        <v>1920</v>
      </c>
      <c r="I419" s="2"/>
      <c r="J419" s="2">
        <v>1000</v>
      </c>
      <c r="K419" s="2"/>
      <c r="L419" s="2"/>
      <c r="M419" s="2"/>
      <c r="N419" s="2"/>
    </row>
    <row r="420" spans="1:14">
      <c r="A420" s="2" t="s">
        <v>1260</v>
      </c>
      <c r="B420" s="744">
        <v>1000</v>
      </c>
      <c r="C420" s="2"/>
      <c r="D420" s="740" t="s">
        <v>1260</v>
      </c>
      <c r="E420" s="2"/>
      <c r="F420" s="46">
        <v>5200</v>
      </c>
      <c r="G420" s="2"/>
      <c r="H420" s="740" t="s">
        <v>1260</v>
      </c>
      <c r="I420" s="2"/>
      <c r="J420" s="46">
        <v>100</v>
      </c>
      <c r="K420" s="2"/>
      <c r="L420" s="2"/>
      <c r="M420" s="2"/>
      <c r="N420" s="2"/>
    </row>
    <row r="421" spans="1:14">
      <c r="A421" s="2" t="s">
        <v>53</v>
      </c>
      <c r="B421" s="742">
        <f>+B418+B419-B420</f>
        <v>15000</v>
      </c>
      <c r="C421" s="2"/>
      <c r="D421" s="740" t="s">
        <v>1921</v>
      </c>
      <c r="E421" s="2"/>
      <c r="F421" s="2">
        <f>+F418+F419-F420</f>
        <v>9800</v>
      </c>
      <c r="G421" s="2"/>
      <c r="H421" s="740" t="s">
        <v>1922</v>
      </c>
      <c r="I421" s="2"/>
      <c r="J421" s="2">
        <f>+J418+J419-J420</f>
        <v>1150</v>
      </c>
      <c r="K421" s="2"/>
      <c r="L421" s="2"/>
      <c r="M421" s="2"/>
      <c r="N421" s="2"/>
    </row>
    <row r="422" spans="1:14">
      <c r="A422" s="2"/>
      <c r="B422" s="2"/>
      <c r="C422" s="2"/>
      <c r="D422" s="740" t="s">
        <v>1923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>
      <c r="A423" s="2" t="s">
        <v>1924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>
      <c r="A424" s="2" t="s">
        <v>1925</v>
      </c>
      <c r="B424" s="2" t="s">
        <v>1926</v>
      </c>
      <c r="C424" s="2"/>
      <c r="D424" s="339">
        <v>10</v>
      </c>
      <c r="E424" s="2">
        <v>150000</v>
      </c>
      <c r="F424" s="2"/>
      <c r="G424" s="2"/>
      <c r="H424" s="2"/>
      <c r="I424" s="2"/>
      <c r="J424" s="2"/>
      <c r="K424" s="2"/>
      <c r="L424" s="2"/>
      <c r="M424" s="2"/>
      <c r="N424" s="2"/>
    </row>
    <row r="425" spans="1:14">
      <c r="A425" s="2" t="s">
        <v>1927</v>
      </c>
      <c r="B425" s="2" t="s">
        <v>1928</v>
      </c>
      <c r="C425" s="2"/>
      <c r="D425" s="339">
        <v>16</v>
      </c>
      <c r="E425" s="2">
        <f>15000*16</f>
        <v>240000</v>
      </c>
      <c r="F425" s="2"/>
      <c r="G425" s="2"/>
      <c r="H425" s="2"/>
      <c r="I425" s="2"/>
      <c r="J425" s="2"/>
      <c r="K425" s="2"/>
      <c r="L425" s="2"/>
      <c r="M425" s="2"/>
      <c r="N425" s="2"/>
    </row>
    <row r="426" spans="1:14">
      <c r="A426" s="2" t="s">
        <v>1929</v>
      </c>
      <c r="B426" s="2" t="s">
        <v>1930</v>
      </c>
      <c r="C426" s="2"/>
      <c r="D426" s="339">
        <v>2</v>
      </c>
      <c r="E426" s="2">
        <v>30000</v>
      </c>
      <c r="F426" s="2"/>
      <c r="G426" s="2"/>
      <c r="H426" s="2"/>
      <c r="I426" s="2"/>
      <c r="J426" s="2"/>
      <c r="K426" s="2"/>
      <c r="L426" s="2"/>
      <c r="M426" s="2"/>
      <c r="N426" s="2"/>
    </row>
    <row r="427" spans="1:14">
      <c r="A427" s="2" t="s">
        <v>1931</v>
      </c>
      <c r="B427" s="2" t="s">
        <v>1932</v>
      </c>
      <c r="C427" s="2"/>
      <c r="D427" s="671">
        <v>5</v>
      </c>
      <c r="E427" s="46">
        <f>15000*5</f>
        <v>75000</v>
      </c>
      <c r="F427" s="2"/>
      <c r="G427" s="2"/>
      <c r="H427" s="2"/>
      <c r="I427" s="2"/>
      <c r="J427" s="2"/>
      <c r="K427" s="2"/>
      <c r="L427" s="2"/>
      <c r="M427" s="2"/>
      <c r="N427" s="2"/>
    </row>
    <row r="428" spans="1:14">
      <c r="A428" s="2"/>
      <c r="B428" s="2" t="s">
        <v>1933</v>
      </c>
      <c r="C428" s="2"/>
      <c r="D428" s="2">
        <f>+E428/15000</f>
        <v>33</v>
      </c>
      <c r="E428" s="2">
        <f>SUM(E424:E427)</f>
        <v>495000</v>
      </c>
      <c r="F428" s="2"/>
      <c r="G428" s="2"/>
      <c r="H428" s="2"/>
      <c r="I428" s="2"/>
      <c r="J428" s="2"/>
      <c r="K428" s="2"/>
      <c r="L428" s="2"/>
      <c r="M428" s="2"/>
      <c r="N428" s="2"/>
    </row>
    <row r="429" spans="1:1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>
      <c r="A430" s="2" t="s">
        <v>1934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>
      <c r="A431" s="2"/>
      <c r="B431" s="1069" t="s">
        <v>1935</v>
      </c>
      <c r="C431" s="1001"/>
      <c r="D431" s="1001"/>
      <c r="E431" s="752" t="s">
        <v>1936</v>
      </c>
      <c r="F431" s="1001" t="s">
        <v>1937</v>
      </c>
      <c r="G431" s="1001"/>
      <c r="H431" s="1001"/>
      <c r="I431" s="752" t="s">
        <v>2039</v>
      </c>
      <c r="J431" s="1001" t="s">
        <v>1938</v>
      </c>
      <c r="K431" s="1001"/>
      <c r="L431" s="1001"/>
      <c r="M431" s="1001"/>
      <c r="N431" s="82"/>
    </row>
    <row r="432" spans="1:14">
      <c r="A432" s="2"/>
      <c r="B432" s="756" t="s">
        <v>1939</v>
      </c>
      <c r="C432" s="751" t="s">
        <v>1940</v>
      </c>
      <c r="D432" s="757" t="s">
        <v>1941</v>
      </c>
      <c r="E432" s="750"/>
      <c r="F432" s="751" t="s">
        <v>1939</v>
      </c>
      <c r="G432" s="751" t="s">
        <v>1940</v>
      </c>
      <c r="H432" s="757" t="s">
        <v>1941</v>
      </c>
      <c r="I432" s="750"/>
      <c r="J432" s="751" t="s">
        <v>1942</v>
      </c>
      <c r="K432" s="751" t="s">
        <v>1943</v>
      </c>
      <c r="L432" s="751" t="s">
        <v>1944</v>
      </c>
      <c r="M432" s="757" t="s">
        <v>808</v>
      </c>
      <c r="N432" s="757" t="s">
        <v>800</v>
      </c>
    </row>
    <row r="433" spans="1:14">
      <c r="A433" s="2" t="s">
        <v>1945</v>
      </c>
      <c r="B433" s="122">
        <v>400</v>
      </c>
      <c r="C433" s="755">
        <v>100</v>
      </c>
      <c r="D433" s="717">
        <v>400</v>
      </c>
      <c r="E433" s="193">
        <v>1000</v>
      </c>
      <c r="F433" s="14">
        <v>500</v>
      </c>
      <c r="G433" s="755">
        <v>100</v>
      </c>
      <c r="H433" s="717">
        <v>500</v>
      </c>
      <c r="I433" s="193">
        <f>+D433+E433-H433</f>
        <v>900</v>
      </c>
      <c r="J433" s="14">
        <v>80</v>
      </c>
      <c r="K433" s="14">
        <f>+I433*0.05</f>
        <v>45</v>
      </c>
      <c r="L433" s="14">
        <f>+J433-K433</f>
        <v>35</v>
      </c>
      <c r="M433" s="779">
        <f>+L433/1.05</f>
        <v>33.333333333333329</v>
      </c>
      <c r="N433" s="779">
        <f>+M433+I433</f>
        <v>933.33333333333337</v>
      </c>
    </row>
    <row r="434" spans="1:14">
      <c r="A434" s="2" t="s">
        <v>1946</v>
      </c>
      <c r="B434" s="122">
        <v>400</v>
      </c>
      <c r="C434" s="755">
        <v>40</v>
      </c>
      <c r="D434" s="717">
        <v>160</v>
      </c>
      <c r="E434" s="193">
        <v>1000</v>
      </c>
      <c r="F434" s="14">
        <v>500</v>
      </c>
      <c r="G434" s="755">
        <v>60</v>
      </c>
      <c r="H434" s="717">
        <v>300</v>
      </c>
      <c r="I434" s="193">
        <f>+D434+E434-H434</f>
        <v>860</v>
      </c>
      <c r="J434" s="14">
        <v>80</v>
      </c>
      <c r="K434" s="14">
        <f>+I434*0.05</f>
        <v>43</v>
      </c>
      <c r="L434" s="14">
        <f>+J434-K434</f>
        <v>37</v>
      </c>
      <c r="M434" s="779">
        <f>+L434/1.05</f>
        <v>35.238095238095234</v>
      </c>
      <c r="N434" s="779">
        <f>+M434+I434</f>
        <v>895.23809523809518</v>
      </c>
    </row>
    <row r="435" spans="1:14">
      <c r="A435" s="2" t="s">
        <v>1947</v>
      </c>
      <c r="B435" s="122">
        <v>400</v>
      </c>
      <c r="C435" s="755">
        <v>50</v>
      </c>
      <c r="D435" s="717">
        <v>200</v>
      </c>
      <c r="E435" s="193">
        <v>1000</v>
      </c>
      <c r="F435" s="14">
        <v>500</v>
      </c>
      <c r="G435" s="755">
        <v>60</v>
      </c>
      <c r="H435" s="717">
        <v>300</v>
      </c>
      <c r="I435" s="193">
        <f>+D435+E435-H435</f>
        <v>900</v>
      </c>
      <c r="J435" s="14">
        <v>80</v>
      </c>
      <c r="K435" s="14">
        <f>+I435*0.05</f>
        <v>45</v>
      </c>
      <c r="L435" s="14">
        <f>+J435-K435</f>
        <v>35</v>
      </c>
      <c r="M435" s="779">
        <f>+L435/1.05</f>
        <v>33.333333333333329</v>
      </c>
      <c r="N435" s="779">
        <f>+M435+I435</f>
        <v>933.33333333333337</v>
      </c>
    </row>
    <row r="436" spans="1:14">
      <c r="A436" s="2" t="s">
        <v>1948</v>
      </c>
      <c r="B436" s="122">
        <v>400</v>
      </c>
      <c r="C436" s="755">
        <v>40</v>
      </c>
      <c r="D436" s="717">
        <v>160</v>
      </c>
      <c r="E436" s="193">
        <v>1000</v>
      </c>
      <c r="F436" s="14">
        <v>500</v>
      </c>
      <c r="G436" s="755">
        <v>40</v>
      </c>
      <c r="H436" s="717">
        <v>200</v>
      </c>
      <c r="I436" s="193">
        <f>+D436+E436-H436</f>
        <v>960</v>
      </c>
      <c r="J436" s="14">
        <v>80</v>
      </c>
      <c r="K436" s="14">
        <f>+I436*0.05</f>
        <v>48</v>
      </c>
      <c r="L436" s="14">
        <f>+J436-K436</f>
        <v>32</v>
      </c>
      <c r="M436" s="779">
        <f>+L436/1.05</f>
        <v>30.476190476190474</v>
      </c>
      <c r="N436" s="779">
        <f>+M436+I436</f>
        <v>990.47619047619048</v>
      </c>
    </row>
    <row r="437" spans="1:14">
      <c r="A437" s="2" t="s">
        <v>825</v>
      </c>
      <c r="B437" s="83">
        <v>400</v>
      </c>
      <c r="C437" s="753">
        <v>50</v>
      </c>
      <c r="D437" s="327">
        <v>200</v>
      </c>
      <c r="E437" s="245">
        <v>1000</v>
      </c>
      <c r="F437" s="46">
        <v>500</v>
      </c>
      <c r="G437" s="753">
        <v>40</v>
      </c>
      <c r="H437" s="327">
        <v>200</v>
      </c>
      <c r="I437" s="245">
        <f>+D437+E437-H437</f>
        <v>1000</v>
      </c>
      <c r="J437" s="46">
        <v>80</v>
      </c>
      <c r="K437" s="46">
        <f>+I437*0.05</f>
        <v>50</v>
      </c>
      <c r="L437" s="46">
        <f>+J437-K437</f>
        <v>30</v>
      </c>
      <c r="M437" s="805">
        <f>+L437/1.05</f>
        <v>28.571428571428569</v>
      </c>
      <c r="N437" s="805">
        <f>+M437+I437</f>
        <v>1028.5714285714287</v>
      </c>
    </row>
    <row r="438" spans="1:1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>
      <c r="A439" s="2"/>
      <c r="B439" s="806" t="s">
        <v>1949</v>
      </c>
      <c r="C439" s="86"/>
      <c r="D439" s="86"/>
      <c r="E439" s="86"/>
      <c r="F439" s="86"/>
      <c r="G439" s="86"/>
      <c r="H439" s="100"/>
      <c r="I439" s="2"/>
      <c r="J439" s="806" t="s">
        <v>1950</v>
      </c>
      <c r="K439" s="86"/>
      <c r="L439" s="86"/>
      <c r="M439" s="100"/>
      <c r="N439" s="2"/>
    </row>
    <row r="440" spans="1:14">
      <c r="A440" s="2" t="s">
        <v>724</v>
      </c>
      <c r="B440" s="81" t="s">
        <v>800</v>
      </c>
      <c r="C440" s="57"/>
      <c r="D440" s="57"/>
      <c r="E440" s="57"/>
      <c r="F440" s="57"/>
      <c r="G440" s="57" t="s">
        <v>1951</v>
      </c>
      <c r="H440" s="82"/>
      <c r="I440" s="2"/>
      <c r="J440" s="193"/>
      <c r="K440" s="193"/>
      <c r="L440" s="14"/>
      <c r="M440" s="717"/>
      <c r="N440" s="2"/>
    </row>
    <row r="441" spans="1:14">
      <c r="A441" s="2" t="s">
        <v>1945</v>
      </c>
      <c r="B441" s="807">
        <v>933.33333333333337</v>
      </c>
      <c r="C441" s="14" t="s">
        <v>1952</v>
      </c>
      <c r="D441" s="781">
        <v>33</v>
      </c>
      <c r="E441" s="755">
        <f>9800*33</f>
        <v>323400</v>
      </c>
      <c r="F441" s="14"/>
      <c r="G441" s="14">
        <f>+E441/B441</f>
        <v>346.5</v>
      </c>
      <c r="H441" s="717"/>
      <c r="I441" s="2"/>
      <c r="J441" s="193" t="s">
        <v>1945</v>
      </c>
      <c r="K441" s="782">
        <v>900</v>
      </c>
      <c r="L441" s="783">
        <v>346.5</v>
      </c>
      <c r="M441" s="717">
        <f>+L441*K441</f>
        <v>311850</v>
      </c>
      <c r="N441" s="2"/>
    </row>
    <row r="442" spans="1:14">
      <c r="A442" s="2" t="s">
        <v>1946</v>
      </c>
      <c r="B442" s="807">
        <v>895.23809523809518</v>
      </c>
      <c r="C442" s="14"/>
      <c r="D442" s="14"/>
      <c r="E442" s="593">
        <v>5640</v>
      </c>
      <c r="F442" s="14"/>
      <c r="G442" s="14">
        <f>+E442/B442</f>
        <v>6.3000000000000007</v>
      </c>
      <c r="H442" s="717"/>
      <c r="I442" s="2"/>
      <c r="J442" s="122" t="s">
        <v>1946</v>
      </c>
      <c r="K442" s="782">
        <v>860</v>
      </c>
      <c r="L442" s="780">
        <v>6.3</v>
      </c>
      <c r="M442" s="717">
        <f>+L442*K442</f>
        <v>5418</v>
      </c>
      <c r="N442" s="2"/>
    </row>
    <row r="443" spans="1:14">
      <c r="A443" s="2" t="s">
        <v>1947</v>
      </c>
      <c r="B443" s="807">
        <v>933.33333333333337</v>
      </c>
      <c r="C443" s="14"/>
      <c r="D443" s="14"/>
      <c r="E443" s="593">
        <v>10780</v>
      </c>
      <c r="F443" s="14"/>
      <c r="G443" s="14">
        <f>+E443/B443</f>
        <v>11.549999999999999</v>
      </c>
      <c r="H443" s="717"/>
      <c r="I443" s="2"/>
      <c r="J443" s="122" t="s">
        <v>1947</v>
      </c>
      <c r="K443" s="782">
        <v>900</v>
      </c>
      <c r="L443" s="780">
        <v>11.55</v>
      </c>
      <c r="M443" s="717">
        <f>+L443*K443</f>
        <v>10395</v>
      </c>
      <c r="N443" s="2"/>
    </row>
    <row r="444" spans="1:14">
      <c r="A444" s="2" t="s">
        <v>1948</v>
      </c>
      <c r="B444" s="807">
        <v>990.47619047619003</v>
      </c>
      <c r="C444" s="14"/>
      <c r="D444" s="14"/>
      <c r="E444" s="593">
        <v>33280</v>
      </c>
      <c r="F444" s="14"/>
      <c r="G444" s="14">
        <f>+E444/B444</f>
        <v>33.600000000000016</v>
      </c>
      <c r="H444" s="717"/>
      <c r="I444" s="2"/>
      <c r="J444" s="122" t="s">
        <v>1948</v>
      </c>
      <c r="K444" s="782">
        <v>960</v>
      </c>
      <c r="L444" s="780">
        <v>33.6</v>
      </c>
      <c r="M444" s="717">
        <f>+L444*K444</f>
        <v>32256</v>
      </c>
      <c r="N444" s="2"/>
    </row>
    <row r="445" spans="1:14">
      <c r="A445" s="2" t="s">
        <v>825</v>
      </c>
      <c r="B445" s="808">
        <v>1028.5714285714287</v>
      </c>
      <c r="C445" s="46"/>
      <c r="D445" s="46"/>
      <c r="E445" s="462">
        <v>15120</v>
      </c>
      <c r="F445" s="46"/>
      <c r="G445" s="46">
        <f>+E445/B445</f>
        <v>14.7</v>
      </c>
      <c r="H445" s="327"/>
      <c r="I445" s="2"/>
      <c r="J445" s="83" t="s">
        <v>825</v>
      </c>
      <c r="K445" s="809">
        <v>1000</v>
      </c>
      <c r="L445" s="810">
        <v>14.7</v>
      </c>
      <c r="M445" s="327">
        <f>+L445*K445</f>
        <v>14700</v>
      </c>
      <c r="N445" s="2"/>
    </row>
    <row r="446" spans="1:14">
      <c r="A446" s="2"/>
      <c r="B446" s="2"/>
      <c r="C446" s="2"/>
      <c r="D446" s="2"/>
      <c r="E446" s="2">
        <f>SUM(E441:E445)</f>
        <v>388220</v>
      </c>
      <c r="F446" s="2"/>
      <c r="G446" s="2"/>
      <c r="H446" s="2"/>
      <c r="I446" s="2"/>
      <c r="J446" s="2"/>
      <c r="K446" s="2"/>
      <c r="L446" s="2"/>
      <c r="M446" s="2"/>
      <c r="N446" s="2"/>
    </row>
    <row r="447" spans="1:14">
      <c r="A447" s="2"/>
      <c r="B447" s="806" t="s">
        <v>1953</v>
      </c>
      <c r="C447" s="814"/>
      <c r="D447" s="814"/>
      <c r="E447" s="815"/>
      <c r="F447" s="2"/>
      <c r="G447" s="1071" t="s">
        <v>808</v>
      </c>
      <c r="H447" s="1072"/>
      <c r="I447" s="1072"/>
      <c r="J447" s="1073"/>
      <c r="K447" s="1072" t="s">
        <v>1954</v>
      </c>
      <c r="L447" s="1072"/>
      <c r="M447" s="1072"/>
      <c r="N447" s="1073"/>
    </row>
    <row r="448" spans="1:14">
      <c r="A448" s="2"/>
      <c r="B448" s="811" t="s">
        <v>1955</v>
      </c>
      <c r="C448" s="755" t="s">
        <v>1956</v>
      </c>
      <c r="D448" s="755" t="s">
        <v>1957</v>
      </c>
      <c r="E448" s="717"/>
      <c r="F448" s="2"/>
      <c r="G448" s="122"/>
      <c r="H448" s="14" t="s">
        <v>1958</v>
      </c>
      <c r="I448" s="14"/>
      <c r="J448" s="717"/>
      <c r="K448" s="14"/>
      <c r="L448" s="14" t="s">
        <v>1958</v>
      </c>
      <c r="M448" s="14"/>
      <c r="N448" s="717"/>
    </row>
    <row r="449" spans="1:14" ht="15" thickBot="1">
      <c r="A449" s="2"/>
      <c r="B449" s="811"/>
      <c r="C449" s="755" t="s">
        <v>1959</v>
      </c>
      <c r="D449" s="755"/>
      <c r="E449" s="717"/>
      <c r="F449" s="2"/>
      <c r="G449" s="122" t="s">
        <v>1945</v>
      </c>
      <c r="H449" s="785">
        <f>+M433</f>
        <v>33.333333333333329</v>
      </c>
      <c r="I449" s="783">
        <f>+G441</f>
        <v>346.5</v>
      </c>
      <c r="J449" s="717">
        <f>+H449*I449</f>
        <v>11549.999999999998</v>
      </c>
      <c r="K449" s="14" t="s">
        <v>1945</v>
      </c>
      <c r="L449" s="14">
        <v>400</v>
      </c>
      <c r="M449" s="783">
        <f>+I449</f>
        <v>346.5</v>
      </c>
      <c r="N449" s="717">
        <f>+L449*M449</f>
        <v>138600</v>
      </c>
    </row>
    <row r="450" spans="1:14">
      <c r="A450" s="2" t="s">
        <v>1945</v>
      </c>
      <c r="B450" s="811">
        <v>1000</v>
      </c>
      <c r="C450" s="755">
        <v>500</v>
      </c>
      <c r="D450" s="755"/>
      <c r="E450" s="717">
        <v>155000</v>
      </c>
      <c r="F450" s="2"/>
      <c r="G450" s="122"/>
      <c r="H450" s="14"/>
      <c r="I450" s="14"/>
      <c r="J450" s="717" t="s">
        <v>724</v>
      </c>
      <c r="K450" s="14"/>
      <c r="L450" s="14"/>
      <c r="M450" s="783" t="s">
        <v>724</v>
      </c>
      <c r="N450" s="717"/>
    </row>
    <row r="451" spans="1:14">
      <c r="A451" s="2"/>
      <c r="B451" s="811"/>
      <c r="C451" s="755">
        <v>500</v>
      </c>
      <c r="D451" s="755">
        <f>+G441</f>
        <v>346.5</v>
      </c>
      <c r="E451" s="717">
        <f>+C451*D451</f>
        <v>173250</v>
      </c>
      <c r="F451" s="2"/>
      <c r="G451" s="122" t="s">
        <v>1960</v>
      </c>
      <c r="H451" s="780">
        <f>+M434</f>
        <v>35.238095238095234</v>
      </c>
      <c r="I451" s="14">
        <f>+G442</f>
        <v>6.3000000000000007</v>
      </c>
      <c r="J451" s="717">
        <f t="shared" ref="J451:J457" si="0">+H451*I451</f>
        <v>222</v>
      </c>
      <c r="K451" s="14" t="s">
        <v>1960</v>
      </c>
      <c r="L451" s="14">
        <v>160</v>
      </c>
      <c r="M451" s="783">
        <f t="shared" ref="M451:M457" si="1">+I451</f>
        <v>6.3000000000000007</v>
      </c>
      <c r="N451" s="717">
        <f>+L451*M451</f>
        <v>1008.0000000000001</v>
      </c>
    </row>
    <row r="452" spans="1:14">
      <c r="A452" s="2" t="s">
        <v>1960</v>
      </c>
      <c r="B452" s="811">
        <v>1000</v>
      </c>
      <c r="C452" s="755">
        <v>300</v>
      </c>
      <c r="D452" s="755"/>
      <c r="E452" s="717">
        <v>1500</v>
      </c>
      <c r="F452" s="2"/>
      <c r="G452" s="122"/>
      <c r="H452" s="14"/>
      <c r="I452" s="14"/>
      <c r="J452" s="717" t="s">
        <v>724</v>
      </c>
      <c r="K452" s="14"/>
      <c r="L452" s="14"/>
      <c r="M452" s="783" t="s">
        <v>724</v>
      </c>
      <c r="N452" s="717"/>
    </row>
    <row r="453" spans="1:14">
      <c r="A453" s="2"/>
      <c r="B453" s="811"/>
      <c r="C453" s="755">
        <v>700</v>
      </c>
      <c r="D453" s="755">
        <f>+G442</f>
        <v>6.3000000000000007</v>
      </c>
      <c r="E453" s="717">
        <f>+C453*D453</f>
        <v>4410.0000000000009</v>
      </c>
      <c r="F453" s="2"/>
      <c r="G453" s="122" t="s">
        <v>1947</v>
      </c>
      <c r="H453" s="780">
        <f>+M435</f>
        <v>33.333333333333329</v>
      </c>
      <c r="I453" s="14">
        <f>+G443</f>
        <v>11.549999999999999</v>
      </c>
      <c r="J453" s="717">
        <f t="shared" si="0"/>
        <v>384.99999999999989</v>
      </c>
      <c r="K453" s="14" t="s">
        <v>1947</v>
      </c>
      <c r="L453" s="14">
        <v>200</v>
      </c>
      <c r="M453" s="783">
        <f t="shared" si="1"/>
        <v>11.549999999999999</v>
      </c>
      <c r="N453" s="717">
        <f>+L453*M453</f>
        <v>2310</v>
      </c>
    </row>
    <row r="454" spans="1:14">
      <c r="A454" s="2" t="s">
        <v>1947</v>
      </c>
      <c r="B454" s="811">
        <v>1000</v>
      </c>
      <c r="C454" s="755">
        <v>300</v>
      </c>
      <c r="D454" s="755"/>
      <c r="E454" s="717">
        <v>3000</v>
      </c>
      <c r="F454" s="2"/>
      <c r="G454" s="122"/>
      <c r="H454" s="14"/>
      <c r="I454" s="14"/>
      <c r="J454" s="717" t="s">
        <v>724</v>
      </c>
      <c r="K454" s="14"/>
      <c r="L454" s="14"/>
      <c r="M454" s="783" t="s">
        <v>724</v>
      </c>
      <c r="N454" s="717"/>
    </row>
    <row r="455" spans="1:14">
      <c r="A455" s="2"/>
      <c r="B455" s="811"/>
      <c r="C455" s="755">
        <v>700</v>
      </c>
      <c r="D455" s="755">
        <f>+G443</f>
        <v>11.549999999999999</v>
      </c>
      <c r="E455" s="717">
        <f>+C455*D455</f>
        <v>8084.9999999999991</v>
      </c>
      <c r="F455" s="2"/>
      <c r="G455" s="122" t="s">
        <v>1961</v>
      </c>
      <c r="H455" s="780">
        <f>+M436</f>
        <v>30.476190476190474</v>
      </c>
      <c r="I455" s="14">
        <f>+G444</f>
        <v>33.600000000000016</v>
      </c>
      <c r="J455" s="717">
        <f t="shared" si="0"/>
        <v>1024.0000000000005</v>
      </c>
      <c r="K455" s="14" t="s">
        <v>1961</v>
      </c>
      <c r="L455" s="14">
        <v>160</v>
      </c>
      <c r="M455" s="783">
        <f t="shared" si="1"/>
        <v>33.600000000000016</v>
      </c>
      <c r="N455" s="717">
        <f>+L455*M455</f>
        <v>5376.0000000000027</v>
      </c>
    </row>
    <row r="456" spans="1:14">
      <c r="A456" s="2" t="s">
        <v>1961</v>
      </c>
      <c r="B456" s="811">
        <v>1000</v>
      </c>
      <c r="C456" s="755">
        <v>200</v>
      </c>
      <c r="D456" s="755" t="s">
        <v>724</v>
      </c>
      <c r="E456" s="717">
        <v>5600</v>
      </c>
      <c r="F456" s="2"/>
      <c r="G456" s="122"/>
      <c r="H456" s="14"/>
      <c r="I456" s="14"/>
      <c r="J456" s="717" t="s">
        <v>724</v>
      </c>
      <c r="K456" s="14"/>
      <c r="L456" s="14"/>
      <c r="M456" s="783" t="s">
        <v>724</v>
      </c>
      <c r="N456" s="717"/>
    </row>
    <row r="457" spans="1:14" ht="15" thickBot="1">
      <c r="A457" s="2"/>
      <c r="B457" s="811"/>
      <c r="C457" s="755">
        <v>800</v>
      </c>
      <c r="D457" s="755">
        <f>+G444</f>
        <v>33.600000000000016</v>
      </c>
      <c r="E457" s="717">
        <f>+C457*D457</f>
        <v>26880.000000000011</v>
      </c>
      <c r="F457" s="2"/>
      <c r="G457" s="122" t="s">
        <v>1962</v>
      </c>
      <c r="H457" s="780">
        <f>+M437</f>
        <v>28.571428571428569</v>
      </c>
      <c r="I457" s="14">
        <f>+G445</f>
        <v>14.7</v>
      </c>
      <c r="J457" s="787">
        <f t="shared" si="0"/>
        <v>419.99999999999994</v>
      </c>
      <c r="K457" s="14" t="s">
        <v>1962</v>
      </c>
      <c r="L457" s="14">
        <v>200</v>
      </c>
      <c r="M457" s="783">
        <f t="shared" si="1"/>
        <v>14.7</v>
      </c>
      <c r="N457" s="787">
        <f>+L457*M457</f>
        <v>2940</v>
      </c>
    </row>
    <row r="458" spans="1:14">
      <c r="A458" s="2" t="s">
        <v>1962</v>
      </c>
      <c r="B458" s="811">
        <v>1000</v>
      </c>
      <c r="C458" s="755">
        <v>200</v>
      </c>
      <c r="D458" s="755"/>
      <c r="E458" s="717">
        <v>2400</v>
      </c>
      <c r="F458" s="2"/>
      <c r="G458" s="83"/>
      <c r="H458" s="46"/>
      <c r="I458" s="46"/>
      <c r="J458" s="327">
        <f>SUM(J449:J457)</f>
        <v>13600.999999999998</v>
      </c>
      <c r="K458" s="46"/>
      <c r="L458" s="46"/>
      <c r="M458" s="46"/>
      <c r="N458" s="327">
        <f>SUM(N449:N457)</f>
        <v>150234</v>
      </c>
    </row>
    <row r="459" spans="1:14">
      <c r="A459" s="2"/>
      <c r="B459" s="813"/>
      <c r="C459" s="753">
        <v>800</v>
      </c>
      <c r="D459" s="753">
        <f>+G445</f>
        <v>14.7</v>
      </c>
      <c r="E459" s="812">
        <f>+C459*D459</f>
        <v>11760</v>
      </c>
      <c r="F459" s="2"/>
      <c r="G459" s="2"/>
      <c r="H459" s="2"/>
      <c r="I459" s="2"/>
      <c r="J459" s="2"/>
      <c r="K459" s="2"/>
      <c r="L459" s="2"/>
      <c r="M459" s="2"/>
      <c r="N459" s="2"/>
    </row>
    <row r="460" spans="1:14">
      <c r="A460" s="2"/>
      <c r="B460" s="813">
        <v>1000</v>
      </c>
      <c r="C460" s="753">
        <f>+E460/B460</f>
        <v>391.88499999999999</v>
      </c>
      <c r="D460" s="753"/>
      <c r="E460" s="327">
        <f>SUM(E450:E459)</f>
        <v>391885</v>
      </c>
      <c r="F460" s="2"/>
      <c r="G460" s="777" t="s">
        <v>1963</v>
      </c>
      <c r="H460" s="2"/>
      <c r="I460" s="2"/>
      <c r="J460" s="2"/>
      <c r="K460" s="2"/>
      <c r="L460" s="2"/>
      <c r="M460" s="2"/>
      <c r="N460" s="2"/>
    </row>
    <row r="461" spans="1:14">
      <c r="A461" s="2"/>
      <c r="B461" s="2"/>
      <c r="C461" s="2"/>
      <c r="D461" s="2"/>
      <c r="E461" s="2"/>
      <c r="F461" s="2"/>
      <c r="G461" s="2" t="s">
        <v>1964</v>
      </c>
      <c r="H461" s="2"/>
      <c r="I461" s="2"/>
      <c r="J461" s="786">
        <v>167500</v>
      </c>
      <c r="K461" s="2"/>
      <c r="L461" s="2" t="s">
        <v>1936</v>
      </c>
      <c r="M461" s="2" t="s">
        <v>724</v>
      </c>
      <c r="N461" s="2">
        <f>+E460</f>
        <v>391885</v>
      </c>
    </row>
    <row r="462" spans="1:14">
      <c r="A462" s="2"/>
      <c r="B462" s="2"/>
      <c r="C462" s="2"/>
      <c r="D462" s="2"/>
      <c r="E462" s="2"/>
      <c r="F462" s="2"/>
      <c r="G462" s="2" t="s">
        <v>1965</v>
      </c>
      <c r="H462" s="2"/>
      <c r="I462" s="2"/>
      <c r="J462" s="786">
        <f>+E446</f>
        <v>388220</v>
      </c>
      <c r="K462" s="2"/>
      <c r="L462" s="2" t="s">
        <v>1966</v>
      </c>
      <c r="M462" s="2"/>
      <c r="N462" s="2">
        <f>+N458</f>
        <v>150234</v>
      </c>
    </row>
    <row r="463" spans="1:14">
      <c r="A463" s="778" t="s">
        <v>1967</v>
      </c>
      <c r="B463" s="2"/>
      <c r="C463" s="2"/>
      <c r="D463" s="2"/>
      <c r="E463" s="2"/>
      <c r="F463" s="2"/>
      <c r="G463" s="2"/>
      <c r="H463" s="2"/>
      <c r="I463" s="2"/>
      <c r="J463" s="786"/>
      <c r="K463" s="2"/>
      <c r="L463" s="2" t="s">
        <v>808</v>
      </c>
      <c r="M463" s="2"/>
      <c r="N463" s="2">
        <f>+J458</f>
        <v>13600.999999999998</v>
      </c>
    </row>
    <row r="464" spans="1:14">
      <c r="A464" s="2" t="s">
        <v>1968</v>
      </c>
      <c r="B464" s="2"/>
      <c r="C464" s="754" t="s">
        <v>1969</v>
      </c>
      <c r="D464" s="754">
        <v>10</v>
      </c>
      <c r="E464" s="2">
        <v>10000</v>
      </c>
      <c r="F464" s="2"/>
      <c r="G464" s="2"/>
      <c r="H464" s="2"/>
      <c r="I464" s="2"/>
      <c r="J464" s="786">
        <f>SUM(J461:J463)</f>
        <v>555720</v>
      </c>
      <c r="K464" s="2"/>
      <c r="L464" s="2"/>
      <c r="M464" s="2"/>
      <c r="N464" s="2">
        <f>SUM(N461:N463)</f>
        <v>555720</v>
      </c>
    </row>
    <row r="465" spans="1:14">
      <c r="A465" s="2" t="s">
        <v>1970</v>
      </c>
      <c r="B465" s="2" t="s">
        <v>1971</v>
      </c>
      <c r="C465" s="754">
        <f>+F420</f>
        <v>5200</v>
      </c>
      <c r="D465" s="754">
        <f>+D428</f>
        <v>33</v>
      </c>
      <c r="E465" s="2">
        <f>+C465*D465</f>
        <v>171600</v>
      </c>
      <c r="F465" s="2"/>
      <c r="G465" s="2"/>
      <c r="H465" s="2"/>
      <c r="I465" s="2"/>
      <c r="J465" s="2"/>
      <c r="K465" s="2"/>
      <c r="L465" s="2"/>
      <c r="M465" s="2"/>
      <c r="N465" s="2"/>
    </row>
    <row r="466" spans="1:14">
      <c r="A466" s="2" t="s">
        <v>1972</v>
      </c>
      <c r="B466" s="2"/>
      <c r="C466" s="754"/>
      <c r="D466" s="754"/>
      <c r="E466" s="2">
        <f>+N458</f>
        <v>150234</v>
      </c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5" thickBot="1">
      <c r="A467" s="2" t="s">
        <v>1973</v>
      </c>
      <c r="B467" s="2" t="s">
        <v>1974</v>
      </c>
      <c r="C467" s="754">
        <v>100</v>
      </c>
      <c r="D467" s="754">
        <f>+C460</f>
        <v>391.88499999999999</v>
      </c>
      <c r="E467" s="784">
        <f>+C467*D467</f>
        <v>39188.5</v>
      </c>
      <c r="F467" s="2"/>
      <c r="G467" s="2"/>
      <c r="H467" s="2"/>
      <c r="I467" s="2"/>
      <c r="J467" s="2"/>
      <c r="K467" s="2"/>
      <c r="L467" s="2"/>
      <c r="M467" s="2"/>
      <c r="N467" s="2"/>
    </row>
    <row r="468" spans="1:14">
      <c r="A468" s="2"/>
      <c r="B468" s="2"/>
      <c r="C468" s="2"/>
      <c r="D468" s="2"/>
      <c r="E468" s="2">
        <f>SUM(E464:E467)</f>
        <v>371022.5</v>
      </c>
      <c r="F468" s="2"/>
      <c r="G468" s="2"/>
      <c r="H468" s="2"/>
      <c r="I468" s="2"/>
      <c r="J468" s="2"/>
      <c r="K468" s="2"/>
      <c r="L468" s="2"/>
      <c r="M468" s="2"/>
      <c r="N468" s="2"/>
    </row>
    <row r="469" spans="1:1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</sheetData>
  <mergeCells count="104">
    <mergeCell ref="D64:E64"/>
    <mergeCell ref="A65:C65"/>
    <mergeCell ref="A72:C72"/>
    <mergeCell ref="D68:E68"/>
    <mergeCell ref="D69:E69"/>
    <mergeCell ref="D70:E70"/>
    <mergeCell ref="D71:E71"/>
    <mergeCell ref="D72:E72"/>
    <mergeCell ref="B272:B273"/>
    <mergeCell ref="C272:E272"/>
    <mergeCell ref="F272:H272"/>
    <mergeCell ref="D286:E286"/>
    <mergeCell ref="F286:G286"/>
    <mergeCell ref="A286:B286"/>
    <mergeCell ref="A290:B290"/>
    <mergeCell ref="A1:O1"/>
    <mergeCell ref="I272:I273"/>
    <mergeCell ref="J272:M272"/>
    <mergeCell ref="N272:N273"/>
    <mergeCell ref="O272:O273"/>
    <mergeCell ref="O122:O123"/>
    <mergeCell ref="A159:B159"/>
    <mergeCell ref="A156:B156"/>
    <mergeCell ref="A157:B157"/>
    <mergeCell ref="A158:B158"/>
    <mergeCell ref="C116:E116"/>
    <mergeCell ref="C117:E117"/>
    <mergeCell ref="A122:A123"/>
    <mergeCell ref="A58:B58"/>
    <mergeCell ref="D61:E61"/>
    <mergeCell ref="D62:E62"/>
    <mergeCell ref="D63:E63"/>
    <mergeCell ref="G447:J447"/>
    <mergeCell ref="K447:N447"/>
    <mergeCell ref="D345:E345"/>
    <mergeCell ref="F345:G345"/>
    <mergeCell ref="D348:E348"/>
    <mergeCell ref="F348:G348"/>
    <mergeCell ref="C76:E76"/>
    <mergeCell ref="F76:H76"/>
    <mergeCell ref="I76:I77"/>
    <mergeCell ref="D107:E107"/>
    <mergeCell ref="D93:E93"/>
    <mergeCell ref="D94:E94"/>
    <mergeCell ref="D95:E95"/>
    <mergeCell ref="D96:E96"/>
    <mergeCell ref="D100:E100"/>
    <mergeCell ref="D101:E101"/>
    <mergeCell ref="D102:E102"/>
    <mergeCell ref="D103:E103"/>
    <mergeCell ref="D104:E104"/>
    <mergeCell ref="N122:N123"/>
    <mergeCell ref="D108:E108"/>
    <mergeCell ref="D109:E109"/>
    <mergeCell ref="D110:E110"/>
    <mergeCell ref="D111:E111"/>
    <mergeCell ref="F30:H30"/>
    <mergeCell ref="I30:I31"/>
    <mergeCell ref="J30:M30"/>
    <mergeCell ref="N30:N31"/>
    <mergeCell ref="O30:O31"/>
    <mergeCell ref="B431:D431"/>
    <mergeCell ref="F431:H431"/>
    <mergeCell ref="J431:M431"/>
    <mergeCell ref="J76:M76"/>
    <mergeCell ref="N76:N77"/>
    <mergeCell ref="O76:O77"/>
    <mergeCell ref="A90:B90"/>
    <mergeCell ref="A76:A77"/>
    <mergeCell ref="B76:B77"/>
    <mergeCell ref="C114:E114"/>
    <mergeCell ref="C115:E115"/>
    <mergeCell ref="B122:B123"/>
    <mergeCell ref="C122:E122"/>
    <mergeCell ref="F122:H122"/>
    <mergeCell ref="I122:I123"/>
    <mergeCell ref="J122:M122"/>
    <mergeCell ref="D290:E290"/>
    <mergeCell ref="F290:G290"/>
    <mergeCell ref="A272:A273"/>
    <mergeCell ref="A337:B337"/>
    <mergeCell ref="A338:B338"/>
    <mergeCell ref="A345:B345"/>
    <mergeCell ref="A348:B348"/>
    <mergeCell ref="A5:E5"/>
    <mergeCell ref="A6:E6"/>
    <mergeCell ref="J193:M193"/>
    <mergeCell ref="N193:N194"/>
    <mergeCell ref="O193:O194"/>
    <mergeCell ref="A225:C225"/>
    <mergeCell ref="A236:D236"/>
    <mergeCell ref="A235:D235"/>
    <mergeCell ref="E184:H185"/>
    <mergeCell ref="A193:A194"/>
    <mergeCell ref="B193:B194"/>
    <mergeCell ref="C193:E193"/>
    <mergeCell ref="F193:H193"/>
    <mergeCell ref="I193:I194"/>
    <mergeCell ref="A184:A185"/>
    <mergeCell ref="B184:B185"/>
    <mergeCell ref="D184:D185"/>
    <mergeCell ref="A30:A31"/>
    <mergeCell ref="B30:B31"/>
    <mergeCell ref="C30:E30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>&amp;L&amp;"+,Negrita"Resolución Guía de trabajos prácticos - Sistemas de Costos</oddHeader>
    <oddFooter>&amp;C&amp;"+,Normal"Departamento de Contabilidad e Impuestos
Universidad Argentina de la Empresa</oddFooter>
  </headerFooter>
  <rowBreaks count="13" manualBreakCount="13">
    <brk id="26" max="16383" man="1"/>
    <brk id="73" max="16383" man="1"/>
    <brk id="119" max="16383" man="1"/>
    <brk id="154" max="14" man="1"/>
    <brk id="177" max="16383" man="1"/>
    <brk id="222" max="16383" man="1"/>
    <brk id="255" max="14" man="1"/>
    <brk id="296" max="16383" man="1"/>
    <brk id="324" max="14" man="1"/>
    <brk id="348" max="14" man="1"/>
    <brk id="380" max="16383" man="1"/>
    <brk id="413" max="14" man="1"/>
    <brk id="446" max="1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dimension ref="A1:O442"/>
  <sheetViews>
    <sheetView showGridLines="0" view="pageBreakPreview" topLeftCell="A104" zoomScaleNormal="100" zoomScaleSheetLayoutView="100" workbookViewId="0">
      <selection activeCell="H121" sqref="H121"/>
    </sheetView>
  </sheetViews>
  <sheetFormatPr baseColWidth="10" defaultRowHeight="12.75"/>
  <cols>
    <col min="1" max="1" width="15.28515625" style="2" customWidth="1"/>
    <col min="2" max="2" width="12" style="2" customWidth="1"/>
    <col min="3" max="3" width="12.140625" style="2" customWidth="1"/>
    <col min="4" max="4" width="12.42578125" style="2" customWidth="1"/>
    <col min="5" max="5" width="11.85546875" style="2" bestFit="1" customWidth="1"/>
    <col min="6" max="6" width="12.85546875" style="2" bestFit="1" customWidth="1"/>
    <col min="7" max="7" width="11.42578125" style="2"/>
    <col min="8" max="9" width="12.85546875" style="2" customWidth="1"/>
    <col min="10" max="10" width="11.42578125" style="2" customWidth="1"/>
    <col min="11" max="11" width="11.85546875" style="2" customWidth="1"/>
    <col min="12" max="16384" width="11.42578125" style="2"/>
  </cols>
  <sheetData>
    <row r="1" spans="1:15" ht="18" customHeight="1">
      <c r="A1" s="1002" t="s">
        <v>1606</v>
      </c>
      <c r="B1" s="1002"/>
      <c r="C1" s="1002"/>
      <c r="D1" s="1002"/>
      <c r="E1" s="1002"/>
      <c r="F1" s="1002"/>
      <c r="G1" s="1002"/>
      <c r="H1" s="1002"/>
      <c r="I1" s="1002"/>
      <c r="J1" s="1002"/>
      <c r="K1" s="1002"/>
      <c r="L1" s="1002"/>
      <c r="M1" s="1002"/>
      <c r="N1" s="542"/>
      <c r="O1" s="542"/>
    </row>
    <row r="3" spans="1:15">
      <c r="A3" s="1" t="s">
        <v>2353</v>
      </c>
    </row>
    <row r="4" spans="1:15">
      <c r="A4" s="1" t="s">
        <v>1269</v>
      </c>
    </row>
    <row r="5" spans="1:15">
      <c r="A5" s="2" t="s">
        <v>1310</v>
      </c>
    </row>
    <row r="6" spans="1:15">
      <c r="A6" s="512" t="s">
        <v>1304</v>
      </c>
      <c r="B6" s="2" t="s">
        <v>1300</v>
      </c>
    </row>
    <row r="7" spans="1:15">
      <c r="A7" s="512" t="s">
        <v>1304</v>
      </c>
      <c r="B7" s="2" t="s">
        <v>1301</v>
      </c>
    </row>
    <row r="8" spans="1:15">
      <c r="A8" s="512" t="s">
        <v>1304</v>
      </c>
      <c r="B8" s="2" t="s">
        <v>1302</v>
      </c>
    </row>
    <row r="9" spans="1:15">
      <c r="A9" s="512" t="s">
        <v>1304</v>
      </c>
      <c r="B9" s="2" t="s">
        <v>1303</v>
      </c>
    </row>
    <row r="10" spans="1:15">
      <c r="A10" s="543" t="s">
        <v>1304</v>
      </c>
      <c r="B10" s="586">
        <v>-4880</v>
      </c>
    </row>
    <row r="11" spans="1:15">
      <c r="A11" s="18" t="s">
        <v>1311</v>
      </c>
    </row>
    <row r="12" spans="1:15">
      <c r="A12" s="512" t="s">
        <v>1305</v>
      </c>
      <c r="B12" s="2" t="s">
        <v>1306</v>
      </c>
    </row>
    <row r="13" spans="1:15">
      <c r="A13" s="512" t="s">
        <v>1305</v>
      </c>
      <c r="B13" s="2" t="s">
        <v>1307</v>
      </c>
    </row>
    <row r="14" spans="1:15">
      <c r="A14" s="545" t="s">
        <v>1305</v>
      </c>
      <c r="B14" s="586">
        <v>-3200</v>
      </c>
    </row>
    <row r="15" spans="1:15">
      <c r="A15" s="18" t="s">
        <v>1312</v>
      </c>
      <c r="B15" s="152"/>
    </row>
    <row r="16" spans="1:15">
      <c r="A16" s="512" t="s">
        <v>1275</v>
      </c>
      <c r="B16" s="152" t="s">
        <v>1308</v>
      </c>
    </row>
    <row r="17" spans="1:2">
      <c r="A17" s="512" t="s">
        <v>1275</v>
      </c>
      <c r="B17" s="152" t="s">
        <v>1309</v>
      </c>
    </row>
    <row r="18" spans="1:2">
      <c r="A18" s="545" t="s">
        <v>1275</v>
      </c>
      <c r="B18" s="586">
        <v>-1679.9999999999941</v>
      </c>
    </row>
    <row r="19" spans="1:2">
      <c r="A19" s="512"/>
      <c r="B19" s="152"/>
    </row>
    <row r="20" spans="1:2">
      <c r="A20" s="1" t="s">
        <v>1278</v>
      </c>
      <c r="B20" s="152"/>
    </row>
    <row r="21" spans="1:2">
      <c r="A21" s="18" t="s">
        <v>1318</v>
      </c>
      <c r="B21" s="152"/>
    </row>
    <row r="22" spans="1:2">
      <c r="A22" s="512" t="s">
        <v>1313</v>
      </c>
      <c r="B22" s="152" t="s">
        <v>1314</v>
      </c>
    </row>
    <row r="23" spans="1:2">
      <c r="A23" s="512" t="s">
        <v>1313</v>
      </c>
      <c r="B23" s="152" t="s">
        <v>1315</v>
      </c>
    </row>
    <row r="24" spans="1:2">
      <c r="A24" s="512" t="s">
        <v>1313</v>
      </c>
      <c r="B24" s="152" t="s">
        <v>1316</v>
      </c>
    </row>
    <row r="25" spans="1:2">
      <c r="A25" s="512" t="s">
        <v>1313</v>
      </c>
      <c r="B25" s="152" t="s">
        <v>1317</v>
      </c>
    </row>
    <row r="26" spans="1:2">
      <c r="A26" s="543" t="s">
        <v>1313</v>
      </c>
      <c r="B26" s="586">
        <f>-2132</f>
        <v>-2132</v>
      </c>
    </row>
    <row r="27" spans="1:2">
      <c r="A27" s="512"/>
      <c r="B27" s="152"/>
    </row>
    <row r="28" spans="1:2">
      <c r="A28" s="18" t="s">
        <v>2355</v>
      </c>
      <c r="B28" s="152"/>
    </row>
    <row r="29" spans="1:2">
      <c r="A29" s="512" t="s">
        <v>1281</v>
      </c>
      <c r="B29" s="152" t="s">
        <v>1319</v>
      </c>
    </row>
    <row r="30" spans="1:2">
      <c r="A30" s="512" t="s">
        <v>1281</v>
      </c>
      <c r="B30" s="152" t="s">
        <v>1320</v>
      </c>
    </row>
    <row r="31" spans="1:2">
      <c r="A31" s="543" t="s">
        <v>1281</v>
      </c>
      <c r="B31" s="586">
        <v>-1920</v>
      </c>
    </row>
    <row r="32" spans="1:2">
      <c r="A32" s="543"/>
      <c r="B32" s="544"/>
    </row>
    <row r="33" spans="1:15">
      <c r="A33" s="3" t="s">
        <v>2356</v>
      </c>
      <c r="B33" s="544"/>
    </row>
    <row r="34" spans="1:15">
      <c r="A34" s="512" t="s">
        <v>1284</v>
      </c>
      <c r="B34" s="152" t="s">
        <v>1321</v>
      </c>
    </row>
    <row r="35" spans="1:15">
      <c r="A35" s="512" t="s">
        <v>1322</v>
      </c>
      <c r="B35" s="152" t="s">
        <v>1323</v>
      </c>
    </row>
    <row r="36" spans="1:15">
      <c r="A36" s="543" t="s">
        <v>1322</v>
      </c>
      <c r="B36" s="586">
        <v>-212</v>
      </c>
    </row>
    <row r="37" spans="1:15">
      <c r="A37" s="543"/>
      <c r="B37" s="544"/>
    </row>
    <row r="38" spans="1:15">
      <c r="A38" s="60" t="s">
        <v>1287</v>
      </c>
      <c r="B38" s="544"/>
    </row>
    <row r="39" spans="1:15">
      <c r="A39" s="548"/>
      <c r="B39" s="547"/>
      <c r="C39" s="46"/>
      <c r="D39" s="46"/>
      <c r="E39" s="46"/>
      <c r="F39" s="46"/>
      <c r="G39" s="46"/>
      <c r="H39" s="46"/>
      <c r="I39" s="46"/>
      <c r="J39" s="46"/>
      <c r="K39" s="46"/>
      <c r="L39" s="14"/>
      <c r="M39" s="14"/>
      <c r="N39" s="14"/>
      <c r="O39" s="14"/>
    </row>
    <row r="40" spans="1:15" ht="15.75" customHeight="1">
      <c r="A40" s="536" t="s">
        <v>1353</v>
      </c>
      <c r="B40" s="1047" t="s">
        <v>1324</v>
      </c>
      <c r="C40" s="1048"/>
      <c r="D40" s="1074" t="s">
        <v>1325</v>
      </c>
      <c r="E40" s="1074"/>
      <c r="F40" s="1074" t="s">
        <v>1326</v>
      </c>
      <c r="G40" s="1074"/>
      <c r="H40" s="1074" t="s">
        <v>507</v>
      </c>
      <c r="I40" s="1074"/>
      <c r="J40" s="1074" t="s">
        <v>508</v>
      </c>
      <c r="K40" s="1074"/>
    </row>
    <row r="41" spans="1:15" ht="15" customHeight="1">
      <c r="A41" s="536" t="s">
        <v>1332</v>
      </c>
      <c r="B41" s="1047" t="s">
        <v>1327</v>
      </c>
      <c r="C41" s="1048"/>
      <c r="D41" s="1074" t="s">
        <v>1328</v>
      </c>
      <c r="E41" s="1074"/>
      <c r="F41" s="1074" t="s">
        <v>1329</v>
      </c>
      <c r="G41" s="1074"/>
      <c r="H41" s="1074" t="s">
        <v>1329</v>
      </c>
      <c r="I41" s="1074"/>
      <c r="J41" s="1074" t="s">
        <v>1330</v>
      </c>
      <c r="K41" s="1074"/>
    </row>
    <row r="42" spans="1:15">
      <c r="A42" s="541" t="s">
        <v>1331</v>
      </c>
      <c r="B42" s="550">
        <v>6</v>
      </c>
      <c r="C42" s="550">
        <v>60000</v>
      </c>
      <c r="D42" s="550">
        <v>6</v>
      </c>
      <c r="E42" s="550">
        <v>48000</v>
      </c>
      <c r="F42" s="550">
        <v>6</v>
      </c>
      <c r="G42" s="550">
        <v>57000</v>
      </c>
      <c r="H42" s="550">
        <v>6</v>
      </c>
      <c r="I42" s="550">
        <v>57000</v>
      </c>
      <c r="J42" s="1092">
        <v>54240</v>
      </c>
      <c r="K42" s="1092"/>
    </row>
    <row r="43" spans="1:15">
      <c r="A43" s="541" t="s">
        <v>1262</v>
      </c>
      <c r="B43" s="550">
        <v>12</v>
      </c>
      <c r="C43" s="550">
        <v>120000</v>
      </c>
      <c r="D43" s="550">
        <v>12</v>
      </c>
      <c r="E43" s="550">
        <v>96000</v>
      </c>
      <c r="F43" s="550">
        <v>12</v>
      </c>
      <c r="G43" s="550">
        <v>114000</v>
      </c>
      <c r="H43" s="550">
        <v>12.63</v>
      </c>
      <c r="I43" s="550">
        <v>120000</v>
      </c>
      <c r="J43" s="1092">
        <v>110400</v>
      </c>
      <c r="K43" s="1092"/>
    </row>
    <row r="44" spans="1:15">
      <c r="A44" s="541" t="s">
        <v>183</v>
      </c>
      <c r="B44" s="550">
        <v>18</v>
      </c>
      <c r="C44" s="550">
        <v>180000</v>
      </c>
      <c r="D44" s="550">
        <v>18</v>
      </c>
      <c r="E44" s="550">
        <v>144000</v>
      </c>
      <c r="F44" s="550">
        <v>18</v>
      </c>
      <c r="G44" s="550">
        <v>171000</v>
      </c>
      <c r="H44" s="550"/>
      <c r="I44" s="550">
        <v>177000</v>
      </c>
      <c r="J44" s="1092">
        <v>164640</v>
      </c>
      <c r="K44" s="1092"/>
    </row>
    <row r="45" spans="1:15">
      <c r="A45" s="549"/>
      <c r="B45" s="403"/>
      <c r="C45" s="403"/>
      <c r="D45" s="403"/>
      <c r="E45" s="403"/>
      <c r="F45" s="403"/>
      <c r="G45" s="403"/>
      <c r="H45" s="403"/>
      <c r="I45" s="403"/>
      <c r="J45" s="566"/>
      <c r="K45" s="566"/>
    </row>
    <row r="46" spans="1:15" ht="15" customHeight="1">
      <c r="A46" s="551"/>
      <c r="B46" s="552"/>
      <c r="C46" s="552"/>
      <c r="D46" s="571" t="s">
        <v>1342</v>
      </c>
      <c r="E46" s="564" t="s">
        <v>1346</v>
      </c>
      <c r="F46" s="570">
        <f>E44-G44</f>
        <v>-27000</v>
      </c>
      <c r="H46" s="209" t="s">
        <v>1345</v>
      </c>
      <c r="I46" s="567">
        <f>G44-I44</f>
        <v>-6000</v>
      </c>
      <c r="J46" s="403">
        <f>I44-J44</f>
        <v>12360</v>
      </c>
      <c r="K46" s="403" t="s">
        <v>1347</v>
      </c>
      <c r="N46" s="80"/>
    </row>
    <row r="47" spans="1:15" ht="15.75" customHeight="1">
      <c r="A47" s="551"/>
      <c r="B47" s="552"/>
      <c r="C47" s="552"/>
      <c r="D47" s="552"/>
      <c r="E47" s="403"/>
      <c r="F47" s="403"/>
      <c r="G47" s="403"/>
      <c r="H47" s="403"/>
      <c r="I47" s="403"/>
      <c r="J47" s="403"/>
      <c r="K47" s="403"/>
      <c r="L47" s="546"/>
      <c r="M47" s="546"/>
      <c r="N47" s="80"/>
    </row>
    <row r="48" spans="1:15" ht="15.75" customHeight="1">
      <c r="A48" s="551"/>
      <c r="B48" s="552"/>
      <c r="C48" s="552"/>
      <c r="D48" s="552"/>
      <c r="E48" s="403"/>
      <c r="F48" s="403"/>
      <c r="G48" s="566" t="s">
        <v>1352</v>
      </c>
      <c r="H48" s="403">
        <f>E44-J44</f>
        <v>-20640</v>
      </c>
      <c r="I48" s="403"/>
      <c r="J48" s="403"/>
      <c r="K48" s="403"/>
      <c r="L48" s="546"/>
      <c r="M48" s="546"/>
      <c r="N48" s="80"/>
    </row>
    <row r="49" spans="1:13">
      <c r="A49" s="60" t="s">
        <v>839</v>
      </c>
      <c r="B49" s="544"/>
    </row>
    <row r="50" spans="1:13">
      <c r="A50" s="513" t="s">
        <v>1583</v>
      </c>
      <c r="B50" s="544"/>
    </row>
    <row r="51" spans="1:13">
      <c r="A51" s="513" t="s">
        <v>1584</v>
      </c>
      <c r="B51" s="544"/>
    </row>
    <row r="52" spans="1:13">
      <c r="A52" s="513" t="s">
        <v>1585</v>
      </c>
      <c r="B52" s="544"/>
    </row>
    <row r="53" spans="1:13">
      <c r="A53" s="543"/>
      <c r="B53" s="544"/>
    </row>
    <row r="54" spans="1:13">
      <c r="A54" s="1" t="s">
        <v>2354</v>
      </c>
      <c r="B54" s="544"/>
    </row>
    <row r="55" spans="1:13">
      <c r="A55" s="1"/>
      <c r="B55" s="544"/>
    </row>
    <row r="56" spans="1:13" ht="12.75" customHeight="1">
      <c r="A56" s="536" t="s">
        <v>1351</v>
      </c>
      <c r="B56" s="1047" t="s">
        <v>1324</v>
      </c>
      <c r="C56" s="1048"/>
      <c r="D56" s="1074" t="s">
        <v>1325</v>
      </c>
      <c r="E56" s="1074"/>
      <c r="F56" s="1074" t="s">
        <v>1326</v>
      </c>
      <c r="G56" s="1074"/>
      <c r="H56" s="1047" t="s">
        <v>1288</v>
      </c>
      <c r="I56" s="1048"/>
      <c r="J56" s="1082" t="s">
        <v>507</v>
      </c>
      <c r="K56" s="1082"/>
      <c r="L56" s="1074" t="s">
        <v>508</v>
      </c>
      <c r="M56" s="1074"/>
    </row>
    <row r="57" spans="1:13" ht="12.75" customHeight="1">
      <c r="A57" s="536" t="s">
        <v>1332</v>
      </c>
      <c r="B57" s="1047" t="s">
        <v>1355</v>
      </c>
      <c r="C57" s="1048"/>
      <c r="D57" s="1074" t="s">
        <v>1587</v>
      </c>
      <c r="E57" s="1074"/>
      <c r="F57" s="1074" t="s">
        <v>1356</v>
      </c>
      <c r="G57" s="1074"/>
      <c r="H57" s="1047" t="s">
        <v>1586</v>
      </c>
      <c r="I57" s="1048"/>
      <c r="J57" s="1074" t="s">
        <v>1356</v>
      </c>
      <c r="K57" s="1074"/>
      <c r="L57" s="1074" t="s">
        <v>1356</v>
      </c>
      <c r="M57" s="1074"/>
    </row>
    <row r="58" spans="1:13" ht="12.75" customHeight="1">
      <c r="A58" s="541" t="s">
        <v>1210</v>
      </c>
      <c r="B58" s="560" t="s">
        <v>1334</v>
      </c>
      <c r="C58" s="569">
        <v>23000</v>
      </c>
      <c r="D58" s="560">
        <v>2.5</v>
      </c>
      <c r="E58" s="388">
        <v>25000</v>
      </c>
      <c r="F58" s="560">
        <v>2.5</v>
      </c>
      <c r="G58" s="388">
        <v>25500</v>
      </c>
      <c r="H58" s="380">
        <v>2.5</v>
      </c>
      <c r="I58" s="388">
        <v>25000</v>
      </c>
      <c r="J58" s="560">
        <v>2.5</v>
      </c>
      <c r="K58" s="569">
        <v>25500</v>
      </c>
      <c r="L58" s="1092">
        <v>23450</v>
      </c>
      <c r="M58" s="1092"/>
    </row>
    <row r="59" spans="1:13" ht="12.75" customHeight="1">
      <c r="A59" s="541" t="s">
        <v>1262</v>
      </c>
      <c r="B59" s="560">
        <v>3</v>
      </c>
      <c r="C59" s="560" t="s">
        <v>1357</v>
      </c>
      <c r="D59" s="560">
        <v>3</v>
      </c>
      <c r="E59" s="560" t="s">
        <v>1358</v>
      </c>
      <c r="F59" s="560" t="s">
        <v>1335</v>
      </c>
      <c r="G59" s="388" t="s">
        <v>1588</v>
      </c>
      <c r="H59" s="380">
        <v>2.76</v>
      </c>
      <c r="I59" s="388">
        <v>27600</v>
      </c>
      <c r="J59" s="560">
        <v>2.7</v>
      </c>
      <c r="K59" s="560" t="s">
        <v>1357</v>
      </c>
      <c r="L59" s="1092">
        <v>32040</v>
      </c>
      <c r="M59" s="1092"/>
    </row>
    <row r="60" spans="1:13" ht="12.75" customHeight="1">
      <c r="A60" s="541" t="s">
        <v>183</v>
      </c>
      <c r="B60" s="560">
        <v>5.5</v>
      </c>
      <c r="C60" s="569">
        <v>50600</v>
      </c>
      <c r="D60" s="560">
        <v>5.5</v>
      </c>
      <c r="E60" s="569">
        <v>55000</v>
      </c>
      <c r="F60" s="560">
        <v>5.5</v>
      </c>
      <c r="G60" s="388">
        <v>56100</v>
      </c>
      <c r="H60" s="380"/>
      <c r="I60" s="388">
        <f>SUM(I58:I59)</f>
        <v>52600</v>
      </c>
      <c r="J60" s="560"/>
      <c r="K60" s="569">
        <v>53100</v>
      </c>
      <c r="L60" s="1092">
        <v>55490</v>
      </c>
      <c r="M60" s="1092"/>
    </row>
    <row r="61" spans="1:13" ht="12.75" customHeight="1">
      <c r="A61" s="549"/>
      <c r="B61" s="563"/>
      <c r="C61" s="563"/>
      <c r="D61" s="563"/>
      <c r="E61" s="563"/>
      <c r="F61" s="563"/>
      <c r="G61" s="384"/>
      <c r="H61" s="563"/>
      <c r="I61" s="563"/>
      <c r="J61" s="563"/>
      <c r="K61" s="563"/>
    </row>
    <row r="62" spans="1:13" ht="12.75" customHeight="1">
      <c r="A62" s="539"/>
      <c r="B62" s="539"/>
      <c r="C62" s="539"/>
      <c r="D62" s="540" t="s">
        <v>1342</v>
      </c>
      <c r="E62" s="564" t="s">
        <v>1346</v>
      </c>
      <c r="F62" s="565">
        <f>E60-G60</f>
        <v>-1100</v>
      </c>
      <c r="H62" s="566" t="s">
        <v>1345</v>
      </c>
      <c r="I62" s="209">
        <f>G60-K60</f>
        <v>3000</v>
      </c>
      <c r="L62" s="209">
        <f>K60-L60</f>
        <v>-2390</v>
      </c>
      <c r="M62" s="567" t="s">
        <v>1347</v>
      </c>
    </row>
    <row r="63" spans="1:13" ht="12.75" customHeight="1">
      <c r="A63" s="1"/>
      <c r="B63" s="544"/>
    </row>
    <row r="64" spans="1:13">
      <c r="D64" s="540" t="s">
        <v>1343</v>
      </c>
      <c r="F64" s="564" t="s">
        <v>1345</v>
      </c>
      <c r="G64" s="565">
        <f>E60-I60</f>
        <v>2400</v>
      </c>
      <c r="I64" s="537" t="s">
        <v>1344</v>
      </c>
      <c r="J64" s="568">
        <f>I60-K60</f>
        <v>-500</v>
      </c>
      <c r="L64" s="538">
        <f>K60-L60</f>
        <v>-2390</v>
      </c>
      <c r="M64" s="18" t="s">
        <v>1347</v>
      </c>
    </row>
    <row r="66" spans="1:13">
      <c r="D66" s="2" t="s">
        <v>1348</v>
      </c>
      <c r="E66" s="564" t="s">
        <v>1349</v>
      </c>
      <c r="F66" s="565">
        <f>E60-G60</f>
        <v>-1100</v>
      </c>
      <c r="H66" s="566" t="s">
        <v>1345</v>
      </c>
      <c r="I66" s="209">
        <f>G60-I60</f>
        <v>3500</v>
      </c>
      <c r="J66" s="2" t="s">
        <v>1344</v>
      </c>
      <c r="K66" s="568">
        <f>I60-K60</f>
        <v>-500</v>
      </c>
      <c r="L66" s="538">
        <f>K60-L60</f>
        <v>-2390</v>
      </c>
      <c r="M66" s="18" t="s">
        <v>1347</v>
      </c>
    </row>
    <row r="68" spans="1:13">
      <c r="D68" s="2" t="s">
        <v>1350</v>
      </c>
      <c r="E68" s="564" t="s">
        <v>1349</v>
      </c>
      <c r="F68" s="565">
        <f>E60-G60</f>
        <v>-1100</v>
      </c>
      <c r="H68" s="566" t="s">
        <v>1345</v>
      </c>
      <c r="I68" s="209">
        <f>G60-I60</f>
        <v>3500</v>
      </c>
      <c r="J68" s="2" t="s">
        <v>1344</v>
      </c>
      <c r="K68" s="568">
        <f>I60-K60</f>
        <v>-500</v>
      </c>
      <c r="L68" s="538">
        <f>K60-L60</f>
        <v>-2390</v>
      </c>
      <c r="M68" s="18" t="s">
        <v>1347</v>
      </c>
    </row>
    <row r="69" spans="1:13">
      <c r="B69" s="544"/>
    </row>
    <row r="70" spans="1:13">
      <c r="H70" s="2" t="s">
        <v>1352</v>
      </c>
      <c r="I70" s="538">
        <f>E60-L60</f>
        <v>-490</v>
      </c>
    </row>
    <row r="72" spans="1:13">
      <c r="A72" s="1" t="s">
        <v>1333</v>
      </c>
      <c r="B72" s="152"/>
    </row>
    <row r="73" spans="1:13">
      <c r="A73" s="562" t="s">
        <v>1382</v>
      </c>
    </row>
    <row r="74" spans="1:13">
      <c r="A74" s="562" t="s">
        <v>1336</v>
      </c>
    </row>
    <row r="75" spans="1:13">
      <c r="A75" s="562" t="s">
        <v>1337</v>
      </c>
    </row>
    <row r="76" spans="1:13">
      <c r="A76" s="562" t="s">
        <v>1338</v>
      </c>
    </row>
    <row r="77" spans="1:13">
      <c r="A77" s="562" t="s">
        <v>1339</v>
      </c>
    </row>
    <row r="78" spans="1:13">
      <c r="A78" s="562" t="s">
        <v>1340</v>
      </c>
    </row>
    <row r="79" spans="1:13">
      <c r="A79" s="562" t="s">
        <v>1341</v>
      </c>
    </row>
    <row r="80" spans="1:13">
      <c r="A80" s="1"/>
      <c r="B80" s="544"/>
    </row>
    <row r="81" spans="1:9">
      <c r="A81" s="1" t="s">
        <v>2357</v>
      </c>
      <c r="B81" s="544"/>
    </row>
    <row r="82" spans="1:9">
      <c r="A82" s="1" t="s">
        <v>1360</v>
      </c>
      <c r="B82" s="544"/>
      <c r="F82" s="1" t="s">
        <v>1361</v>
      </c>
      <c r="G82" s="544"/>
    </row>
    <row r="83" spans="1:9">
      <c r="A83" s="1"/>
      <c r="B83" s="576" t="s">
        <v>1359</v>
      </c>
      <c r="C83" s="554" t="s">
        <v>1257</v>
      </c>
      <c r="D83" s="554" t="s">
        <v>824</v>
      </c>
      <c r="F83" s="1"/>
      <c r="G83" s="576" t="s">
        <v>1359</v>
      </c>
      <c r="H83" s="554" t="s">
        <v>1257</v>
      </c>
      <c r="I83" s="554" t="s">
        <v>824</v>
      </c>
    </row>
    <row r="84" spans="1:9">
      <c r="A84" s="2" t="s">
        <v>50</v>
      </c>
      <c r="B84" s="578">
        <v>5000</v>
      </c>
      <c r="C84" s="49">
        <v>4</v>
      </c>
      <c r="D84" s="68">
        <f>B84*C84</f>
        <v>20000</v>
      </c>
      <c r="F84" s="2" t="s">
        <v>50</v>
      </c>
      <c r="G84" s="578">
        <v>7000</v>
      </c>
      <c r="H84" s="49">
        <v>6</v>
      </c>
      <c r="I84" s="68">
        <f>G84*H84</f>
        <v>42000</v>
      </c>
    </row>
    <row r="85" spans="1:9">
      <c r="A85" s="2" t="s">
        <v>1259</v>
      </c>
      <c r="B85" s="578">
        <v>30000</v>
      </c>
      <c r="C85" s="49">
        <v>5</v>
      </c>
      <c r="D85" s="68">
        <f>B85*C85</f>
        <v>150000</v>
      </c>
      <c r="F85" s="2" t="s">
        <v>1259</v>
      </c>
      <c r="G85" s="578">
        <v>24000</v>
      </c>
      <c r="H85" s="49">
        <v>7</v>
      </c>
      <c r="I85" s="68">
        <f>G85*H85</f>
        <v>168000</v>
      </c>
    </row>
    <row r="86" spans="1:9" ht="13.5" thickBot="1">
      <c r="A86" s="2" t="s">
        <v>1260</v>
      </c>
      <c r="B86" s="581">
        <v>-10000</v>
      </c>
      <c r="C86" s="49">
        <f>(D84+D85)/(B84+B85)</f>
        <v>4.8571428571428568</v>
      </c>
      <c r="D86" s="514">
        <f>B86*C86</f>
        <v>-48571.428571428565</v>
      </c>
      <c r="F86" s="2" t="s">
        <v>1260</v>
      </c>
      <c r="G86" s="581">
        <v>-8000</v>
      </c>
      <c r="H86" s="49">
        <f>(I84+I85)/(G84+G85)</f>
        <v>6.774193548387097</v>
      </c>
      <c r="I86" s="514">
        <f>G86*H86</f>
        <v>-54193.548387096773</v>
      </c>
    </row>
    <row r="87" spans="1:9">
      <c r="A87" s="2" t="s">
        <v>845</v>
      </c>
      <c r="B87" s="577">
        <f>B84+B85+B86</f>
        <v>25000</v>
      </c>
      <c r="C87" s="54">
        <f>C86</f>
        <v>4.8571428571428568</v>
      </c>
      <c r="D87" s="579">
        <f>B87*C87</f>
        <v>121428.57142857142</v>
      </c>
      <c r="F87" s="2" t="s">
        <v>845</v>
      </c>
      <c r="G87" s="577">
        <f>G84+G85+G86</f>
        <v>23000</v>
      </c>
      <c r="H87" s="54">
        <f>H86</f>
        <v>6.774193548387097</v>
      </c>
      <c r="I87" s="579">
        <f>G87*H87</f>
        <v>155806.45161290324</v>
      </c>
    </row>
    <row r="88" spans="1:9">
      <c r="A88" s="1"/>
      <c r="B88" s="544"/>
    </row>
    <row r="89" spans="1:9">
      <c r="A89" s="1" t="s">
        <v>846</v>
      </c>
      <c r="B89" s="544"/>
    </row>
    <row r="90" spans="1:9">
      <c r="A90" s="17">
        <v>2510</v>
      </c>
      <c r="B90" s="152" t="s">
        <v>108</v>
      </c>
      <c r="C90" s="49">
        <v>11</v>
      </c>
      <c r="D90" s="580">
        <f>A90*C90</f>
        <v>27610</v>
      </c>
    </row>
    <row r="91" spans="1:9">
      <c r="A91" s="1"/>
      <c r="B91" s="544"/>
    </row>
    <row r="92" spans="1:9">
      <c r="A92" s="1" t="s">
        <v>685</v>
      </c>
      <c r="B92" s="544"/>
      <c r="C92" s="61" t="s">
        <v>1262</v>
      </c>
      <c r="D92" s="61" t="s">
        <v>1210</v>
      </c>
    </row>
    <row r="93" spans="1:9">
      <c r="A93" s="2" t="s">
        <v>435</v>
      </c>
      <c r="B93" s="544"/>
      <c r="C93" s="43"/>
      <c r="D93" s="43">
        <v>2100</v>
      </c>
    </row>
    <row r="94" spans="1:9">
      <c r="A94" s="2" t="s">
        <v>1362</v>
      </c>
      <c r="B94" s="544"/>
      <c r="C94" s="43">
        <v>5200</v>
      </c>
      <c r="D94" s="43"/>
    </row>
    <row r="95" spans="1:9">
      <c r="A95" s="2" t="s">
        <v>1363</v>
      </c>
      <c r="B95" s="544"/>
      <c r="C95" s="43">
        <v>12000</v>
      </c>
      <c r="D95" s="43"/>
    </row>
    <row r="96" spans="1:9">
      <c r="A96" s="2" t="s">
        <v>1364</v>
      </c>
      <c r="B96" s="544"/>
      <c r="C96" s="43"/>
      <c r="D96" s="43">
        <v>21000</v>
      </c>
    </row>
    <row r="97" spans="1:4" ht="13.5" thickBot="1">
      <c r="A97" s="2" t="s">
        <v>1264</v>
      </c>
      <c r="B97" s="544"/>
      <c r="C97" s="514">
        <v>14000</v>
      </c>
      <c r="D97" s="514"/>
    </row>
    <row r="98" spans="1:4">
      <c r="A98" s="1"/>
      <c r="B98" s="544"/>
      <c r="C98" s="582">
        <f>SUM(C93:C97)</f>
        <v>31200</v>
      </c>
      <c r="D98" s="582">
        <f>SUM(D93:D97)</f>
        <v>23100</v>
      </c>
    </row>
    <row r="99" spans="1:4">
      <c r="A99" s="1"/>
      <c r="B99" s="544"/>
    </row>
    <row r="100" spans="1:4">
      <c r="A100" s="2" t="s">
        <v>1365</v>
      </c>
      <c r="B100" s="544"/>
      <c r="C100" s="579">
        <f>C98+D98</f>
        <v>54300</v>
      </c>
    </row>
    <row r="101" spans="1:4">
      <c r="A101" s="1"/>
      <c r="B101" s="544"/>
    </row>
    <row r="102" spans="1:4">
      <c r="A102" s="1" t="s">
        <v>1269</v>
      </c>
      <c r="B102" s="544"/>
    </row>
    <row r="103" spans="1:4">
      <c r="A103" s="2" t="s">
        <v>1360</v>
      </c>
      <c r="B103" s="544"/>
    </row>
    <row r="104" spans="1:4">
      <c r="A104" s="555" t="s">
        <v>1304</v>
      </c>
      <c r="B104" s="2" t="s">
        <v>1300</v>
      </c>
    </row>
    <row r="105" spans="1:4">
      <c r="A105" s="555" t="s">
        <v>1313</v>
      </c>
      <c r="B105" s="152" t="s">
        <v>1366</v>
      </c>
    </row>
    <row r="106" spans="1:4">
      <c r="A106" s="555" t="s">
        <v>1313</v>
      </c>
      <c r="B106" s="152" t="s">
        <v>1367</v>
      </c>
    </row>
    <row r="107" spans="1:4">
      <c r="A107" s="543" t="s">
        <v>1313</v>
      </c>
      <c r="B107" s="583">
        <v>13500</v>
      </c>
      <c r="C107" s="1"/>
    </row>
    <row r="108" spans="1:4">
      <c r="A108" s="543"/>
      <c r="B108" s="583"/>
    </row>
    <row r="109" spans="1:4">
      <c r="A109" s="18" t="s">
        <v>1361</v>
      </c>
      <c r="B109" s="583"/>
    </row>
    <row r="110" spans="1:4">
      <c r="A110" s="555" t="s">
        <v>1304</v>
      </c>
      <c r="B110" s="2" t="s">
        <v>1300</v>
      </c>
    </row>
    <row r="111" spans="1:4">
      <c r="A111" s="555" t="s">
        <v>1313</v>
      </c>
      <c r="B111" s="584" t="s">
        <v>1370</v>
      </c>
    </row>
    <row r="112" spans="1:4">
      <c r="A112" s="555" t="s">
        <v>1313</v>
      </c>
      <c r="B112" s="584" t="s">
        <v>1371</v>
      </c>
    </row>
    <row r="113" spans="1:3">
      <c r="A113" s="543" t="s">
        <v>1313</v>
      </c>
      <c r="B113" s="585">
        <v>-11710</v>
      </c>
      <c r="C113" s="1"/>
    </row>
    <row r="114" spans="1:3">
      <c r="A114" s="1"/>
      <c r="B114" s="544"/>
    </row>
    <row r="115" spans="1:3">
      <c r="A115" s="1" t="s">
        <v>1279</v>
      </c>
      <c r="B115" s="544"/>
    </row>
    <row r="116" spans="1:3">
      <c r="A116" s="1" t="s">
        <v>1372</v>
      </c>
      <c r="B116" s="544"/>
    </row>
    <row r="117" spans="1:3">
      <c r="A117" s="2" t="s">
        <v>1360</v>
      </c>
      <c r="B117" s="544"/>
    </row>
    <row r="118" spans="1:3">
      <c r="A118" s="555" t="s">
        <v>1305</v>
      </c>
      <c r="B118" s="2" t="s">
        <v>1306</v>
      </c>
    </row>
    <row r="119" spans="1:3">
      <c r="A119" s="555" t="s">
        <v>1305</v>
      </c>
      <c r="B119" s="152" t="s">
        <v>1368</v>
      </c>
    </row>
    <row r="120" spans="1:3">
      <c r="A120" s="543" t="s">
        <v>1305</v>
      </c>
      <c r="B120" s="583">
        <v>10000</v>
      </c>
      <c r="C120" s="1"/>
    </row>
    <row r="121" spans="1:3">
      <c r="A121" s="543"/>
      <c r="B121" s="583"/>
    </row>
    <row r="122" spans="1:3">
      <c r="A122" s="18" t="s">
        <v>1361</v>
      </c>
      <c r="B122" s="583"/>
    </row>
    <row r="123" spans="1:3">
      <c r="A123" s="555" t="s">
        <v>1305</v>
      </c>
      <c r="B123" s="2" t="s">
        <v>1306</v>
      </c>
    </row>
    <row r="124" spans="1:3">
      <c r="A124" s="555" t="s">
        <v>1305</v>
      </c>
      <c r="B124" s="152" t="s">
        <v>1375</v>
      </c>
    </row>
    <row r="125" spans="1:3">
      <c r="A125" s="543" t="s">
        <v>1305</v>
      </c>
      <c r="B125" s="585">
        <v>-40000</v>
      </c>
      <c r="C125" s="1"/>
    </row>
    <row r="126" spans="1:3">
      <c r="A126" s="543"/>
      <c r="B126" s="583"/>
    </row>
    <row r="127" spans="1:3">
      <c r="A127" s="1" t="s">
        <v>1373</v>
      </c>
      <c r="B127" s="544"/>
    </row>
    <row r="128" spans="1:3">
      <c r="A128" s="2" t="s">
        <v>1360</v>
      </c>
      <c r="B128" s="544"/>
    </row>
    <row r="129" spans="1:2">
      <c r="A129" s="555" t="s">
        <v>1275</v>
      </c>
      <c r="B129" s="152" t="s">
        <v>1308</v>
      </c>
    </row>
    <row r="130" spans="1:2">
      <c r="A130" s="555" t="s">
        <v>1275</v>
      </c>
      <c r="B130" s="152" t="s">
        <v>1369</v>
      </c>
    </row>
    <row r="131" spans="1:2">
      <c r="A131" s="543" t="s">
        <v>1275</v>
      </c>
      <c r="B131" s="583">
        <v>3500</v>
      </c>
    </row>
    <row r="132" spans="1:2">
      <c r="A132" s="1"/>
      <c r="B132" s="544"/>
    </row>
    <row r="133" spans="1:2">
      <c r="A133" s="2" t="s">
        <v>1361</v>
      </c>
      <c r="B133" s="544"/>
    </row>
    <row r="134" spans="1:2">
      <c r="A134" s="555" t="s">
        <v>1275</v>
      </c>
      <c r="B134" s="152" t="s">
        <v>1308</v>
      </c>
    </row>
    <row r="135" spans="1:2">
      <c r="A135" s="555" t="s">
        <v>1275</v>
      </c>
      <c r="B135" s="152" t="s">
        <v>1374</v>
      </c>
    </row>
    <row r="136" spans="1:2">
      <c r="A136" s="543" t="s">
        <v>1275</v>
      </c>
      <c r="B136" s="583">
        <v>28290</v>
      </c>
    </row>
    <row r="137" spans="1:2">
      <c r="A137" s="543"/>
      <c r="B137" s="583"/>
    </row>
    <row r="138" spans="1:2">
      <c r="A138" s="1" t="s">
        <v>1278</v>
      </c>
      <c r="B138" s="583"/>
    </row>
    <row r="139" spans="1:2">
      <c r="A139" s="543"/>
      <c r="B139" s="583"/>
    </row>
    <row r="140" spans="1:2">
      <c r="A140" s="555" t="s">
        <v>1313</v>
      </c>
      <c r="B140" s="152" t="s">
        <v>1314</v>
      </c>
    </row>
    <row r="141" spans="1:2">
      <c r="A141" s="555" t="s">
        <v>1313</v>
      </c>
      <c r="B141" s="152" t="s">
        <v>1376</v>
      </c>
    </row>
    <row r="142" spans="1:2">
      <c r="A142" s="555" t="s">
        <v>1313</v>
      </c>
      <c r="B142" s="152" t="s">
        <v>1377</v>
      </c>
    </row>
    <row r="143" spans="1:2">
      <c r="A143" s="543" t="s">
        <v>1313</v>
      </c>
      <c r="B143" s="586">
        <v>-610</v>
      </c>
    </row>
    <row r="144" spans="1:2">
      <c r="A144" s="543"/>
      <c r="B144" s="583"/>
    </row>
    <row r="145" spans="1:13">
      <c r="A145" s="60" t="s">
        <v>1378</v>
      </c>
      <c r="B145" s="583"/>
    </row>
    <row r="146" spans="1:13">
      <c r="A146" s="543"/>
      <c r="B146" s="583"/>
    </row>
    <row r="147" spans="1:13">
      <c r="A147" s="555" t="s">
        <v>1281</v>
      </c>
      <c r="B147" s="152" t="s">
        <v>1319</v>
      </c>
    </row>
    <row r="148" spans="1:13">
      <c r="A148" s="555" t="s">
        <v>1281</v>
      </c>
      <c r="B148" s="584" t="s">
        <v>1379</v>
      </c>
    </row>
    <row r="149" spans="1:13">
      <c r="A149" s="543" t="s">
        <v>1281</v>
      </c>
      <c r="B149" s="583">
        <v>1900</v>
      </c>
    </row>
    <row r="150" spans="1:13">
      <c r="A150" s="543"/>
      <c r="B150" s="544"/>
    </row>
    <row r="151" spans="1:13">
      <c r="A151" s="555" t="s">
        <v>1284</v>
      </c>
      <c r="B151" s="152" t="s">
        <v>1321</v>
      </c>
    </row>
    <row r="152" spans="1:13">
      <c r="A152" s="555" t="s">
        <v>1322</v>
      </c>
      <c r="B152" s="152" t="s">
        <v>1380</v>
      </c>
    </row>
    <row r="153" spans="1:13">
      <c r="A153" s="543" t="s">
        <v>1322</v>
      </c>
      <c r="B153" s="586">
        <v>-2510</v>
      </c>
    </row>
    <row r="154" spans="1:13">
      <c r="A154" s="543"/>
      <c r="B154" s="586"/>
    </row>
    <row r="155" spans="1:13">
      <c r="A155" s="60" t="s">
        <v>1287</v>
      </c>
      <c r="B155" s="586"/>
    </row>
    <row r="156" spans="1:13">
      <c r="A156" s="543"/>
      <c r="B156" s="586"/>
    </row>
    <row r="157" spans="1:13" ht="12.75" customHeight="1">
      <c r="A157" s="553" t="s">
        <v>1351</v>
      </c>
      <c r="B157" s="1047" t="s">
        <v>1324</v>
      </c>
      <c r="C157" s="1048"/>
      <c r="D157" s="1074" t="s">
        <v>1325</v>
      </c>
      <c r="E157" s="1074"/>
      <c r="F157" s="1074" t="s">
        <v>1326</v>
      </c>
      <c r="G157" s="1074"/>
      <c r="H157" s="1047" t="s">
        <v>1288</v>
      </c>
      <c r="I157" s="1048"/>
      <c r="J157" s="1082" t="s">
        <v>507</v>
      </c>
      <c r="K157" s="1082"/>
      <c r="L157" s="1074" t="s">
        <v>508</v>
      </c>
      <c r="M157" s="1074"/>
    </row>
    <row r="158" spans="1:13">
      <c r="A158" s="553" t="s">
        <v>1332</v>
      </c>
      <c r="B158" s="1047" t="s">
        <v>1383</v>
      </c>
      <c r="C158" s="1048"/>
      <c r="D158" s="1074" t="s">
        <v>1385</v>
      </c>
      <c r="E158" s="1074"/>
      <c r="F158" s="1074" t="s">
        <v>1384</v>
      </c>
      <c r="G158" s="1074"/>
      <c r="H158" s="1074" t="s">
        <v>1385</v>
      </c>
      <c r="I158" s="1074"/>
      <c r="J158" s="1074" t="s">
        <v>1384</v>
      </c>
      <c r="K158" s="1074"/>
      <c r="L158" s="1074" t="s">
        <v>1384</v>
      </c>
      <c r="M158" s="1074"/>
    </row>
    <row r="159" spans="1:13">
      <c r="A159" s="559" t="s">
        <v>1210</v>
      </c>
      <c r="B159" s="561">
        <v>12</v>
      </c>
      <c r="C159" s="569">
        <v>33120</v>
      </c>
      <c r="D159" s="561">
        <v>12</v>
      </c>
      <c r="E159" s="569">
        <v>32400</v>
      </c>
      <c r="F159" s="561">
        <v>12</v>
      </c>
      <c r="G159" s="388">
        <v>30120</v>
      </c>
      <c r="H159" s="380">
        <v>12</v>
      </c>
      <c r="I159" s="388">
        <v>32400</v>
      </c>
      <c r="J159" s="561">
        <v>12</v>
      </c>
      <c r="K159" s="569">
        <v>30120</v>
      </c>
      <c r="L159" s="1092">
        <v>23100</v>
      </c>
      <c r="M159" s="1092"/>
    </row>
    <row r="160" spans="1:13" ht="12.75" customHeight="1">
      <c r="A160" s="559" t="s">
        <v>1262</v>
      </c>
      <c r="B160" s="561">
        <v>8</v>
      </c>
      <c r="C160" s="569">
        <v>22080</v>
      </c>
      <c r="D160" s="561">
        <v>8</v>
      </c>
      <c r="E160" s="569">
        <v>21600</v>
      </c>
      <c r="F160" s="561">
        <v>8</v>
      </c>
      <c r="G160" s="388">
        <v>20080</v>
      </c>
      <c r="H160" s="589">
        <v>8.1777777777777771</v>
      </c>
      <c r="I160" s="388">
        <v>22080</v>
      </c>
      <c r="J160" s="590">
        <v>8.7968127490039834</v>
      </c>
      <c r="K160" s="388">
        <v>22080</v>
      </c>
      <c r="L160" s="1092">
        <v>31200</v>
      </c>
      <c r="M160" s="1092"/>
    </row>
    <row r="161" spans="1:13">
      <c r="A161" s="559" t="s">
        <v>183</v>
      </c>
      <c r="B161" s="561">
        <v>20</v>
      </c>
      <c r="C161" s="569">
        <v>55200</v>
      </c>
      <c r="D161" s="561">
        <v>20</v>
      </c>
      <c r="E161" s="569">
        <v>54000</v>
      </c>
      <c r="F161" s="561">
        <v>20</v>
      </c>
      <c r="G161" s="388">
        <v>50200</v>
      </c>
      <c r="H161" s="380"/>
      <c r="I161" s="388">
        <v>54480</v>
      </c>
      <c r="J161" s="561"/>
      <c r="K161" s="569">
        <v>52200</v>
      </c>
      <c r="L161" s="1092">
        <v>54300</v>
      </c>
      <c r="M161" s="1092"/>
    </row>
    <row r="162" spans="1:13">
      <c r="A162" s="549"/>
      <c r="B162" s="563"/>
      <c r="C162" s="563"/>
      <c r="D162" s="563"/>
      <c r="E162" s="563"/>
      <c r="F162" s="563"/>
      <c r="G162" s="384"/>
      <c r="H162" s="563"/>
      <c r="I162" s="563"/>
      <c r="J162" s="563"/>
      <c r="K162" s="563"/>
    </row>
    <row r="163" spans="1:13">
      <c r="A163" s="549"/>
      <c r="B163" s="563"/>
      <c r="C163" s="563"/>
      <c r="D163" s="591" t="s">
        <v>1386</v>
      </c>
      <c r="E163" s="563"/>
      <c r="F163" s="563" t="s">
        <v>1388</v>
      </c>
      <c r="G163" s="564">
        <f>E161-I161</f>
        <v>-480</v>
      </c>
      <c r="H163" s="563"/>
      <c r="I163" s="563"/>
      <c r="J163" s="563" t="s">
        <v>1387</v>
      </c>
      <c r="K163" s="566">
        <f>I161-L161</f>
        <v>180</v>
      </c>
    </row>
    <row r="164" spans="1:13">
      <c r="A164" s="549"/>
      <c r="B164" s="563"/>
      <c r="C164" s="563"/>
      <c r="D164" s="563"/>
      <c r="E164" s="563"/>
      <c r="F164" s="563"/>
      <c r="G164" s="384"/>
      <c r="H164" s="563"/>
      <c r="I164" s="563"/>
      <c r="J164" s="563"/>
      <c r="K164" s="563"/>
    </row>
    <row r="165" spans="1:13" ht="15">
      <c r="A165" s="557"/>
      <c r="B165" s="557"/>
      <c r="C165" s="557"/>
      <c r="D165" s="558" t="s">
        <v>1342</v>
      </c>
      <c r="E165" s="564" t="s">
        <v>1346</v>
      </c>
      <c r="F165" s="565">
        <f>E161-G161</f>
        <v>3800</v>
      </c>
      <c r="H165" s="566" t="s">
        <v>1345</v>
      </c>
      <c r="I165" s="209">
        <f>G161-K161</f>
        <v>-2000</v>
      </c>
      <c r="L165" s="209">
        <f>K161-L161</f>
        <v>-2100</v>
      </c>
      <c r="M165" s="567" t="s">
        <v>1347</v>
      </c>
    </row>
    <row r="166" spans="1:13">
      <c r="A166" s="1"/>
      <c r="B166" s="544"/>
    </row>
    <row r="167" spans="1:13">
      <c r="D167" s="558" t="s">
        <v>1343</v>
      </c>
      <c r="F167" s="564" t="s">
        <v>1345</v>
      </c>
      <c r="G167" s="565">
        <f>E161-I161</f>
        <v>-480</v>
      </c>
      <c r="I167" s="555" t="s">
        <v>1389</v>
      </c>
      <c r="J167" s="568">
        <f>I161-K161</f>
        <v>2280</v>
      </c>
      <c r="L167" s="209">
        <f>K161-L161</f>
        <v>-2100</v>
      </c>
      <c r="M167" s="18" t="s">
        <v>1347</v>
      </c>
    </row>
    <row r="169" spans="1:13">
      <c r="D169" s="2" t="s">
        <v>1348</v>
      </c>
      <c r="E169" s="564" t="s">
        <v>1349</v>
      </c>
      <c r="F169" s="565">
        <f>E161-G161</f>
        <v>3800</v>
      </c>
      <c r="G169" s="566" t="s">
        <v>1345</v>
      </c>
      <c r="H169" s="209">
        <f>G161-I161</f>
        <v>-4280</v>
      </c>
      <c r="I169" s="555" t="s">
        <v>1390</v>
      </c>
      <c r="J169" s="568">
        <f>I161-K161</f>
        <v>2280</v>
      </c>
      <c r="L169" s="209">
        <f>K161-L161</f>
        <v>-2100</v>
      </c>
      <c r="M169" s="18" t="s">
        <v>1347</v>
      </c>
    </row>
    <row r="171" spans="1:13">
      <c r="D171" s="2" t="s">
        <v>1350</v>
      </c>
      <c r="E171" s="564" t="s">
        <v>1349</v>
      </c>
      <c r="F171" s="565">
        <f>E161-G161</f>
        <v>3800</v>
      </c>
      <c r="G171" s="566" t="s">
        <v>1345</v>
      </c>
      <c r="H171" s="209">
        <f>G161-I161</f>
        <v>-4280</v>
      </c>
      <c r="I171" s="555" t="s">
        <v>1389</v>
      </c>
      <c r="J171" s="568">
        <f>I161-K161</f>
        <v>2280</v>
      </c>
      <c r="L171" s="209">
        <f>K161-L161</f>
        <v>-2100</v>
      </c>
      <c r="M171" s="18" t="s">
        <v>1347</v>
      </c>
    </row>
    <row r="172" spans="1:13">
      <c r="B172" s="544"/>
    </row>
    <row r="173" spans="1:13">
      <c r="H173" s="2" t="s">
        <v>1352</v>
      </c>
      <c r="I173" s="554">
        <f>E161-L161</f>
        <v>-300</v>
      </c>
    </row>
    <row r="174" spans="1:13">
      <c r="A174" s="543"/>
      <c r="B174" s="586"/>
    </row>
    <row r="175" spans="1:13">
      <c r="A175" s="60" t="s">
        <v>1381</v>
      </c>
      <c r="B175" s="586"/>
    </row>
    <row r="176" spans="1:13">
      <c r="A176" s="59" t="s">
        <v>1589</v>
      </c>
      <c r="B176" s="586"/>
    </row>
    <row r="177" spans="1:5">
      <c r="A177" s="59" t="s">
        <v>1590</v>
      </c>
      <c r="B177" s="586"/>
    </row>
    <row r="178" spans="1:5">
      <c r="A178" s="59" t="s">
        <v>1591</v>
      </c>
      <c r="B178" s="586"/>
    </row>
    <row r="179" spans="1:5">
      <c r="A179" s="587"/>
      <c r="B179" s="586"/>
    </row>
    <row r="180" spans="1:5">
      <c r="A180" s="588" t="s">
        <v>2358</v>
      </c>
      <c r="B180" s="586"/>
    </row>
    <row r="181" spans="1:5">
      <c r="A181" s="59" t="s">
        <v>1395</v>
      </c>
      <c r="B181" s="586"/>
    </row>
    <row r="182" spans="1:5">
      <c r="A182" s="587"/>
      <c r="B182" s="592" t="s">
        <v>1256</v>
      </c>
      <c r="C182" s="554" t="s">
        <v>1391</v>
      </c>
      <c r="D182" s="554" t="s">
        <v>824</v>
      </c>
    </row>
    <row r="183" spans="1:5">
      <c r="A183" s="59" t="s">
        <v>50</v>
      </c>
      <c r="B183" s="593">
        <v>500</v>
      </c>
      <c r="C183" s="595">
        <v>45</v>
      </c>
      <c r="D183" s="50">
        <f>B183*C183</f>
        <v>22500</v>
      </c>
    </row>
    <row r="184" spans="1:5">
      <c r="A184" s="59" t="s">
        <v>1259</v>
      </c>
      <c r="B184" s="593">
        <v>1500</v>
      </c>
      <c r="C184" s="595">
        <v>50</v>
      </c>
      <c r="D184" s="50">
        <f>B184*C184</f>
        <v>75000</v>
      </c>
    </row>
    <row r="185" spans="1:5" ht="13.5" thickBot="1">
      <c r="A185" s="59" t="s">
        <v>1260</v>
      </c>
      <c r="B185" s="596">
        <f>B186-B184-B183</f>
        <v>-900</v>
      </c>
      <c r="C185" s="597">
        <f>(D183+D184)/(B183+B184)</f>
        <v>48.75</v>
      </c>
      <c r="D185" s="594">
        <f>B185*C185</f>
        <v>-43875</v>
      </c>
      <c r="E185" s="2" t="s">
        <v>1394</v>
      </c>
    </row>
    <row r="186" spans="1:5">
      <c r="A186" s="59" t="s">
        <v>845</v>
      </c>
      <c r="B186" s="593">
        <v>1100</v>
      </c>
      <c r="C186" s="598">
        <f>C185</f>
        <v>48.75</v>
      </c>
      <c r="D186" s="599">
        <f>B186*C186</f>
        <v>53625</v>
      </c>
    </row>
    <row r="187" spans="1:5">
      <c r="A187" s="587"/>
      <c r="B187" s="586"/>
    </row>
    <row r="188" spans="1:5">
      <c r="A188" s="111" t="s">
        <v>1392</v>
      </c>
      <c r="B188" s="459" t="s">
        <v>1393</v>
      </c>
    </row>
    <row r="189" spans="1:5">
      <c r="A189" s="587"/>
      <c r="B189" s="586"/>
    </row>
    <row r="190" spans="1:5">
      <c r="A190" s="59" t="s">
        <v>1299</v>
      </c>
      <c r="B190" s="586"/>
    </row>
    <row r="191" spans="1:5">
      <c r="A191" s="111" t="s">
        <v>1396</v>
      </c>
      <c r="B191" s="459" t="s">
        <v>108</v>
      </c>
      <c r="C191" s="49">
        <v>8.1</v>
      </c>
      <c r="D191" s="43">
        <f>A191*C191</f>
        <v>4860</v>
      </c>
    </row>
    <row r="192" spans="1:5">
      <c r="A192" s="587"/>
      <c r="B192" s="586"/>
    </row>
    <row r="193" spans="1:4">
      <c r="A193" s="1" t="s">
        <v>685</v>
      </c>
      <c r="B193" s="544"/>
      <c r="C193" s="61" t="s">
        <v>1262</v>
      </c>
      <c r="D193" s="61" t="s">
        <v>1210</v>
      </c>
    </row>
    <row r="194" spans="1:4">
      <c r="A194" s="2" t="s">
        <v>435</v>
      </c>
      <c r="B194" s="544"/>
      <c r="C194" s="43"/>
      <c r="D194" s="43">
        <v>3200</v>
      </c>
    </row>
    <row r="195" spans="1:4">
      <c r="A195" s="2" t="s">
        <v>1397</v>
      </c>
      <c r="B195" s="544"/>
      <c r="C195" s="43">
        <v>2500</v>
      </c>
      <c r="D195" s="43"/>
    </row>
    <row r="196" spans="1:4">
      <c r="A196" s="2" t="s">
        <v>436</v>
      </c>
      <c r="B196" s="544"/>
      <c r="C196" s="43"/>
      <c r="D196" s="43">
        <v>1350</v>
      </c>
    </row>
    <row r="197" spans="1:4">
      <c r="A197" s="2" t="s">
        <v>1398</v>
      </c>
      <c r="B197" s="544"/>
      <c r="C197" s="43">
        <v>12500</v>
      </c>
      <c r="D197" s="43"/>
    </row>
    <row r="198" spans="1:4" ht="13.5" thickBot="1">
      <c r="A198" s="2" t="s">
        <v>396</v>
      </c>
      <c r="B198" s="544"/>
      <c r="C198" s="514"/>
      <c r="D198" s="514">
        <v>2600</v>
      </c>
    </row>
    <row r="199" spans="1:4">
      <c r="A199" s="1"/>
      <c r="B199" s="544"/>
      <c r="C199" s="582">
        <f>SUM(C194:C198)</f>
        <v>15000</v>
      </c>
      <c r="D199" s="582">
        <f>SUM(D194:D198)</f>
        <v>7150</v>
      </c>
    </row>
    <row r="200" spans="1:4">
      <c r="A200" s="1"/>
      <c r="B200" s="544"/>
    </row>
    <row r="201" spans="1:4">
      <c r="A201" s="2" t="s">
        <v>1365</v>
      </c>
      <c r="B201" s="544"/>
      <c r="C201" s="579">
        <f>C199+D199</f>
        <v>22150</v>
      </c>
    </row>
    <row r="202" spans="1:4">
      <c r="A202" s="587"/>
      <c r="B202" s="586"/>
    </row>
    <row r="203" spans="1:4">
      <c r="A203" s="588" t="s">
        <v>1269</v>
      </c>
      <c r="B203" s="586"/>
    </row>
    <row r="204" spans="1:4">
      <c r="A204" s="587"/>
      <c r="B204" s="586"/>
    </row>
    <row r="205" spans="1:4">
      <c r="A205" s="555" t="s">
        <v>1304</v>
      </c>
      <c r="B205" s="2" t="s">
        <v>1300</v>
      </c>
    </row>
    <row r="206" spans="1:4">
      <c r="A206" s="111" t="s">
        <v>1313</v>
      </c>
      <c r="B206" s="459" t="s">
        <v>1399</v>
      </c>
    </row>
    <row r="207" spans="1:4">
      <c r="A207" s="111" t="s">
        <v>1313</v>
      </c>
      <c r="B207" s="459" t="s">
        <v>1400</v>
      </c>
    </row>
    <row r="208" spans="1:4">
      <c r="A208" s="587" t="s">
        <v>1313</v>
      </c>
      <c r="B208" s="586">
        <v>-8625</v>
      </c>
    </row>
    <row r="209" spans="1:2">
      <c r="A209" s="587"/>
      <c r="B209" s="586"/>
    </row>
    <row r="210" spans="1:2">
      <c r="A210" s="59" t="s">
        <v>1279</v>
      </c>
      <c r="B210" s="586"/>
    </row>
    <row r="211" spans="1:2">
      <c r="A211" s="587"/>
      <c r="B211" s="586"/>
    </row>
    <row r="212" spans="1:2">
      <c r="A212" s="555" t="s">
        <v>1305</v>
      </c>
      <c r="B212" s="2" t="s">
        <v>1306</v>
      </c>
    </row>
    <row r="213" spans="1:2">
      <c r="A213" s="111" t="s">
        <v>1305</v>
      </c>
      <c r="B213" s="459" t="s">
        <v>1401</v>
      </c>
    </row>
    <row r="214" spans="1:2">
      <c r="A214" s="587" t="s">
        <v>1305</v>
      </c>
      <c r="B214" s="586">
        <v>-4500</v>
      </c>
    </row>
    <row r="215" spans="1:2">
      <c r="A215" s="587"/>
      <c r="B215" s="586"/>
    </row>
    <row r="216" spans="1:2">
      <c r="A216" s="555" t="s">
        <v>1275</v>
      </c>
      <c r="B216" s="152" t="s">
        <v>1308</v>
      </c>
    </row>
    <row r="217" spans="1:2">
      <c r="A217" s="111" t="s">
        <v>1275</v>
      </c>
      <c r="B217" s="459" t="s">
        <v>1402</v>
      </c>
    </row>
    <row r="218" spans="1:2">
      <c r="A218" s="587" t="s">
        <v>1275</v>
      </c>
      <c r="B218" s="586">
        <v>-4125</v>
      </c>
    </row>
    <row r="219" spans="1:2">
      <c r="A219" s="587"/>
      <c r="B219" s="586"/>
    </row>
    <row r="220" spans="1:2">
      <c r="A220" s="588" t="s">
        <v>1278</v>
      </c>
      <c r="B220" s="586"/>
    </row>
    <row r="221" spans="1:2">
      <c r="A221" s="587"/>
      <c r="B221" s="586"/>
    </row>
    <row r="222" spans="1:2">
      <c r="A222" s="555" t="s">
        <v>1313</v>
      </c>
      <c r="B222" s="152" t="s">
        <v>1314</v>
      </c>
    </row>
    <row r="223" spans="1:2">
      <c r="A223" s="111" t="s">
        <v>1313</v>
      </c>
      <c r="B223" s="459" t="s">
        <v>1403</v>
      </c>
    </row>
    <row r="224" spans="1:2">
      <c r="A224" s="111" t="s">
        <v>1313</v>
      </c>
      <c r="B224" s="459" t="s">
        <v>1404</v>
      </c>
    </row>
    <row r="225" spans="1:13">
      <c r="A225" s="587" t="s">
        <v>1313</v>
      </c>
      <c r="B225" s="586">
        <v>-860</v>
      </c>
    </row>
    <row r="226" spans="1:13">
      <c r="A226" s="587"/>
      <c r="B226" s="586"/>
    </row>
    <row r="227" spans="1:13">
      <c r="A227" s="59" t="s">
        <v>1279</v>
      </c>
      <c r="B227" s="586"/>
    </row>
    <row r="228" spans="1:13">
      <c r="A228" s="588"/>
      <c r="B228" s="586"/>
    </row>
    <row r="229" spans="1:13">
      <c r="A229" s="555" t="s">
        <v>1281</v>
      </c>
      <c r="B229" s="152" t="s">
        <v>1319</v>
      </c>
    </row>
    <row r="230" spans="1:13">
      <c r="A230" s="111" t="s">
        <v>1281</v>
      </c>
      <c r="B230" s="459" t="s">
        <v>1405</v>
      </c>
    </row>
    <row r="231" spans="1:13">
      <c r="A231" s="587" t="s">
        <v>1281</v>
      </c>
      <c r="B231" s="586">
        <v>-800</v>
      </c>
    </row>
    <row r="232" spans="1:13">
      <c r="A232" s="587"/>
      <c r="B232" s="586"/>
    </row>
    <row r="233" spans="1:13">
      <c r="A233" s="555" t="s">
        <v>1284</v>
      </c>
      <c r="B233" s="152" t="s">
        <v>1321</v>
      </c>
    </row>
    <row r="234" spans="1:13">
      <c r="A234" s="111" t="s">
        <v>1284</v>
      </c>
      <c r="B234" s="459" t="s">
        <v>1406</v>
      </c>
    </row>
    <row r="235" spans="1:13">
      <c r="A235" s="587" t="s">
        <v>1284</v>
      </c>
      <c r="B235" s="586">
        <v>-60</v>
      </c>
    </row>
    <row r="236" spans="1:13">
      <c r="A236" s="587"/>
      <c r="B236" s="586"/>
    </row>
    <row r="237" spans="1:13">
      <c r="A237" s="588" t="s">
        <v>1287</v>
      </c>
      <c r="B237" s="586"/>
    </row>
    <row r="238" spans="1:13" ht="12.75" customHeight="1">
      <c r="A238" s="587"/>
      <c r="B238" s="586"/>
    </row>
    <row r="239" spans="1:13" ht="12.75" customHeight="1">
      <c r="A239" s="553" t="s">
        <v>1408</v>
      </c>
      <c r="B239" s="1047" t="s">
        <v>1324</v>
      </c>
      <c r="C239" s="1048"/>
      <c r="D239" s="1074" t="s">
        <v>1325</v>
      </c>
      <c r="E239" s="1074"/>
      <c r="F239" s="1074" t="s">
        <v>1326</v>
      </c>
      <c r="G239" s="1074"/>
      <c r="H239" s="1047" t="s">
        <v>1288</v>
      </c>
      <c r="I239" s="1048"/>
      <c r="J239" s="1082" t="s">
        <v>507</v>
      </c>
      <c r="K239" s="1082"/>
      <c r="L239" s="1074" t="s">
        <v>508</v>
      </c>
      <c r="M239" s="1074"/>
    </row>
    <row r="240" spans="1:13">
      <c r="A240" s="553" t="s">
        <v>1332</v>
      </c>
      <c r="B240" s="1047" t="s">
        <v>1407</v>
      </c>
      <c r="C240" s="1048"/>
      <c r="D240" s="1074" t="s">
        <v>1410</v>
      </c>
      <c r="E240" s="1074"/>
      <c r="F240" s="1074" t="s">
        <v>1409</v>
      </c>
      <c r="G240" s="1074"/>
      <c r="H240" s="1074" t="s">
        <v>1410</v>
      </c>
      <c r="I240" s="1074"/>
      <c r="J240" s="1074" t="s">
        <v>1409</v>
      </c>
      <c r="K240" s="1074"/>
      <c r="L240" s="1074" t="s">
        <v>1409</v>
      </c>
      <c r="M240" s="1074"/>
    </row>
    <row r="241" spans="1:13">
      <c r="A241" s="559" t="s">
        <v>1210</v>
      </c>
      <c r="B241" s="561">
        <f>B243-B242</f>
        <v>12</v>
      </c>
      <c r="C241" s="569">
        <f>B241*480</f>
        <v>5760</v>
      </c>
      <c r="D241" s="561">
        <f>B241</f>
        <v>12</v>
      </c>
      <c r="E241" s="569">
        <f>D241*400</f>
        <v>4800</v>
      </c>
      <c r="F241" s="561">
        <f>B241</f>
        <v>12</v>
      </c>
      <c r="G241" s="388">
        <f>F241*440</f>
        <v>5280</v>
      </c>
      <c r="H241" s="380">
        <f>B241</f>
        <v>12</v>
      </c>
      <c r="I241" s="388">
        <f>H241*400</f>
        <v>4800</v>
      </c>
      <c r="J241" s="561">
        <f>B241</f>
        <v>12</v>
      </c>
      <c r="K241" s="569">
        <f>J241*440</f>
        <v>5280</v>
      </c>
      <c r="L241" s="1092">
        <f>D199</f>
        <v>7150</v>
      </c>
      <c r="M241" s="1092"/>
    </row>
    <row r="242" spans="1:13">
      <c r="A242" s="559" t="s">
        <v>1262</v>
      </c>
      <c r="B242" s="561">
        <f>B243*0.7</f>
        <v>28</v>
      </c>
      <c r="C242" s="569">
        <f>B242*480</f>
        <v>13440</v>
      </c>
      <c r="D242" s="561">
        <f>B242</f>
        <v>28</v>
      </c>
      <c r="E242" s="569">
        <f>D242*400</f>
        <v>11200</v>
      </c>
      <c r="F242" s="561">
        <f>B242</f>
        <v>28</v>
      </c>
      <c r="G242" s="388">
        <f>F242*440</f>
        <v>12320</v>
      </c>
      <c r="H242" s="589">
        <f>I242/400</f>
        <v>33.6</v>
      </c>
      <c r="I242" s="388">
        <f>C242</f>
        <v>13440</v>
      </c>
      <c r="J242" s="590">
        <f>K242/440</f>
        <v>30.545454545454547</v>
      </c>
      <c r="K242" s="388">
        <f>C242</f>
        <v>13440</v>
      </c>
      <c r="L242" s="1092">
        <f>C199</f>
        <v>15000</v>
      </c>
      <c r="M242" s="1092"/>
    </row>
    <row r="243" spans="1:13">
      <c r="A243" s="559" t="s">
        <v>183</v>
      </c>
      <c r="B243" s="561">
        <v>40</v>
      </c>
      <c r="C243" s="569">
        <f>SUM(C241:C242)</f>
        <v>19200</v>
      </c>
      <c r="D243" s="561">
        <f>B243</f>
        <v>40</v>
      </c>
      <c r="E243" s="569">
        <f>D243*400</f>
        <v>16000</v>
      </c>
      <c r="F243" s="561">
        <f>B243</f>
        <v>40</v>
      </c>
      <c r="G243" s="388">
        <f>F243*440</f>
        <v>17600</v>
      </c>
      <c r="H243" s="380"/>
      <c r="I243" s="388">
        <f>SUM(I241:I242)</f>
        <v>18240</v>
      </c>
      <c r="J243" s="561"/>
      <c r="K243" s="569">
        <f>SUM(K241:K242)</f>
        <v>18720</v>
      </c>
      <c r="L243" s="1092">
        <f>C201</f>
        <v>22150</v>
      </c>
      <c r="M243" s="1092"/>
    </row>
    <row r="244" spans="1:13">
      <c r="A244" s="549"/>
      <c r="B244" s="563"/>
      <c r="C244" s="563"/>
      <c r="D244" s="563"/>
      <c r="E244" s="563"/>
      <c r="F244" s="563"/>
      <c r="G244" s="384"/>
      <c r="H244" s="563"/>
      <c r="I244" s="563"/>
      <c r="J244" s="563"/>
      <c r="K244" s="563"/>
    </row>
    <row r="245" spans="1:13">
      <c r="A245" s="549"/>
      <c r="B245" s="563"/>
      <c r="C245" s="563"/>
      <c r="D245" s="591" t="s">
        <v>1386</v>
      </c>
      <c r="E245" s="563"/>
      <c r="F245" s="563" t="s">
        <v>1388</v>
      </c>
      <c r="G245" s="564">
        <f>E243-I243</f>
        <v>-2240</v>
      </c>
      <c r="H245" s="563"/>
      <c r="I245" s="563"/>
      <c r="J245" s="563" t="s">
        <v>1387</v>
      </c>
      <c r="K245" s="566">
        <f>I243-L243</f>
        <v>-3910</v>
      </c>
    </row>
    <row r="246" spans="1:13">
      <c r="A246" s="549"/>
      <c r="B246" s="563"/>
      <c r="C246" s="563"/>
      <c r="D246" s="563"/>
      <c r="E246" s="563"/>
      <c r="F246" s="563"/>
      <c r="G246" s="384"/>
      <c r="H246" s="563"/>
      <c r="I246" s="563"/>
      <c r="J246" s="563"/>
      <c r="K246" s="563"/>
    </row>
    <row r="247" spans="1:13" ht="15">
      <c r="A247" s="557"/>
      <c r="B247" s="557"/>
      <c r="C247" s="557"/>
      <c r="D247" s="558" t="s">
        <v>1342</v>
      </c>
      <c r="E247" s="564" t="s">
        <v>1346</v>
      </c>
      <c r="F247" s="565">
        <f>E243-G243</f>
        <v>-1600</v>
      </c>
      <c r="H247" s="566" t="s">
        <v>1345</v>
      </c>
      <c r="I247" s="209">
        <f>G243-K243</f>
        <v>-1120</v>
      </c>
      <c r="L247" s="209">
        <f>K243-L243</f>
        <v>-3430</v>
      </c>
      <c r="M247" s="567" t="s">
        <v>1347</v>
      </c>
    </row>
    <row r="248" spans="1:13">
      <c r="A248" s="1"/>
      <c r="B248" s="544"/>
    </row>
    <row r="249" spans="1:13">
      <c r="D249" s="558" t="s">
        <v>1343</v>
      </c>
      <c r="F249" s="564" t="s">
        <v>1345</v>
      </c>
      <c r="G249" s="565">
        <f>E243-I243</f>
        <v>-2240</v>
      </c>
      <c r="I249" s="555" t="s">
        <v>1389</v>
      </c>
      <c r="J249" s="568">
        <f>I243-K243</f>
        <v>-480</v>
      </c>
      <c r="L249" s="209">
        <f>K243-L243</f>
        <v>-3430</v>
      </c>
      <c r="M249" s="18" t="s">
        <v>1347</v>
      </c>
    </row>
    <row r="251" spans="1:13">
      <c r="D251" s="2" t="s">
        <v>1348</v>
      </c>
      <c r="E251" s="564" t="s">
        <v>1349</v>
      </c>
      <c r="F251" s="565">
        <f>E243-G243</f>
        <v>-1600</v>
      </c>
      <c r="G251" s="566" t="s">
        <v>1345</v>
      </c>
      <c r="H251" s="209">
        <f>G243-I243</f>
        <v>-640</v>
      </c>
      <c r="I251" s="555" t="s">
        <v>1390</v>
      </c>
      <c r="J251" s="568">
        <f>I243-K243</f>
        <v>-480</v>
      </c>
      <c r="L251" s="209">
        <f>K243-L243</f>
        <v>-3430</v>
      </c>
      <c r="M251" s="18" t="s">
        <v>1347</v>
      </c>
    </row>
    <row r="253" spans="1:13">
      <c r="D253" s="2" t="s">
        <v>1350</v>
      </c>
      <c r="E253" s="564" t="s">
        <v>1349</v>
      </c>
      <c r="F253" s="565">
        <f>E243-G243</f>
        <v>-1600</v>
      </c>
      <c r="G253" s="566" t="s">
        <v>1345</v>
      </c>
      <c r="H253" s="209">
        <f>G243-I243</f>
        <v>-640</v>
      </c>
      <c r="I253" s="555" t="s">
        <v>1389</v>
      </c>
      <c r="J253" s="568">
        <f>I243-K243</f>
        <v>-480</v>
      </c>
      <c r="L253" s="209">
        <f>K243-L243</f>
        <v>-3430</v>
      </c>
      <c r="M253" s="18" t="s">
        <v>1347</v>
      </c>
    </row>
    <row r="255" spans="1:13">
      <c r="H255" s="2" t="s">
        <v>1352</v>
      </c>
      <c r="I255" s="554">
        <f>E243-L243</f>
        <v>-6150</v>
      </c>
    </row>
    <row r="257" spans="1:5">
      <c r="A257" s="60" t="s">
        <v>1381</v>
      </c>
      <c r="B257" s="586"/>
    </row>
    <row r="258" spans="1:5">
      <c r="A258" s="59" t="s">
        <v>1592</v>
      </c>
      <c r="B258" s="586"/>
    </row>
    <row r="259" spans="1:5">
      <c r="A259" s="59" t="s">
        <v>1593</v>
      </c>
      <c r="B259" s="586"/>
    </row>
    <row r="260" spans="1:5">
      <c r="A260" s="59" t="s">
        <v>1594</v>
      </c>
      <c r="B260" s="586"/>
    </row>
    <row r="261" spans="1:5">
      <c r="A261" s="59"/>
      <c r="B261" s="586"/>
    </row>
    <row r="262" spans="1:5">
      <c r="A262" s="588" t="s">
        <v>2359</v>
      </c>
    </row>
    <row r="264" spans="1:5">
      <c r="A264" s="1" t="s">
        <v>700</v>
      </c>
      <c r="D264" s="464" t="s">
        <v>948</v>
      </c>
    </row>
    <row r="265" spans="1:5">
      <c r="A265" s="14"/>
      <c r="B265" s="556" t="s">
        <v>1256</v>
      </c>
      <c r="C265" s="556" t="s">
        <v>1257</v>
      </c>
      <c r="D265" s="556" t="s">
        <v>824</v>
      </c>
    </row>
    <row r="266" spans="1:5">
      <c r="A266" s="14" t="s">
        <v>50</v>
      </c>
      <c r="B266" s="72">
        <v>2500</v>
      </c>
      <c r="C266" s="152">
        <v>14</v>
      </c>
      <c r="D266" s="459">
        <f>B266*C266</f>
        <v>35000</v>
      </c>
      <c r="E266" s="2" t="s">
        <v>1258</v>
      </c>
    </row>
    <row r="267" spans="1:5">
      <c r="A267" s="14" t="s">
        <v>1259</v>
      </c>
      <c r="B267" s="72">
        <v>5000</v>
      </c>
      <c r="C267" s="152">
        <v>14</v>
      </c>
      <c r="D267" s="459">
        <f>B267*C267</f>
        <v>70000</v>
      </c>
      <c r="E267" s="2" t="s">
        <v>1411</v>
      </c>
    </row>
    <row r="268" spans="1:5">
      <c r="A268" s="14"/>
      <c r="B268" s="72">
        <v>2500</v>
      </c>
      <c r="C268" s="152">
        <v>16</v>
      </c>
      <c r="D268" s="459">
        <f>B268*C268</f>
        <v>40000</v>
      </c>
      <c r="E268" s="2" t="s">
        <v>1412</v>
      </c>
    </row>
    <row r="269" spans="1:5" ht="13.5" thickBot="1">
      <c r="A269" s="14" t="s">
        <v>1260</v>
      </c>
      <c r="B269" s="601">
        <v>-4000</v>
      </c>
      <c r="C269" s="600">
        <f>-D269/B269</f>
        <v>-15.25</v>
      </c>
      <c r="D269" s="514">
        <f>-(1500*C267+D268)</f>
        <v>-61000</v>
      </c>
      <c r="E269" s="2" t="s">
        <v>1261</v>
      </c>
    </row>
    <row r="270" spans="1:5">
      <c r="A270" s="14" t="s">
        <v>845</v>
      </c>
      <c r="B270" s="72">
        <f>B266+B267+B268+B269</f>
        <v>6000</v>
      </c>
      <c r="C270" s="529">
        <f>D270/B270</f>
        <v>14</v>
      </c>
      <c r="D270" s="459">
        <f>D266+3500*C267</f>
        <v>84000</v>
      </c>
    </row>
    <row r="272" spans="1:5">
      <c r="A272" s="1" t="s">
        <v>1128</v>
      </c>
    </row>
    <row r="273" spans="1:3">
      <c r="A273" s="2">
        <v>3300</v>
      </c>
      <c r="B273" s="49">
        <v>11</v>
      </c>
      <c r="C273" s="68">
        <f>A273*B273</f>
        <v>36300</v>
      </c>
    </row>
    <row r="275" spans="1:3">
      <c r="A275" s="1" t="s">
        <v>685</v>
      </c>
      <c r="B275" s="61" t="s">
        <v>1262</v>
      </c>
      <c r="C275" s="61" t="s">
        <v>1210</v>
      </c>
    </row>
    <row r="276" spans="1:3">
      <c r="A276" s="2" t="s">
        <v>435</v>
      </c>
      <c r="B276" s="459"/>
      <c r="C276" s="459">
        <v>3500</v>
      </c>
    </row>
    <row r="277" spans="1:3">
      <c r="A277" s="2" t="s">
        <v>1263</v>
      </c>
      <c r="B277" s="459">
        <v>5000</v>
      </c>
      <c r="C277" s="459"/>
    </row>
    <row r="278" spans="1:3">
      <c r="A278" s="2" t="s">
        <v>1413</v>
      </c>
      <c r="B278" s="459">
        <v>3500</v>
      </c>
      <c r="C278" s="459"/>
    </row>
    <row r="279" spans="1:3">
      <c r="A279" s="2" t="s">
        <v>1265</v>
      </c>
      <c r="B279" s="459"/>
      <c r="C279" s="459">
        <v>800</v>
      </c>
    </row>
    <row r="280" spans="1:3">
      <c r="A280" s="2" t="s">
        <v>1266</v>
      </c>
      <c r="B280" s="459">
        <v>1200</v>
      </c>
      <c r="C280" s="459"/>
    </row>
    <row r="281" spans="1:3">
      <c r="A281" s="2" t="s">
        <v>1267</v>
      </c>
      <c r="B281" s="459">
        <v>12000</v>
      </c>
      <c r="C281" s="459"/>
    </row>
    <row r="282" spans="1:3">
      <c r="B282" s="535">
        <f>SUM(B276:B281)</f>
        <v>21700</v>
      </c>
      <c r="C282" s="535">
        <f>SUM(C276:C281)</f>
        <v>4300</v>
      </c>
    </row>
    <row r="284" spans="1:3">
      <c r="A284" s="2" t="s">
        <v>1268</v>
      </c>
      <c r="B284" s="43">
        <f>B282+C282</f>
        <v>26000</v>
      </c>
    </row>
    <row r="286" spans="1:3">
      <c r="A286" s="1" t="s">
        <v>1269</v>
      </c>
    </row>
    <row r="287" spans="1:3">
      <c r="A287" s="2" t="s">
        <v>1270</v>
      </c>
    </row>
    <row r="288" spans="1:3">
      <c r="A288" s="555" t="s">
        <v>1304</v>
      </c>
      <c r="B288" s="2" t="s">
        <v>1300</v>
      </c>
    </row>
    <row r="289" spans="1:4">
      <c r="A289" s="555" t="s">
        <v>1313</v>
      </c>
      <c r="B289" s="2" t="s">
        <v>1414</v>
      </c>
    </row>
    <row r="290" spans="1:4">
      <c r="A290" s="555" t="s">
        <v>1313</v>
      </c>
      <c r="B290" s="2" t="s">
        <v>1415</v>
      </c>
    </row>
    <row r="291" spans="1:4">
      <c r="A291" s="543" t="s">
        <v>1313</v>
      </c>
      <c r="B291" s="582">
        <v>6000</v>
      </c>
      <c r="C291" s="1"/>
    </row>
    <row r="292" spans="1:4">
      <c r="A292" s="543"/>
      <c r="B292" s="582"/>
    </row>
    <row r="293" spans="1:4">
      <c r="A293" s="2" t="s">
        <v>1271</v>
      </c>
    </row>
    <row r="295" spans="1:4">
      <c r="A295" s="555" t="s">
        <v>1272</v>
      </c>
      <c r="B295" s="2" t="s">
        <v>1273</v>
      </c>
    </row>
    <row r="296" spans="1:4">
      <c r="A296" s="555" t="s">
        <v>1272</v>
      </c>
      <c r="B296" s="18" t="s">
        <v>1274</v>
      </c>
      <c r="C296" s="18"/>
      <c r="D296" s="49"/>
    </row>
    <row r="297" spans="1:4">
      <c r="A297" s="545" t="s">
        <v>1272</v>
      </c>
      <c r="B297" s="544">
        <f>(6000-6000)*15</f>
        <v>0</v>
      </c>
    </row>
    <row r="299" spans="1:4">
      <c r="A299" s="555" t="s">
        <v>1275</v>
      </c>
      <c r="B299" s="2" t="s">
        <v>1276</v>
      </c>
    </row>
    <row r="300" spans="1:4">
      <c r="A300" s="555" t="s">
        <v>1275</v>
      </c>
      <c r="B300" s="2" t="s">
        <v>1277</v>
      </c>
    </row>
    <row r="301" spans="1:4">
      <c r="A301" s="545" t="s">
        <v>1275</v>
      </c>
      <c r="B301" s="586">
        <v>6000</v>
      </c>
      <c r="C301" s="61"/>
    </row>
    <row r="303" spans="1:4">
      <c r="A303" s="1" t="s">
        <v>1278</v>
      </c>
    </row>
    <row r="304" spans="1:4">
      <c r="A304" s="1"/>
    </row>
    <row r="305" spans="1:5">
      <c r="A305" s="555" t="s">
        <v>1313</v>
      </c>
      <c r="B305" s="152" t="s">
        <v>1314</v>
      </c>
    </row>
    <row r="306" spans="1:5">
      <c r="A306" s="555" t="s">
        <v>1313</v>
      </c>
      <c r="B306" s="2" t="s">
        <v>1416</v>
      </c>
    </row>
    <row r="307" spans="1:5">
      <c r="A307" s="555" t="s">
        <v>1313</v>
      </c>
      <c r="B307" s="2" t="s">
        <v>1417</v>
      </c>
    </row>
    <row r="308" spans="1:5">
      <c r="A308" s="543" t="s">
        <v>1313</v>
      </c>
      <c r="B308" s="582">
        <v>-6300</v>
      </c>
      <c r="C308" s="1"/>
    </row>
    <row r="309" spans="1:5">
      <c r="E309" s="68"/>
    </row>
    <row r="310" spans="1:5">
      <c r="A310" s="2" t="s">
        <v>1279</v>
      </c>
    </row>
    <row r="312" spans="1:5">
      <c r="A312" s="18" t="s">
        <v>1280</v>
      </c>
    </row>
    <row r="313" spans="1:5">
      <c r="A313" s="555" t="s">
        <v>1281</v>
      </c>
      <c r="B313" s="2" t="s">
        <v>1282</v>
      </c>
    </row>
    <row r="314" spans="1:5">
      <c r="A314" s="555" t="s">
        <v>1281</v>
      </c>
      <c r="B314" s="18" t="s">
        <v>1283</v>
      </c>
      <c r="C314" s="18"/>
      <c r="D314" s="49"/>
    </row>
    <row r="315" spans="1:5">
      <c r="A315" s="545" t="s">
        <v>1281</v>
      </c>
      <c r="B315" s="586">
        <f>(3000-3300)*10</f>
        <v>-3000</v>
      </c>
      <c r="C315" s="1"/>
    </row>
    <row r="317" spans="1:5">
      <c r="A317" s="555" t="s">
        <v>1284</v>
      </c>
      <c r="B317" s="2" t="s">
        <v>1285</v>
      </c>
    </row>
    <row r="318" spans="1:5">
      <c r="A318" s="555" t="s">
        <v>1284</v>
      </c>
      <c r="B318" s="2" t="s">
        <v>1286</v>
      </c>
    </row>
    <row r="319" spans="1:5">
      <c r="A319" s="545" t="s">
        <v>1284</v>
      </c>
      <c r="B319" s="586">
        <f>(10-11)*3300</f>
        <v>-3300</v>
      </c>
      <c r="C319" s="61"/>
    </row>
    <row r="320" spans="1:5">
      <c r="A320" s="545"/>
      <c r="B320" s="586"/>
      <c r="C320" s="61"/>
    </row>
    <row r="321" spans="1:13">
      <c r="A321" s="322" t="s">
        <v>1287</v>
      </c>
      <c r="B321" s="586"/>
      <c r="C321" s="61"/>
    </row>
    <row r="322" spans="1:13">
      <c r="A322" s="545"/>
      <c r="B322" s="586"/>
      <c r="C322" s="61"/>
    </row>
    <row r="323" spans="1:13" ht="12.75" customHeight="1">
      <c r="A323" s="553" t="s">
        <v>1408</v>
      </c>
      <c r="B323" s="1047" t="s">
        <v>1324</v>
      </c>
      <c r="C323" s="1048"/>
      <c r="D323" s="1074" t="s">
        <v>1325</v>
      </c>
      <c r="E323" s="1074"/>
      <c r="F323" s="1074" t="s">
        <v>1326</v>
      </c>
      <c r="G323" s="1074"/>
      <c r="H323" s="1047" t="s">
        <v>1288</v>
      </c>
      <c r="I323" s="1048"/>
      <c r="J323" s="1082" t="s">
        <v>507</v>
      </c>
      <c r="K323" s="1082"/>
      <c r="L323" s="1074" t="s">
        <v>508</v>
      </c>
      <c r="M323" s="1074"/>
    </row>
    <row r="324" spans="1:13">
      <c r="A324" s="553" t="s">
        <v>1332</v>
      </c>
      <c r="B324" s="1047" t="s">
        <v>1418</v>
      </c>
      <c r="C324" s="1048"/>
      <c r="D324" s="1074" t="s">
        <v>1420</v>
      </c>
      <c r="E324" s="1074"/>
      <c r="F324" s="1074" t="s">
        <v>1419</v>
      </c>
      <c r="G324" s="1074"/>
      <c r="H324" s="1074" t="s">
        <v>1420</v>
      </c>
      <c r="I324" s="1074"/>
      <c r="J324" s="1074" t="s">
        <v>1419</v>
      </c>
      <c r="K324" s="1074"/>
      <c r="L324" s="1074" t="s">
        <v>1419</v>
      </c>
      <c r="M324" s="1074"/>
    </row>
    <row r="325" spans="1:13">
      <c r="A325" s="559" t="s">
        <v>1210</v>
      </c>
      <c r="B325" s="561">
        <v>0.5</v>
      </c>
      <c r="C325" s="569">
        <f>B325*13000</f>
        <v>6500</v>
      </c>
      <c r="D325" s="561">
        <f>B325</f>
        <v>0.5</v>
      </c>
      <c r="E325" s="569">
        <f>D325*12000</f>
        <v>6000</v>
      </c>
      <c r="F325" s="561">
        <f>B325</f>
        <v>0.5</v>
      </c>
      <c r="G325" s="388">
        <f>F325*11700</f>
        <v>5850</v>
      </c>
      <c r="H325" s="380">
        <f>B325</f>
        <v>0.5</v>
      </c>
      <c r="I325" s="388">
        <f>H325*12000</f>
        <v>6000</v>
      </c>
      <c r="J325" s="561">
        <f>B325</f>
        <v>0.5</v>
      </c>
      <c r="K325" s="569">
        <f>J325*11700</f>
        <v>5850</v>
      </c>
      <c r="L325" s="1092">
        <f>C282</f>
        <v>4300</v>
      </c>
      <c r="M325" s="1092"/>
    </row>
    <row r="326" spans="1:13">
      <c r="A326" s="559" t="s">
        <v>1262</v>
      </c>
      <c r="B326" s="561">
        <v>1.5</v>
      </c>
      <c r="C326" s="569">
        <f>B326*13000</f>
        <v>19500</v>
      </c>
      <c r="D326" s="561">
        <f>B326</f>
        <v>1.5</v>
      </c>
      <c r="E326" s="569">
        <f>D326*12000</f>
        <v>18000</v>
      </c>
      <c r="F326" s="561">
        <f>B326</f>
        <v>1.5</v>
      </c>
      <c r="G326" s="388">
        <f>F326*11700</f>
        <v>17550</v>
      </c>
      <c r="H326" s="589">
        <f>I326/12000</f>
        <v>1.625</v>
      </c>
      <c r="I326" s="388">
        <f>C326</f>
        <v>19500</v>
      </c>
      <c r="J326" s="590">
        <f>K326/11700</f>
        <v>1.6666666666666667</v>
      </c>
      <c r="K326" s="388">
        <f>C326</f>
        <v>19500</v>
      </c>
      <c r="L326" s="1092">
        <f>B282</f>
        <v>21700</v>
      </c>
      <c r="M326" s="1092"/>
    </row>
    <row r="327" spans="1:13">
      <c r="A327" s="559" t="s">
        <v>183</v>
      </c>
      <c r="B327" s="561">
        <v>2</v>
      </c>
      <c r="C327" s="569">
        <f>SUM(C325:C326)</f>
        <v>26000</v>
      </c>
      <c r="D327" s="561">
        <f>B327</f>
        <v>2</v>
      </c>
      <c r="E327" s="569">
        <f>D327*12000</f>
        <v>24000</v>
      </c>
      <c r="F327" s="561">
        <f>B327</f>
        <v>2</v>
      </c>
      <c r="G327" s="388">
        <f>F327*11700</f>
        <v>23400</v>
      </c>
      <c r="H327" s="380"/>
      <c r="I327" s="388">
        <f>SUM(I325:I326)</f>
        <v>25500</v>
      </c>
      <c r="J327" s="561"/>
      <c r="K327" s="569">
        <f>SUM(K325:K326)</f>
        <v>25350</v>
      </c>
      <c r="L327" s="1092">
        <f>B284</f>
        <v>26000</v>
      </c>
      <c r="M327" s="1092"/>
    </row>
    <row r="328" spans="1:13">
      <c r="A328" s="549"/>
      <c r="B328" s="563"/>
      <c r="C328" s="563"/>
      <c r="D328" s="563"/>
      <c r="E328" s="563"/>
      <c r="F328" s="563"/>
      <c r="G328" s="384"/>
      <c r="H328" s="563"/>
      <c r="I328" s="563"/>
      <c r="J328" s="563"/>
      <c r="K328" s="563"/>
    </row>
    <row r="329" spans="1:13" ht="15">
      <c r="A329" s="557"/>
      <c r="B329" s="557"/>
      <c r="C329" s="557"/>
      <c r="D329" s="558" t="s">
        <v>1342</v>
      </c>
      <c r="E329" s="564" t="s">
        <v>1346</v>
      </c>
      <c r="F329" s="565">
        <f>E327-G327</f>
        <v>600</v>
      </c>
      <c r="H329" s="566" t="s">
        <v>1345</v>
      </c>
      <c r="I329" s="209">
        <f>G327-K327</f>
        <v>-1950</v>
      </c>
      <c r="L329" s="209">
        <f>K327-L327</f>
        <v>-650</v>
      </c>
      <c r="M329" s="567" t="s">
        <v>1347</v>
      </c>
    </row>
    <row r="330" spans="1:13">
      <c r="A330" s="1"/>
      <c r="B330" s="544"/>
    </row>
    <row r="331" spans="1:13">
      <c r="D331" s="558" t="s">
        <v>1343</v>
      </c>
      <c r="F331" s="564" t="s">
        <v>1345</v>
      </c>
      <c r="G331" s="565">
        <f>E327-I327</f>
        <v>-1500</v>
      </c>
      <c r="I331" s="555" t="s">
        <v>1389</v>
      </c>
      <c r="J331" s="568">
        <f>I327-K327</f>
        <v>150</v>
      </c>
      <c r="L331" s="209">
        <f>K327-L327</f>
        <v>-650</v>
      </c>
      <c r="M331" s="18" t="s">
        <v>1347</v>
      </c>
    </row>
    <row r="333" spans="1:13">
      <c r="D333" s="2" t="s">
        <v>1348</v>
      </c>
      <c r="E333" s="564" t="s">
        <v>1349</v>
      </c>
      <c r="F333" s="565">
        <f>E327-G327</f>
        <v>600</v>
      </c>
      <c r="G333" s="566" t="s">
        <v>1345</v>
      </c>
      <c r="H333" s="209">
        <f>G327-I327</f>
        <v>-2100</v>
      </c>
      <c r="I333" s="555" t="s">
        <v>1390</v>
      </c>
      <c r="J333" s="568">
        <f>I327-K327</f>
        <v>150</v>
      </c>
      <c r="L333" s="209">
        <f>K327-L327</f>
        <v>-650</v>
      </c>
      <c r="M333" s="18" t="s">
        <v>1347</v>
      </c>
    </row>
    <row r="335" spans="1:13">
      <c r="H335" s="2" t="s">
        <v>1352</v>
      </c>
      <c r="I335" s="554">
        <f>E327-L327</f>
        <v>-2000</v>
      </c>
    </row>
    <row r="337" spans="1:4">
      <c r="A337" s="586" t="s">
        <v>1381</v>
      </c>
      <c r="C337" s="61"/>
    </row>
    <row r="338" spans="1:4">
      <c r="A338" s="602" t="s">
        <v>1595</v>
      </c>
      <c r="C338" s="554"/>
    </row>
    <row r="339" spans="1:4">
      <c r="A339" s="603" t="s">
        <v>1596</v>
      </c>
      <c r="B339" s="459"/>
      <c r="C339" s="554"/>
    </row>
    <row r="340" spans="1:4">
      <c r="A340" s="603" t="s">
        <v>1597</v>
      </c>
      <c r="B340" s="586"/>
      <c r="C340" s="61"/>
    </row>
    <row r="341" spans="1:4">
      <c r="A341" s="895" t="s">
        <v>2408</v>
      </c>
      <c r="B341" s="586"/>
      <c r="C341" s="61"/>
    </row>
    <row r="342" spans="1:4">
      <c r="A342" s="895"/>
      <c r="B342" s="586"/>
      <c r="C342" s="61"/>
    </row>
    <row r="343" spans="1:4" ht="14.25">
      <c r="A343" s="882" t="s">
        <v>2360</v>
      </c>
      <c r="B343" s="368"/>
      <c r="C343" s="368"/>
      <c r="D343" s="368"/>
    </row>
    <row r="344" spans="1:4" ht="14.25">
      <c r="A344" s="882" t="s">
        <v>2361</v>
      </c>
      <c r="B344" s="368"/>
      <c r="C344" s="368"/>
      <c r="D344" s="368"/>
    </row>
    <row r="345" spans="1:4">
      <c r="A345" s="881"/>
      <c r="B345" s="881" t="s">
        <v>2362</v>
      </c>
      <c r="C345" s="881" t="s">
        <v>2363</v>
      </c>
      <c r="D345" s="881" t="s">
        <v>2364</v>
      </c>
    </row>
    <row r="346" spans="1:4">
      <c r="A346" s="442" t="s">
        <v>50</v>
      </c>
      <c r="B346" s="237">
        <v>5000</v>
      </c>
      <c r="C346" s="881" t="s">
        <v>2365</v>
      </c>
      <c r="D346" s="897">
        <v>25000</v>
      </c>
    </row>
    <row r="347" spans="1:4">
      <c r="A347" s="442" t="s">
        <v>2366</v>
      </c>
      <c r="B347" s="237">
        <v>35000</v>
      </c>
      <c r="C347" s="881" t="s">
        <v>2367</v>
      </c>
      <c r="D347" s="897">
        <v>245000</v>
      </c>
    </row>
    <row r="348" spans="1:4">
      <c r="A348" s="442" t="s">
        <v>2368</v>
      </c>
      <c r="B348" s="237">
        <v>2800</v>
      </c>
      <c r="C348" s="881" t="s">
        <v>2369</v>
      </c>
      <c r="D348" s="897">
        <v>18900</v>
      </c>
    </row>
    <row r="349" spans="1:4">
      <c r="A349" s="442" t="s">
        <v>845</v>
      </c>
      <c r="B349" s="237">
        <v>37200</v>
      </c>
      <c r="C349" s="881" t="s">
        <v>2370</v>
      </c>
      <c r="D349" s="897">
        <v>251100</v>
      </c>
    </row>
    <row r="350" spans="1:4" ht="14.25">
      <c r="A350" s="882"/>
      <c r="B350" s="368"/>
      <c r="C350" s="368"/>
      <c r="D350" s="368"/>
    </row>
    <row r="351" spans="1:4" ht="14.25">
      <c r="A351" s="882" t="s">
        <v>2371</v>
      </c>
      <c r="B351" s="368"/>
      <c r="C351" s="368"/>
      <c r="D351" s="368"/>
    </row>
    <row r="352" spans="1:4" ht="14.25">
      <c r="A352" s="882" t="s">
        <v>2372</v>
      </c>
      <c r="B352" s="368"/>
      <c r="C352" s="368"/>
      <c r="D352" s="368"/>
    </row>
    <row r="353" spans="1:4" ht="14.25">
      <c r="A353" s="882" t="s">
        <v>2373</v>
      </c>
      <c r="B353" s="368"/>
      <c r="C353" s="368"/>
      <c r="D353" s="368"/>
    </row>
    <row r="354" spans="1:4" ht="14.25">
      <c r="A354" s="882"/>
      <c r="B354" s="368"/>
      <c r="C354" s="368"/>
      <c r="D354" s="368"/>
    </row>
    <row r="355" spans="1:4" ht="14.25">
      <c r="A355" s="882" t="s">
        <v>2374</v>
      </c>
      <c r="B355" s="368"/>
      <c r="C355" s="368"/>
      <c r="D355" s="368"/>
    </row>
    <row r="356" spans="1:4" ht="14.25">
      <c r="A356" s="882" t="s">
        <v>2375</v>
      </c>
      <c r="B356" s="368"/>
      <c r="C356" s="368"/>
      <c r="D356" s="368"/>
    </row>
    <row r="357" spans="1:4" ht="14.25">
      <c r="A357" s="882" t="s">
        <v>2376</v>
      </c>
      <c r="B357" s="368"/>
      <c r="C357" s="368"/>
      <c r="D357" s="368"/>
    </row>
    <row r="358" spans="1:4" ht="14.25">
      <c r="A358" s="896" t="s">
        <v>2377</v>
      </c>
      <c r="B358" s="368"/>
      <c r="C358" s="368"/>
      <c r="D358" s="368"/>
    </row>
    <row r="359" spans="1:4" ht="14.25">
      <c r="A359" s="882"/>
      <c r="B359" s="368"/>
      <c r="C359" s="368"/>
      <c r="D359" s="368"/>
    </row>
    <row r="360" spans="1:4">
      <c r="A360" s="882" t="s">
        <v>1271</v>
      </c>
    </row>
    <row r="361" spans="1:4">
      <c r="A361" s="882" t="s">
        <v>2378</v>
      </c>
    </row>
    <row r="362" spans="1:4">
      <c r="A362" s="882" t="s">
        <v>2379</v>
      </c>
    </row>
    <row r="363" spans="1:4">
      <c r="A363" s="896" t="s">
        <v>2380</v>
      </c>
    </row>
    <row r="364" spans="1:4">
      <c r="A364" s="882"/>
    </row>
    <row r="365" spans="1:4">
      <c r="A365" s="882" t="s">
        <v>2381</v>
      </c>
    </row>
    <row r="366" spans="1:4">
      <c r="A366" s="882" t="s">
        <v>2382</v>
      </c>
    </row>
    <row r="367" spans="1:4">
      <c r="A367" s="896" t="s">
        <v>2383</v>
      </c>
    </row>
    <row r="368" spans="1:4">
      <c r="A368" s="373"/>
    </row>
    <row r="369" spans="1:1">
      <c r="A369" s="882" t="s">
        <v>2384</v>
      </c>
    </row>
    <row r="370" spans="1:1">
      <c r="A370" s="882" t="s">
        <v>2385</v>
      </c>
    </row>
    <row r="371" spans="1:1">
      <c r="A371" s="882" t="s">
        <v>2386</v>
      </c>
    </row>
    <row r="372" spans="1:1">
      <c r="A372" s="882"/>
    </row>
    <row r="373" spans="1:1">
      <c r="A373" s="882" t="s">
        <v>2387</v>
      </c>
    </row>
    <row r="374" spans="1:1">
      <c r="A374" s="882"/>
    </row>
    <row r="375" spans="1:1">
      <c r="A375" s="882" t="s">
        <v>2388</v>
      </c>
    </row>
    <row r="376" spans="1:1">
      <c r="A376" s="882" t="s">
        <v>2389</v>
      </c>
    </row>
    <row r="377" spans="1:1">
      <c r="A377" s="882" t="s">
        <v>2390</v>
      </c>
    </row>
    <row r="378" spans="1:1">
      <c r="A378" s="896" t="s">
        <v>2391</v>
      </c>
    </row>
    <row r="379" spans="1:1">
      <c r="A379" s="882"/>
    </row>
    <row r="380" spans="1:1">
      <c r="A380" s="882" t="s">
        <v>2392</v>
      </c>
    </row>
    <row r="381" spans="1:1">
      <c r="A381" s="882" t="s">
        <v>2393</v>
      </c>
    </row>
    <row r="382" spans="1:1">
      <c r="A382" s="896" t="s">
        <v>2394</v>
      </c>
    </row>
    <row r="383" spans="1:1">
      <c r="A383" s="882"/>
    </row>
    <row r="384" spans="1:1">
      <c r="A384" s="882" t="s">
        <v>2395</v>
      </c>
    </row>
    <row r="385" spans="1:13">
      <c r="A385" s="882" t="s">
        <v>2396</v>
      </c>
    </row>
    <row r="386" spans="1:13">
      <c r="A386" s="896" t="s">
        <v>2397</v>
      </c>
    </row>
    <row r="388" spans="1:13" ht="14.25">
      <c r="A388" s="882" t="s">
        <v>2398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</row>
    <row r="389" spans="1:13">
      <c r="A389" s="898" t="s">
        <v>501</v>
      </c>
      <c r="B389" s="1091" t="s">
        <v>1324</v>
      </c>
      <c r="C389" s="1091"/>
      <c r="D389" s="1091" t="s">
        <v>2406</v>
      </c>
      <c r="E389" s="1091"/>
      <c r="F389" s="1091" t="s">
        <v>1326</v>
      </c>
      <c r="G389" s="1091"/>
      <c r="H389" s="1091" t="s">
        <v>1288</v>
      </c>
      <c r="I389" s="1091"/>
      <c r="J389" s="1091" t="s">
        <v>507</v>
      </c>
      <c r="K389" s="1091"/>
      <c r="L389" s="1091" t="s">
        <v>508</v>
      </c>
      <c r="M389" s="1091"/>
    </row>
    <row r="390" spans="1:13" ht="26.25" customHeight="1">
      <c r="A390" s="898" t="s">
        <v>2399</v>
      </c>
      <c r="B390" s="1091" t="s">
        <v>2400</v>
      </c>
      <c r="C390" s="1091"/>
      <c r="D390" s="1091" t="s">
        <v>2401</v>
      </c>
      <c r="E390" s="1091"/>
      <c r="F390" s="1091" t="s">
        <v>2402</v>
      </c>
      <c r="G390" s="1091"/>
      <c r="H390" s="1091" t="s">
        <v>2401</v>
      </c>
      <c r="I390" s="1091"/>
      <c r="J390" s="1091" t="s">
        <v>2402</v>
      </c>
      <c r="K390" s="1091"/>
      <c r="L390" s="1091" t="s">
        <v>2402</v>
      </c>
      <c r="M390" s="1091"/>
    </row>
    <row r="391" spans="1:13">
      <c r="A391" s="899" t="s">
        <v>510</v>
      </c>
      <c r="B391" s="899">
        <v>4</v>
      </c>
      <c r="C391" s="900">
        <v>30000</v>
      </c>
      <c r="D391" s="899">
        <v>4</v>
      </c>
      <c r="E391" s="900">
        <v>24000</v>
      </c>
      <c r="F391" s="899">
        <v>4</v>
      </c>
      <c r="G391" s="900">
        <v>26400</v>
      </c>
      <c r="H391" s="899">
        <v>5</v>
      </c>
      <c r="I391" s="900">
        <v>30000</v>
      </c>
      <c r="J391" s="899">
        <v>4.55</v>
      </c>
      <c r="K391" s="900">
        <v>30000</v>
      </c>
      <c r="L391" s="1091">
        <v>25550</v>
      </c>
      <c r="M391" s="1091"/>
    </row>
    <row r="392" spans="1:13">
      <c r="A392" s="899" t="s">
        <v>511</v>
      </c>
      <c r="B392" s="899">
        <v>6</v>
      </c>
      <c r="C392" s="900">
        <v>45000</v>
      </c>
      <c r="D392" s="899">
        <v>6</v>
      </c>
      <c r="E392" s="900">
        <v>36000</v>
      </c>
      <c r="F392" s="899">
        <v>6</v>
      </c>
      <c r="G392" s="900">
        <v>39600</v>
      </c>
      <c r="H392" s="899">
        <v>6</v>
      </c>
      <c r="I392" s="900">
        <v>36000</v>
      </c>
      <c r="J392" s="899">
        <v>6</v>
      </c>
      <c r="K392" s="900">
        <v>39600</v>
      </c>
      <c r="L392" s="1091">
        <v>42500</v>
      </c>
      <c r="M392" s="1091"/>
    </row>
    <row r="393" spans="1:13">
      <c r="A393" s="899" t="s">
        <v>512</v>
      </c>
      <c r="B393" s="899">
        <v>10</v>
      </c>
      <c r="C393" s="900">
        <v>75000</v>
      </c>
      <c r="D393" s="899">
        <v>10</v>
      </c>
      <c r="E393" s="900">
        <v>60000</v>
      </c>
      <c r="F393" s="899">
        <v>10</v>
      </c>
      <c r="G393" s="900">
        <v>66000</v>
      </c>
      <c r="H393" s="899">
        <v>11</v>
      </c>
      <c r="I393" s="900">
        <v>66000</v>
      </c>
      <c r="J393" s="899">
        <v>10.5</v>
      </c>
      <c r="K393" s="900">
        <v>69600</v>
      </c>
      <c r="L393" s="1091">
        <v>68050</v>
      </c>
      <c r="M393" s="1091"/>
    </row>
    <row r="394" spans="1:13">
      <c r="A394" s="902"/>
      <c r="B394" s="902"/>
      <c r="C394" s="903"/>
      <c r="D394" s="902"/>
      <c r="E394" s="903"/>
      <c r="F394" s="902"/>
      <c r="G394" s="903"/>
      <c r="H394" s="902"/>
      <c r="I394" s="903"/>
      <c r="J394" s="902"/>
      <c r="K394" s="903"/>
      <c r="L394" s="904"/>
      <c r="M394" s="904"/>
    </row>
    <row r="395" spans="1:13">
      <c r="A395" s="902"/>
      <c r="B395" s="902"/>
      <c r="C395" s="903"/>
      <c r="D395" s="878" t="s">
        <v>1342</v>
      </c>
      <c r="E395" s="564" t="s">
        <v>1346</v>
      </c>
      <c r="F395" s="565">
        <f>E393-G393</f>
        <v>-6000</v>
      </c>
      <c r="H395" s="566" t="s">
        <v>1345</v>
      </c>
      <c r="I395" s="209">
        <f>G393-K393</f>
        <v>-3600</v>
      </c>
      <c r="L395" s="209">
        <f>K393-L393</f>
        <v>1550</v>
      </c>
      <c r="M395" s="567" t="s">
        <v>1347</v>
      </c>
    </row>
    <row r="396" spans="1:13">
      <c r="A396" s="902"/>
      <c r="B396" s="902"/>
      <c r="C396" s="903"/>
    </row>
    <row r="397" spans="1:13">
      <c r="A397" s="902"/>
      <c r="B397" s="902"/>
      <c r="C397" s="903"/>
      <c r="D397" s="878" t="s">
        <v>1343</v>
      </c>
      <c r="F397" s="564" t="s">
        <v>1345</v>
      </c>
      <c r="G397" s="565">
        <f>E393-I393</f>
        <v>-6000</v>
      </c>
      <c r="I397" s="876" t="s">
        <v>1389</v>
      </c>
      <c r="J397" s="568">
        <f>I393-K393</f>
        <v>-3600</v>
      </c>
      <c r="L397" s="209">
        <f>K393-L393</f>
        <v>1550</v>
      </c>
      <c r="M397" s="18" t="s">
        <v>1347</v>
      </c>
    </row>
    <row r="398" spans="1:13">
      <c r="A398" s="902"/>
      <c r="B398" s="902"/>
      <c r="C398" s="903"/>
      <c r="D398" s="902"/>
      <c r="E398" s="903"/>
      <c r="F398" s="902"/>
      <c r="G398" s="903"/>
      <c r="H398" s="902"/>
      <c r="I398" s="903"/>
      <c r="J398" s="902"/>
      <c r="K398" s="903"/>
      <c r="L398" s="904"/>
      <c r="M398" s="904"/>
    </row>
    <row r="399" spans="1:13">
      <c r="A399" s="902"/>
      <c r="B399" s="902"/>
      <c r="C399" s="903"/>
      <c r="H399" s="2" t="s">
        <v>1352</v>
      </c>
      <c r="I399" s="30">
        <f>E393-L393</f>
        <v>-8050</v>
      </c>
    </row>
    <row r="400" spans="1:13">
      <c r="A400" s="902"/>
      <c r="B400" s="902"/>
      <c r="C400" s="903"/>
      <c r="D400" s="902"/>
      <c r="E400" s="903"/>
      <c r="F400" s="902"/>
      <c r="G400" s="903"/>
      <c r="H400" s="902"/>
      <c r="I400" s="903"/>
      <c r="J400" s="902"/>
      <c r="K400" s="903"/>
      <c r="L400" s="904"/>
      <c r="M400" s="904"/>
    </row>
    <row r="401" spans="1:13">
      <c r="A401" s="896" t="s">
        <v>1381</v>
      </c>
      <c r="B401" s="902"/>
      <c r="C401" s="903"/>
      <c r="D401" s="902"/>
      <c r="E401" s="903"/>
      <c r="F401" s="902"/>
      <c r="G401" s="903"/>
      <c r="H401" s="902"/>
      <c r="I401" s="903"/>
      <c r="J401" s="902"/>
      <c r="K401" s="903"/>
      <c r="L401" s="904"/>
      <c r="M401" s="904"/>
    </row>
    <row r="402" spans="1:13">
      <c r="A402" s="882" t="s">
        <v>2403</v>
      </c>
      <c r="B402" s="902"/>
      <c r="C402" s="903"/>
      <c r="D402" s="902"/>
      <c r="E402" s="903"/>
      <c r="F402" s="902"/>
      <c r="G402" s="903"/>
      <c r="H402" s="902"/>
      <c r="I402" s="903"/>
      <c r="J402" s="902"/>
      <c r="K402" s="903"/>
      <c r="L402" s="904"/>
      <c r="M402" s="904"/>
    </row>
    <row r="403" spans="1:13">
      <c r="A403" s="882" t="s">
        <v>2404</v>
      </c>
      <c r="B403" s="902"/>
      <c r="C403" s="903"/>
      <c r="D403" s="902"/>
      <c r="E403" s="903"/>
      <c r="F403" s="902"/>
      <c r="G403" s="903"/>
      <c r="H403" s="902"/>
      <c r="I403" s="903"/>
      <c r="J403" s="902"/>
      <c r="K403" s="903"/>
      <c r="L403" s="904"/>
      <c r="M403" s="904"/>
    </row>
    <row r="404" spans="1:13" ht="14.25">
      <c r="A404" s="882" t="s">
        <v>2405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</row>
    <row r="405" spans="1:13" ht="14.25">
      <c r="A405" s="1" t="s">
        <v>2407</v>
      </c>
      <c r="B405" s="368"/>
      <c r="C405" s="368"/>
      <c r="D405" s="368"/>
      <c r="E405" s="368"/>
      <c r="F405" s="368"/>
      <c r="G405" s="368"/>
      <c r="H405" s="368"/>
      <c r="I405" s="368"/>
      <c r="J405" s="368"/>
      <c r="K405" s="368"/>
      <c r="L405" s="368"/>
    </row>
    <row r="406" spans="1:13" ht="14.25">
      <c r="B406" s="368"/>
      <c r="C406" s="368"/>
      <c r="D406" s="368"/>
      <c r="E406" s="368"/>
      <c r="F406" s="368"/>
      <c r="G406" s="368"/>
      <c r="H406" s="368"/>
      <c r="I406" s="368"/>
      <c r="J406" s="368"/>
      <c r="K406" s="368"/>
      <c r="L406" s="368"/>
    </row>
    <row r="407" spans="1:13" ht="14.25">
      <c r="A407" s="2" t="s">
        <v>2413</v>
      </c>
      <c r="B407" s="368"/>
      <c r="C407" s="368"/>
      <c r="D407" s="368"/>
      <c r="E407" s="368"/>
      <c r="F407" s="368"/>
      <c r="G407" s="368"/>
      <c r="H407" s="368"/>
      <c r="I407" s="368"/>
      <c r="J407" s="368"/>
      <c r="K407" s="368"/>
      <c r="L407" s="368"/>
    </row>
    <row r="408" spans="1:13" ht="14.25"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</row>
    <row r="409" spans="1:13" ht="15.75" customHeight="1">
      <c r="A409" s="823" t="s">
        <v>501</v>
      </c>
      <c r="B409" s="1090" t="s">
        <v>1324</v>
      </c>
      <c r="C409" s="1090"/>
      <c r="D409" s="1090" t="s">
        <v>2414</v>
      </c>
      <c r="E409" s="1090"/>
      <c r="F409" s="1090" t="s">
        <v>1326</v>
      </c>
      <c r="G409" s="1090"/>
      <c r="H409" s="1090" t="s">
        <v>507</v>
      </c>
      <c r="I409" s="1090"/>
      <c r="J409" s="1090" t="s">
        <v>508</v>
      </c>
      <c r="K409" s="1090"/>
      <c r="L409" s="368"/>
    </row>
    <row r="410" spans="1:13" ht="14.25">
      <c r="A410" s="823" t="s">
        <v>2409</v>
      </c>
      <c r="B410" s="1090" t="s">
        <v>2410</v>
      </c>
      <c r="C410" s="1090"/>
      <c r="D410" s="1090" t="s">
        <v>2411</v>
      </c>
      <c r="E410" s="1090"/>
      <c r="F410" s="1090" t="s">
        <v>2412</v>
      </c>
      <c r="G410" s="1090"/>
      <c r="H410" s="1090" t="s">
        <v>2412</v>
      </c>
      <c r="I410" s="1090"/>
      <c r="J410" s="1090" t="s">
        <v>2412</v>
      </c>
      <c r="K410" s="1090"/>
      <c r="L410" s="368"/>
    </row>
    <row r="411" spans="1:13" ht="14.25">
      <c r="A411" s="905" t="s">
        <v>510</v>
      </c>
      <c r="B411" s="905">
        <v>6</v>
      </c>
      <c r="C411" s="900">
        <v>144000</v>
      </c>
      <c r="D411" s="905">
        <v>6</v>
      </c>
      <c r="E411" s="900">
        <v>108000</v>
      </c>
      <c r="F411" s="905">
        <v>6</v>
      </c>
      <c r="G411" s="900">
        <v>115200</v>
      </c>
      <c r="H411" s="905"/>
      <c r="I411" s="900">
        <v>144000</v>
      </c>
      <c r="J411" s="905"/>
      <c r="K411" s="900">
        <v>154000</v>
      </c>
      <c r="L411" s="368"/>
    </row>
    <row r="412" spans="1:13" ht="14.25">
      <c r="A412" s="905" t="s">
        <v>511</v>
      </c>
      <c r="B412" s="905">
        <v>4</v>
      </c>
      <c r="C412" s="900">
        <v>96000</v>
      </c>
      <c r="D412" s="905">
        <v>4</v>
      </c>
      <c r="E412" s="900">
        <v>72000</v>
      </c>
      <c r="F412" s="905">
        <v>4</v>
      </c>
      <c r="G412" s="900">
        <v>76800</v>
      </c>
      <c r="H412" s="905">
        <v>4</v>
      </c>
      <c r="I412" s="900">
        <v>76800</v>
      </c>
      <c r="J412" s="905"/>
      <c r="K412" s="900">
        <v>75800</v>
      </c>
      <c r="L412" s="368"/>
    </row>
    <row r="413" spans="1:13" ht="14.25">
      <c r="A413" s="905" t="s">
        <v>512</v>
      </c>
      <c r="B413" s="905">
        <v>10</v>
      </c>
      <c r="C413" s="900">
        <v>240000</v>
      </c>
      <c r="D413" s="905">
        <v>10</v>
      </c>
      <c r="E413" s="900">
        <v>180000</v>
      </c>
      <c r="F413" s="905">
        <v>10</v>
      </c>
      <c r="G413" s="900">
        <v>192000</v>
      </c>
      <c r="H413" s="905"/>
      <c r="I413" s="900">
        <v>220800</v>
      </c>
      <c r="J413" s="905"/>
      <c r="K413" s="900">
        <v>229800</v>
      </c>
      <c r="L413" s="368"/>
    </row>
    <row r="414" spans="1:13" ht="15" customHeight="1">
      <c r="A414" s="907"/>
      <c r="B414" s="907"/>
      <c r="C414" s="907"/>
      <c r="D414" s="907"/>
      <c r="E414" s="981"/>
      <c r="F414" s="981"/>
      <c r="G414" s="981"/>
      <c r="H414" s="981"/>
      <c r="I414" s="981"/>
      <c r="J414" s="981"/>
      <c r="K414" s="906"/>
      <c r="L414" s="368"/>
    </row>
    <row r="415" spans="1:13" ht="15" customHeight="1">
      <c r="A415" s="906"/>
      <c r="B415" s="906"/>
      <c r="C415" s="906"/>
      <c r="D415" s="878" t="s">
        <v>1342</v>
      </c>
      <c r="E415" s="564" t="s">
        <v>1346</v>
      </c>
      <c r="F415" s="565">
        <f>E413-G413</f>
        <v>-12000</v>
      </c>
      <c r="G415" s="566" t="s">
        <v>1345</v>
      </c>
      <c r="H415" s="209">
        <f>G413-I413</f>
        <v>-28800</v>
      </c>
      <c r="J415" s="209">
        <f>I413-K413</f>
        <v>-9000</v>
      </c>
      <c r="K415" s="567" t="s">
        <v>1347</v>
      </c>
    </row>
    <row r="416" spans="1:13" ht="15">
      <c r="A416" s="908"/>
      <c r="B416" s="427"/>
      <c r="C416" s="427"/>
      <c r="D416" s="427"/>
      <c r="E416" s="427"/>
      <c r="F416" s="427"/>
      <c r="G416" s="427"/>
      <c r="H416" s="427"/>
      <c r="I416" s="427"/>
      <c r="J416" s="427"/>
      <c r="K416" s="427"/>
      <c r="L416" s="368"/>
    </row>
    <row r="417" spans="1:12" ht="15">
      <c r="A417" s="908"/>
      <c r="B417" s="427"/>
      <c r="C417" s="427"/>
      <c r="G417" s="2" t="s">
        <v>1352</v>
      </c>
      <c r="H417" s="30">
        <f>E413-K413</f>
        <v>-49800</v>
      </c>
    </row>
    <row r="418" spans="1:12" ht="15">
      <c r="A418" s="829" t="s">
        <v>1333</v>
      </c>
      <c r="B418" s="368"/>
      <c r="C418" s="368"/>
      <c r="D418" s="368"/>
      <c r="E418" s="368"/>
      <c r="F418" s="368"/>
      <c r="G418"/>
      <c r="H418"/>
      <c r="I418"/>
      <c r="J418"/>
      <c r="K418"/>
      <c r="L418" s="368"/>
    </row>
    <row r="419" spans="1:12" ht="15">
      <c r="A419" s="698" t="s">
        <v>2415</v>
      </c>
      <c r="B419" s="368"/>
      <c r="C419" s="368"/>
      <c r="D419" s="368"/>
      <c r="E419" s="368"/>
      <c r="F419" s="368"/>
      <c r="G419"/>
      <c r="H419"/>
      <c r="I419"/>
      <c r="J419"/>
      <c r="K419"/>
      <c r="L419" s="368"/>
    </row>
    <row r="420" spans="1:12" ht="15">
      <c r="A420" s="698" t="s">
        <v>2416</v>
      </c>
      <c r="B420" s="368"/>
      <c r="C420" s="368"/>
      <c r="D420" s="368"/>
      <c r="E420" s="368"/>
      <c r="F420" s="368"/>
      <c r="G420"/>
      <c r="H420"/>
      <c r="I420"/>
      <c r="J420"/>
      <c r="K420"/>
      <c r="L420" s="368"/>
    </row>
    <row r="421" spans="1:12" ht="15">
      <c r="A421" s="698" t="s">
        <v>2417</v>
      </c>
      <c r="B421" s="368"/>
      <c r="C421" s="368"/>
      <c r="D421" s="368"/>
      <c r="E421" s="368"/>
      <c r="F421" s="368"/>
      <c r="G421"/>
      <c r="H421"/>
      <c r="I421"/>
      <c r="J421"/>
      <c r="K421"/>
      <c r="L421" s="368"/>
    </row>
    <row r="422" spans="1:12" ht="14.25">
      <c r="A422" s="882"/>
      <c r="B422" s="368"/>
      <c r="C422" s="368"/>
      <c r="D422" s="368"/>
      <c r="E422" s="368"/>
      <c r="F422" s="368"/>
      <c r="G422" s="368"/>
      <c r="H422" s="368"/>
      <c r="I422" s="368"/>
      <c r="J422" s="368"/>
      <c r="K422" s="368"/>
      <c r="L422" s="368"/>
    </row>
    <row r="423" spans="1:12" ht="14.25">
      <c r="A423" s="882"/>
      <c r="B423" s="368"/>
      <c r="C423" s="368"/>
      <c r="D423" s="368"/>
      <c r="E423" s="368"/>
      <c r="F423" s="368"/>
      <c r="G423" s="368"/>
      <c r="H423" s="368"/>
      <c r="I423" s="368"/>
      <c r="J423" s="368"/>
      <c r="K423" s="368"/>
      <c r="L423" s="368"/>
    </row>
    <row r="424" spans="1:12" ht="14.25">
      <c r="A424" s="882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</row>
    <row r="425" spans="1:12" ht="14.25">
      <c r="A425" s="896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</row>
    <row r="426" spans="1:12" ht="14.25">
      <c r="A426" s="882"/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</row>
    <row r="427" spans="1:12" ht="14.25">
      <c r="A427" s="882"/>
      <c r="B427" s="368"/>
      <c r="C427" s="368"/>
      <c r="D427" s="368"/>
      <c r="E427" s="368"/>
      <c r="F427" s="368"/>
      <c r="G427" s="368"/>
      <c r="H427" s="368"/>
      <c r="I427" s="368"/>
      <c r="J427" s="368"/>
      <c r="K427" s="368"/>
      <c r="L427" s="368"/>
    </row>
    <row r="428" spans="1:12" ht="14.25">
      <c r="A428" s="882"/>
      <c r="B428" s="368"/>
      <c r="C428" s="368"/>
      <c r="D428" s="368"/>
      <c r="E428" s="368"/>
      <c r="F428" s="368"/>
      <c r="G428" s="368"/>
      <c r="H428" s="368"/>
      <c r="I428" s="368"/>
      <c r="J428" s="368"/>
      <c r="K428" s="368"/>
      <c r="L428" s="368"/>
    </row>
    <row r="429" spans="1:12" ht="14.25">
      <c r="A429" s="896"/>
      <c r="B429" s="368"/>
      <c r="C429" s="368"/>
      <c r="D429" s="368"/>
      <c r="E429" s="368"/>
      <c r="F429" s="368"/>
      <c r="G429" s="368"/>
      <c r="H429" s="368"/>
      <c r="I429" s="368"/>
      <c r="J429" s="368"/>
      <c r="K429" s="368"/>
      <c r="L429" s="368"/>
    </row>
    <row r="430" spans="1:12" ht="14.25">
      <c r="A430" s="882"/>
      <c r="B430" s="368"/>
      <c r="C430" s="368"/>
      <c r="D430" s="368"/>
      <c r="E430" s="368"/>
      <c r="F430" s="368"/>
      <c r="G430" s="368"/>
      <c r="H430" s="368"/>
      <c r="I430" s="368"/>
      <c r="J430" s="368"/>
      <c r="K430" s="368"/>
      <c r="L430" s="368"/>
    </row>
    <row r="431" spans="1:12" ht="14.25">
      <c r="A431" s="901"/>
      <c r="B431" s="368"/>
      <c r="C431" s="368"/>
      <c r="D431" s="368"/>
      <c r="E431" s="368"/>
      <c r="F431" s="368"/>
      <c r="G431" s="368"/>
      <c r="H431" s="368"/>
      <c r="I431" s="368"/>
      <c r="J431" s="368"/>
      <c r="K431" s="368"/>
      <c r="L431" s="368"/>
    </row>
    <row r="432" spans="1:12" ht="14.25">
      <c r="A432" s="882"/>
      <c r="B432" s="368"/>
      <c r="C432" s="368"/>
      <c r="D432" s="368"/>
      <c r="E432" s="368"/>
      <c r="F432" s="368"/>
      <c r="G432" s="368"/>
      <c r="H432" s="368"/>
      <c r="I432" s="368"/>
      <c r="J432" s="368"/>
      <c r="K432" s="368"/>
      <c r="L432" s="368"/>
    </row>
    <row r="433" spans="1:12" ht="14.25">
      <c r="A433" s="882"/>
      <c r="B433" s="368"/>
      <c r="C433" s="368"/>
      <c r="D433" s="368"/>
      <c r="E433" s="368"/>
      <c r="F433" s="368"/>
      <c r="G433" s="368"/>
      <c r="H433" s="368"/>
      <c r="I433" s="368"/>
      <c r="J433" s="368"/>
      <c r="K433" s="368"/>
      <c r="L433" s="368"/>
    </row>
    <row r="434" spans="1:12" ht="14.25">
      <c r="A434" s="896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</row>
    <row r="435" spans="1:12" ht="14.25">
      <c r="A435" s="882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</row>
    <row r="436" spans="1:12" ht="14.25">
      <c r="A436" s="882"/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</row>
    <row r="437" spans="1:12" ht="14.25">
      <c r="A437" s="882"/>
      <c r="B437" s="368"/>
      <c r="C437" s="368"/>
      <c r="D437" s="368"/>
      <c r="E437" s="368"/>
      <c r="F437" s="368"/>
      <c r="G437" s="368"/>
      <c r="H437" s="368"/>
      <c r="I437" s="368"/>
      <c r="J437" s="368"/>
      <c r="K437" s="368"/>
      <c r="L437" s="368"/>
    </row>
    <row r="438" spans="1:12" ht="14.25">
      <c r="A438" s="896"/>
      <c r="B438" s="368"/>
      <c r="C438" s="368"/>
      <c r="D438" s="368"/>
      <c r="E438" s="368"/>
      <c r="F438" s="368"/>
      <c r="G438" s="368"/>
      <c r="H438" s="368"/>
      <c r="I438" s="368"/>
      <c r="J438" s="368"/>
      <c r="K438" s="368"/>
      <c r="L438" s="368"/>
    </row>
    <row r="439" spans="1:12" ht="14.25">
      <c r="A439" s="882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</row>
    <row r="440" spans="1:12" ht="14.25">
      <c r="A440" s="882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</row>
    <row r="441" spans="1:12" ht="14.25">
      <c r="A441" s="882"/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</row>
    <row r="442" spans="1:12" ht="14.25">
      <c r="A442" s="896"/>
      <c r="B442" s="368"/>
      <c r="C442" s="368"/>
      <c r="D442" s="368"/>
      <c r="E442" s="368"/>
      <c r="F442" s="368"/>
      <c r="G442" s="368"/>
      <c r="H442" s="368"/>
      <c r="I442" s="368"/>
      <c r="J442" s="368"/>
      <c r="K442" s="368"/>
      <c r="L442" s="368"/>
    </row>
  </sheetData>
  <mergeCells count="102">
    <mergeCell ref="L324:M324"/>
    <mergeCell ref="L325:M325"/>
    <mergeCell ref="L326:M326"/>
    <mergeCell ref="L327:M327"/>
    <mergeCell ref="B324:C324"/>
    <mergeCell ref="D324:E324"/>
    <mergeCell ref="F324:G324"/>
    <mergeCell ref="H324:I324"/>
    <mergeCell ref="J324:K324"/>
    <mergeCell ref="L157:M157"/>
    <mergeCell ref="L158:M158"/>
    <mergeCell ref="B239:C239"/>
    <mergeCell ref="D239:E239"/>
    <mergeCell ref="F239:G239"/>
    <mergeCell ref="H239:I239"/>
    <mergeCell ref="J239:K239"/>
    <mergeCell ref="L323:M323"/>
    <mergeCell ref="L240:M240"/>
    <mergeCell ref="L241:M241"/>
    <mergeCell ref="L242:M242"/>
    <mergeCell ref="B240:C240"/>
    <mergeCell ref="D240:E240"/>
    <mergeCell ref="F240:G240"/>
    <mergeCell ref="H240:I240"/>
    <mergeCell ref="J240:K240"/>
    <mergeCell ref="L243:M243"/>
    <mergeCell ref="B323:C323"/>
    <mergeCell ref="D323:E323"/>
    <mergeCell ref="F323:G323"/>
    <mergeCell ref="H323:I323"/>
    <mergeCell ref="J323:K323"/>
    <mergeCell ref="B158:C158"/>
    <mergeCell ref="D158:E158"/>
    <mergeCell ref="F158:G158"/>
    <mergeCell ref="H158:I158"/>
    <mergeCell ref="J158:K158"/>
    <mergeCell ref="L239:M239"/>
    <mergeCell ref="L159:M159"/>
    <mergeCell ref="L160:M160"/>
    <mergeCell ref="L161:M161"/>
    <mergeCell ref="J41:K41"/>
    <mergeCell ref="J40:K40"/>
    <mergeCell ref="B157:C157"/>
    <mergeCell ref="D157:E157"/>
    <mergeCell ref="F157:G157"/>
    <mergeCell ref="H157:I157"/>
    <mergeCell ref="J157:K157"/>
    <mergeCell ref="B40:C40"/>
    <mergeCell ref="B41:C41"/>
    <mergeCell ref="D56:E56"/>
    <mergeCell ref="F56:G56"/>
    <mergeCell ref="J56:K56"/>
    <mergeCell ref="H56:I56"/>
    <mergeCell ref="B56:C56"/>
    <mergeCell ref="J44:K44"/>
    <mergeCell ref="D40:E40"/>
    <mergeCell ref="A1:M1"/>
    <mergeCell ref="B389:C389"/>
    <mergeCell ref="D389:E389"/>
    <mergeCell ref="F389:G389"/>
    <mergeCell ref="H389:I389"/>
    <mergeCell ref="J389:K389"/>
    <mergeCell ref="L389:M389"/>
    <mergeCell ref="B57:C57"/>
    <mergeCell ref="L59:M59"/>
    <mergeCell ref="L60:M60"/>
    <mergeCell ref="L56:M56"/>
    <mergeCell ref="L57:M57"/>
    <mergeCell ref="L58:M58"/>
    <mergeCell ref="J42:K42"/>
    <mergeCell ref="J43:K43"/>
    <mergeCell ref="D57:E57"/>
    <mergeCell ref="F57:G57"/>
    <mergeCell ref="J57:K57"/>
    <mergeCell ref="H57:I57"/>
    <mergeCell ref="D41:E41"/>
    <mergeCell ref="F40:G40"/>
    <mergeCell ref="F41:G41"/>
    <mergeCell ref="H40:I40"/>
    <mergeCell ref="H41:I41"/>
    <mergeCell ref="E414:F414"/>
    <mergeCell ref="G414:H414"/>
    <mergeCell ref="I414:J414"/>
    <mergeCell ref="B410:C410"/>
    <mergeCell ref="D410:E410"/>
    <mergeCell ref="F410:G410"/>
    <mergeCell ref="H410:I410"/>
    <mergeCell ref="J410:K410"/>
    <mergeCell ref="L390:M390"/>
    <mergeCell ref="L391:M391"/>
    <mergeCell ref="L392:M392"/>
    <mergeCell ref="L393:M393"/>
    <mergeCell ref="B409:C409"/>
    <mergeCell ref="D409:E409"/>
    <mergeCell ref="F409:G409"/>
    <mergeCell ref="H409:I409"/>
    <mergeCell ref="J409:K409"/>
    <mergeCell ref="B390:C390"/>
    <mergeCell ref="D390:E390"/>
    <mergeCell ref="F390:G390"/>
    <mergeCell ref="H390:I390"/>
    <mergeCell ref="J390:K390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>&amp;L&amp;"+,Negrita"Resolución Guía de trabajos prácticos - Sistemas de Costos</oddHeader>
    <oddFooter>&amp;C&amp;"+,Normal"Departamento de Contabilidad e Impuestos
Universidad Argentina de la Empresa</oddFooter>
  </headerFooter>
  <rowBreaks count="10" manualBreakCount="10">
    <brk id="53" max="16383" man="1"/>
    <brk id="80" max="16383" man="1"/>
    <brk id="137" max="12" man="1"/>
    <brk id="179" max="16383" man="1"/>
    <brk id="236" max="12" man="1"/>
    <brk id="261" max="16383" man="1"/>
    <brk id="319" max="12" man="1"/>
    <brk id="340" max="12" man="1"/>
    <brk id="386" max="12" man="1"/>
    <brk id="404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EJERCICIOS INTRODUCTORIOS</vt:lpstr>
      <vt:lpstr>MATERIALES Y MATERIAS PRIMAS</vt:lpstr>
      <vt:lpstr>MANO DE OBRA DIRECTA</vt:lpstr>
      <vt:lpstr>CARGA FABRIL</vt:lpstr>
      <vt:lpstr>ORDENES</vt:lpstr>
      <vt:lpstr>PROCESOS</vt:lpstr>
      <vt:lpstr>STANDARD</vt:lpstr>
      <vt:lpstr>'CARGA FABRIL'!Área_de_impresión</vt:lpstr>
      <vt:lpstr>'EJERCICIOS INTRODUCTORIOS'!Área_de_impresión</vt:lpstr>
      <vt:lpstr>'MANO DE OBRA DIRECTA'!Área_de_impresión</vt:lpstr>
      <vt:lpstr>'MATERIALES Y MATERIAS PRIMAS'!Área_de_impresión</vt:lpstr>
      <vt:lpstr>ORDENES!Área_de_impresión</vt:lpstr>
      <vt:lpstr>PROCESOS!Área_de_impresión</vt:lpstr>
      <vt:lpstr>STANDARD!Área_de_impresión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SMF</cp:lastModifiedBy>
  <cp:lastPrinted>2018-03-08T18:59:35Z</cp:lastPrinted>
  <dcterms:created xsi:type="dcterms:W3CDTF">2017-01-08T16:14:05Z</dcterms:created>
  <dcterms:modified xsi:type="dcterms:W3CDTF">2018-03-08T20:48:11Z</dcterms:modified>
</cp:coreProperties>
</file>