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3980" tabRatio="500" firstSheet="1" activeTab="6"/>
  </bookViews>
  <sheets>
    <sheet name="PRINCIPAL" sheetId="1" r:id="rId1"/>
    <sheet name="CAPM" sheetId="2" r:id="rId2"/>
    <sheet name="PricingCostos embarques" sheetId="3" r:id="rId3"/>
    <sheet name="Punto de equilibrio" sheetId="4" r:id="rId4"/>
    <sheet name="EERR" sheetId="5" r:id="rId5"/>
    <sheet name="Costos" sheetId="6" r:id="rId6"/>
    <sheet name="Costo Produccion " sheetId="7" r:id="rId7"/>
    <sheet name="F.INV.AF" sheetId="8" r:id="rId8"/>
    <sheet name="Inversion Inicial " sheetId="9" r:id="rId9"/>
    <sheet name="Capacidad Logistica" sheetId="10" r:id="rId10"/>
    <sheet name="Demanda " sheetId="11" r:id="rId11"/>
    <sheet name="Inflacion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D11" i="6"/>
  <c r="C5" i="6"/>
  <c r="C2" i="6"/>
  <c r="E18" i="7"/>
  <c r="D18" i="7"/>
  <c r="E7" i="7"/>
  <c r="E8" i="7"/>
  <c r="E6" i="7"/>
  <c r="E5" i="7"/>
  <c r="E4" i="7"/>
  <c r="B12" i="1"/>
  <c r="E12" i="7"/>
  <c r="B19" i="6"/>
  <c r="B20" i="6"/>
  <c r="B21" i="6"/>
  <c r="B22" i="6"/>
  <c r="B23" i="6"/>
  <c r="C16" i="12"/>
  <c r="E15" i="12"/>
  <c r="E14" i="12"/>
  <c r="E13" i="12"/>
  <c r="E12" i="12"/>
  <c r="E11" i="12"/>
  <c r="E10" i="12"/>
  <c r="E9" i="12"/>
  <c r="E8" i="12"/>
  <c r="E7" i="12"/>
  <c r="E6" i="12"/>
  <c r="E5" i="12"/>
  <c r="F3" i="11"/>
  <c r="F4" i="11"/>
  <c r="B12" i="10"/>
  <c r="B13" i="10"/>
  <c r="B14" i="10"/>
  <c r="D12" i="10"/>
  <c r="D13" i="10"/>
  <c r="D14" i="10"/>
  <c r="F12" i="10"/>
  <c r="F13" i="10"/>
  <c r="F14" i="10"/>
  <c r="B15" i="10"/>
  <c r="F5" i="11"/>
  <c r="B25" i="10"/>
  <c r="F6" i="11"/>
  <c r="F9" i="11"/>
  <c r="E3" i="11"/>
  <c r="E4" i="11"/>
  <c r="E5" i="11"/>
  <c r="E6" i="11"/>
  <c r="E9" i="11"/>
  <c r="D3" i="11"/>
  <c r="D4" i="11"/>
  <c r="D5" i="11"/>
  <c r="D6" i="11"/>
  <c r="D9" i="11"/>
  <c r="C3" i="11"/>
  <c r="C4" i="11"/>
  <c r="C5" i="11"/>
  <c r="C6" i="11"/>
  <c r="C9" i="11"/>
  <c r="B9" i="11"/>
  <c r="F8" i="11"/>
  <c r="E8" i="11"/>
  <c r="D8" i="11"/>
  <c r="C8" i="11"/>
  <c r="B3" i="11"/>
  <c r="B4" i="11"/>
  <c r="B8" i="11"/>
  <c r="B5" i="11"/>
  <c r="B6" i="11"/>
  <c r="B17" i="10"/>
  <c r="B27" i="10"/>
  <c r="B44" i="10"/>
  <c r="I42" i="10"/>
  <c r="M39" i="10"/>
  <c r="M41" i="10"/>
  <c r="K39" i="10"/>
  <c r="K40" i="10"/>
  <c r="K41" i="10"/>
  <c r="I39" i="10"/>
  <c r="I40" i="10"/>
  <c r="I41" i="10"/>
  <c r="F39" i="10"/>
  <c r="F41" i="10"/>
  <c r="D39" i="10"/>
  <c r="D40" i="10"/>
  <c r="D41" i="10"/>
  <c r="B39" i="10"/>
  <c r="B40" i="10"/>
  <c r="B41" i="10"/>
  <c r="B33" i="10"/>
  <c r="B35" i="10"/>
  <c r="I33" i="10"/>
  <c r="M30" i="10"/>
  <c r="M32" i="10"/>
  <c r="K30" i="10"/>
  <c r="K31" i="10"/>
  <c r="K32" i="10"/>
  <c r="I30" i="10"/>
  <c r="I31" i="10"/>
  <c r="I32" i="10"/>
  <c r="F30" i="10"/>
  <c r="F32" i="10"/>
  <c r="D30" i="10"/>
  <c r="D31" i="10"/>
  <c r="D32" i="10"/>
  <c r="B30" i="10"/>
  <c r="B31" i="10"/>
  <c r="B32" i="10"/>
  <c r="B5" i="10"/>
  <c r="B24" i="10"/>
  <c r="B20" i="10"/>
  <c r="B21" i="10"/>
  <c r="B22" i="10"/>
  <c r="D20" i="10"/>
  <c r="D21" i="10"/>
  <c r="D22" i="10"/>
  <c r="B23" i="10"/>
  <c r="H7" i="8"/>
  <c r="H8" i="8"/>
  <c r="H11" i="8"/>
  <c r="H13" i="8"/>
  <c r="H18" i="8"/>
  <c r="H19" i="8"/>
  <c r="H20" i="8"/>
  <c r="H21" i="8"/>
  <c r="D17" i="9"/>
  <c r="D18" i="9"/>
  <c r="C53" i="9"/>
  <c r="C54" i="9"/>
  <c r="C57" i="9"/>
  <c r="C56" i="9"/>
  <c r="C55" i="9"/>
  <c r="D47" i="9"/>
  <c r="D48" i="9"/>
  <c r="D50" i="9"/>
  <c r="C49" i="9"/>
  <c r="C50" i="9"/>
  <c r="D40" i="9"/>
  <c r="D41" i="9"/>
  <c r="D43" i="9"/>
  <c r="C38" i="9"/>
  <c r="C42" i="9"/>
  <c r="C43" i="9"/>
  <c r="B6" i="5"/>
  <c r="B34" i="5"/>
  <c r="C32" i="9"/>
  <c r="B37" i="5"/>
  <c r="B38" i="5"/>
  <c r="C6" i="6"/>
  <c r="B11" i="5"/>
  <c r="B39" i="5"/>
  <c r="B12" i="5"/>
  <c r="B40" i="5"/>
  <c r="D3" i="9"/>
  <c r="D6" i="9"/>
  <c r="B13" i="5"/>
  <c r="B41" i="5"/>
  <c r="B42" i="5"/>
  <c r="D7" i="9"/>
  <c r="B15" i="5"/>
  <c r="B43" i="5"/>
  <c r="B16" i="5"/>
  <c r="B44" i="5"/>
  <c r="B45" i="5"/>
  <c r="B46" i="5"/>
  <c r="B47" i="5"/>
  <c r="B48" i="5"/>
  <c r="B49" i="5"/>
  <c r="B50" i="5"/>
  <c r="B51" i="5"/>
  <c r="B52" i="5"/>
  <c r="B54" i="5"/>
  <c r="B55" i="5"/>
  <c r="H49" i="3"/>
  <c r="I49" i="3"/>
  <c r="G45" i="3"/>
  <c r="I48" i="3"/>
  <c r="I47" i="3"/>
  <c r="E9" i="7"/>
  <c r="E10" i="7"/>
  <c r="E11" i="7"/>
  <c r="E14" i="7"/>
  <c r="E17" i="7"/>
  <c r="E19" i="7"/>
  <c r="E21" i="7"/>
  <c r="E22" i="7"/>
  <c r="C29" i="7"/>
  <c r="C25" i="7"/>
  <c r="C28" i="7"/>
  <c r="C31" i="7"/>
  <c r="J6" i="7"/>
  <c r="J7" i="7"/>
  <c r="K7" i="7"/>
  <c r="H45" i="3"/>
  <c r="I45" i="3"/>
  <c r="I50" i="3"/>
  <c r="D52" i="3"/>
  <c r="I52" i="3"/>
  <c r="D54" i="3"/>
  <c r="I54" i="3"/>
  <c r="D55" i="3"/>
  <c r="I55" i="3"/>
  <c r="D56" i="3"/>
  <c r="I56" i="3"/>
  <c r="D57" i="3"/>
  <c r="I57" i="3"/>
  <c r="D58" i="3"/>
  <c r="I58" i="3"/>
  <c r="D59" i="3"/>
  <c r="I59" i="3"/>
  <c r="D60" i="3"/>
  <c r="I60" i="3"/>
  <c r="D62" i="3"/>
  <c r="I62" i="3"/>
  <c r="O12" i="5"/>
  <c r="I63" i="3"/>
  <c r="D64" i="3"/>
  <c r="I64" i="3"/>
  <c r="D75" i="3"/>
  <c r="I75" i="3"/>
  <c r="I76" i="3"/>
  <c r="I77" i="3"/>
  <c r="D78" i="3"/>
  <c r="I78" i="3"/>
  <c r="I79" i="3"/>
  <c r="H79" i="3"/>
  <c r="E10" i="1"/>
  <c r="G5" i="5"/>
  <c r="I5" i="5"/>
  <c r="K5" i="5"/>
  <c r="M5" i="5"/>
  <c r="C33" i="5"/>
  <c r="C22" i="9"/>
  <c r="D22" i="9"/>
  <c r="C9" i="5"/>
  <c r="C37" i="5"/>
  <c r="C38" i="5"/>
  <c r="G12" i="5"/>
  <c r="I12" i="5"/>
  <c r="K12" i="5"/>
  <c r="M12" i="5"/>
  <c r="C40" i="5"/>
  <c r="C41" i="5"/>
  <c r="C42" i="5"/>
  <c r="C43" i="5"/>
  <c r="C44" i="5"/>
  <c r="D4" i="8"/>
  <c r="D9" i="8"/>
  <c r="N17" i="5"/>
  <c r="C45" i="5"/>
  <c r="D18" i="5"/>
  <c r="K18" i="5"/>
  <c r="C46" i="5"/>
  <c r="C47" i="5"/>
  <c r="C20" i="5"/>
  <c r="D20" i="5"/>
  <c r="E20" i="5"/>
  <c r="F20" i="5"/>
  <c r="G20" i="5"/>
  <c r="D12" i="6"/>
  <c r="H20" i="5"/>
  <c r="I20" i="5"/>
  <c r="J20" i="5"/>
  <c r="K20" i="5"/>
  <c r="L20" i="5"/>
  <c r="M20" i="5"/>
  <c r="N20" i="5"/>
  <c r="C48" i="5"/>
  <c r="K6" i="7"/>
  <c r="C21" i="5"/>
  <c r="D21" i="5"/>
  <c r="E21" i="5"/>
  <c r="F21" i="5"/>
  <c r="G21" i="5"/>
  <c r="H21" i="5"/>
  <c r="I21" i="5"/>
  <c r="J21" i="5"/>
  <c r="K21" i="5"/>
  <c r="L21" i="5"/>
  <c r="M21" i="5"/>
  <c r="N21" i="5"/>
  <c r="C49" i="5"/>
  <c r="D47" i="3"/>
  <c r="D48" i="3"/>
  <c r="G22" i="5"/>
  <c r="I22" i="5"/>
  <c r="K22" i="5"/>
  <c r="M22" i="5"/>
  <c r="C50" i="5"/>
  <c r="C45" i="3"/>
  <c r="D45" i="3"/>
  <c r="D50" i="3"/>
  <c r="D63" i="3"/>
  <c r="D67" i="3"/>
  <c r="D68" i="3"/>
  <c r="D69" i="3"/>
  <c r="D70" i="3"/>
  <c r="D3" i="3"/>
  <c r="D5" i="3"/>
  <c r="D6" i="3"/>
  <c r="D7" i="3"/>
  <c r="D8" i="3"/>
  <c r="D10" i="3"/>
  <c r="D25" i="3"/>
  <c r="D20" i="3"/>
  <c r="D72" i="3"/>
  <c r="D73" i="3"/>
  <c r="D74" i="3"/>
  <c r="D76" i="3"/>
  <c r="D77" i="3"/>
  <c r="D79" i="3"/>
  <c r="G23" i="5"/>
  <c r="I23" i="5"/>
  <c r="K23" i="5"/>
  <c r="M23" i="5"/>
  <c r="C51" i="5"/>
  <c r="C24" i="5"/>
  <c r="D24" i="5"/>
  <c r="E24" i="5"/>
  <c r="F24" i="5"/>
  <c r="G24" i="5"/>
  <c r="H24" i="5"/>
  <c r="I24" i="5"/>
  <c r="J24" i="5"/>
  <c r="K24" i="5"/>
  <c r="L24" i="5"/>
  <c r="M24" i="5"/>
  <c r="N24" i="5"/>
  <c r="C52" i="5"/>
  <c r="C53" i="5"/>
  <c r="C54" i="5"/>
  <c r="C55" i="5"/>
  <c r="C33" i="9"/>
  <c r="D32" i="9"/>
  <c r="D33" i="9"/>
  <c r="D9" i="9"/>
  <c r="C23" i="9"/>
  <c r="D23" i="9"/>
  <c r="C24" i="9"/>
  <c r="B13" i="1"/>
  <c r="D24" i="9"/>
  <c r="C25" i="9"/>
  <c r="B14" i="1"/>
  <c r="D25" i="9"/>
  <c r="C26" i="9"/>
  <c r="B15" i="1"/>
  <c r="D26" i="9"/>
  <c r="D27" i="9"/>
  <c r="D12" i="9"/>
  <c r="D13" i="9"/>
  <c r="D14" i="9"/>
  <c r="D29" i="9"/>
  <c r="G5" i="8"/>
  <c r="G6" i="8"/>
  <c r="G7" i="8"/>
  <c r="G8" i="8"/>
  <c r="G11" i="8"/>
  <c r="G13" i="8"/>
  <c r="G21" i="8"/>
  <c r="C17" i="9"/>
  <c r="C18" i="9"/>
  <c r="C3" i="9"/>
  <c r="C4" i="9"/>
  <c r="C5" i="9"/>
  <c r="C9" i="9"/>
  <c r="C29" i="9"/>
  <c r="C27" i="9"/>
  <c r="E26" i="9"/>
  <c r="E25" i="9"/>
  <c r="E24" i="9"/>
  <c r="E23" i="9"/>
  <c r="C12" i="9"/>
  <c r="C13" i="9"/>
  <c r="C14" i="9"/>
  <c r="D8" i="9"/>
  <c r="C8" i="9"/>
  <c r="D5" i="8"/>
  <c r="D8" i="8"/>
  <c r="D10" i="8"/>
  <c r="D11" i="8"/>
  <c r="D13" i="8"/>
  <c r="D14" i="8"/>
  <c r="D15" i="8"/>
  <c r="D16" i="8"/>
  <c r="C4" i="8"/>
  <c r="C5" i="8"/>
  <c r="C8" i="8"/>
  <c r="C9" i="8"/>
  <c r="C10" i="8"/>
  <c r="C11" i="8"/>
  <c r="C13" i="8"/>
  <c r="C14" i="8"/>
  <c r="C15" i="8"/>
  <c r="C16" i="8"/>
  <c r="F22" i="7"/>
  <c r="D29" i="7"/>
  <c r="D28" i="7"/>
  <c r="D31" i="7"/>
  <c r="D30" i="7"/>
  <c r="D27" i="7"/>
  <c r="C27" i="7"/>
  <c r="F21" i="7"/>
  <c r="F20" i="7"/>
  <c r="F19" i="7"/>
  <c r="F18" i="7"/>
  <c r="F17" i="7"/>
  <c r="F16" i="7"/>
  <c r="F14" i="7"/>
  <c r="F13" i="7"/>
  <c r="F12" i="7"/>
  <c r="F11" i="7"/>
  <c r="J8" i="7"/>
  <c r="J9" i="7"/>
  <c r="J10" i="7"/>
  <c r="K10" i="7"/>
  <c r="F10" i="7"/>
  <c r="K9" i="7"/>
  <c r="F9" i="7"/>
  <c r="K8" i="7"/>
  <c r="F8" i="7"/>
  <c r="F7" i="7"/>
  <c r="F6" i="7"/>
  <c r="F5" i="7"/>
  <c r="F4" i="7"/>
  <c r="H11" i="6"/>
  <c r="H12" i="6"/>
  <c r="H13" i="6"/>
  <c r="H14" i="6"/>
  <c r="H15" i="6"/>
  <c r="G11" i="6"/>
  <c r="G12" i="6"/>
  <c r="G13" i="6"/>
  <c r="G14" i="6"/>
  <c r="G15" i="6"/>
  <c r="F11" i="6"/>
  <c r="F12" i="6"/>
  <c r="F13" i="6"/>
  <c r="F14" i="6"/>
  <c r="F15" i="6"/>
  <c r="E11" i="6"/>
  <c r="E12" i="6"/>
  <c r="E13" i="6"/>
  <c r="E14" i="6"/>
  <c r="E15" i="6"/>
  <c r="D13" i="6"/>
  <c r="D14" i="6"/>
  <c r="D15" i="6"/>
  <c r="C11" i="6"/>
  <c r="C13" i="6"/>
  <c r="C14" i="6"/>
  <c r="C15" i="6"/>
  <c r="B15" i="6"/>
  <c r="B4" i="6"/>
  <c r="B5" i="6"/>
  <c r="O5" i="5"/>
  <c r="P5" i="5"/>
  <c r="Q5" i="5"/>
  <c r="R5" i="5"/>
  <c r="S5" i="5"/>
  <c r="T5" i="5"/>
  <c r="U5" i="5"/>
  <c r="V5" i="5"/>
  <c r="W5" i="5"/>
  <c r="X5" i="5"/>
  <c r="Y5" i="5"/>
  <c r="Z5" i="5"/>
  <c r="D33" i="5"/>
  <c r="O9" i="5"/>
  <c r="D37" i="5"/>
  <c r="D38" i="5"/>
  <c r="P12" i="5"/>
  <c r="Q12" i="5"/>
  <c r="R12" i="5"/>
  <c r="S12" i="5"/>
  <c r="T12" i="5"/>
  <c r="U12" i="5"/>
  <c r="V12" i="5"/>
  <c r="W12" i="5"/>
  <c r="X12" i="5"/>
  <c r="Y12" i="5"/>
  <c r="Z12" i="5"/>
  <c r="D40" i="5"/>
  <c r="D41" i="5"/>
  <c r="D42" i="5"/>
  <c r="D43" i="5"/>
  <c r="D44" i="5"/>
  <c r="Z17" i="5"/>
  <c r="D45" i="5"/>
  <c r="P18" i="5"/>
  <c r="W18" i="5"/>
  <c r="D46" i="5"/>
  <c r="D47" i="5"/>
  <c r="O20" i="5"/>
  <c r="P20" i="5"/>
  <c r="Q20" i="5"/>
  <c r="R20" i="5"/>
  <c r="S20" i="5"/>
  <c r="T20" i="5"/>
  <c r="U20" i="5"/>
  <c r="V20" i="5"/>
  <c r="W20" i="5"/>
  <c r="X20" i="5"/>
  <c r="Y20" i="5"/>
  <c r="Z20" i="5"/>
  <c r="D48" i="5"/>
  <c r="O21" i="5"/>
  <c r="P21" i="5"/>
  <c r="Q21" i="5"/>
  <c r="R21" i="5"/>
  <c r="S21" i="5"/>
  <c r="T21" i="5"/>
  <c r="U21" i="5"/>
  <c r="V21" i="5"/>
  <c r="W21" i="5"/>
  <c r="X21" i="5"/>
  <c r="Y21" i="5"/>
  <c r="Z21" i="5"/>
  <c r="D49" i="5"/>
  <c r="O22" i="5"/>
  <c r="P22" i="5"/>
  <c r="Q22" i="5"/>
  <c r="R22" i="5"/>
  <c r="S22" i="5"/>
  <c r="T22" i="5"/>
  <c r="U22" i="5"/>
  <c r="V22" i="5"/>
  <c r="W22" i="5"/>
  <c r="X22" i="5"/>
  <c r="Y22" i="5"/>
  <c r="Z22" i="5"/>
  <c r="D50" i="5"/>
  <c r="O23" i="5"/>
  <c r="P23" i="5"/>
  <c r="Q23" i="5"/>
  <c r="R23" i="5"/>
  <c r="S23" i="5"/>
  <c r="T23" i="5"/>
  <c r="U23" i="5"/>
  <c r="V23" i="5"/>
  <c r="W23" i="5"/>
  <c r="X23" i="5"/>
  <c r="Y23" i="5"/>
  <c r="Z23" i="5"/>
  <c r="D51" i="5"/>
  <c r="O24" i="5"/>
  <c r="P24" i="5"/>
  <c r="Q24" i="5"/>
  <c r="R24" i="5"/>
  <c r="S24" i="5"/>
  <c r="T24" i="5"/>
  <c r="U24" i="5"/>
  <c r="V24" i="5"/>
  <c r="W24" i="5"/>
  <c r="X24" i="5"/>
  <c r="Y24" i="5"/>
  <c r="Z24" i="5"/>
  <c r="D52" i="5"/>
  <c r="D53" i="5"/>
  <c r="D54" i="5"/>
  <c r="D55" i="5"/>
  <c r="AA5" i="5"/>
  <c r="AB5" i="5"/>
  <c r="AC5" i="5"/>
  <c r="AD5" i="5"/>
  <c r="AE5" i="5"/>
  <c r="AF5" i="5"/>
  <c r="AG5" i="5"/>
  <c r="AH5" i="5"/>
  <c r="AI5" i="5"/>
  <c r="AJ5" i="5"/>
  <c r="AK5" i="5"/>
  <c r="AL5" i="5"/>
  <c r="E33" i="5"/>
  <c r="AA9" i="5"/>
  <c r="E37" i="5"/>
  <c r="E38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E40" i="5"/>
  <c r="E41" i="5"/>
  <c r="E42" i="5"/>
  <c r="E43" i="5"/>
  <c r="E44" i="5"/>
  <c r="AL17" i="5"/>
  <c r="E45" i="5"/>
  <c r="AB18" i="5"/>
  <c r="E46" i="5"/>
  <c r="E47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E48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E49" i="5"/>
  <c r="N47" i="3"/>
  <c r="L45" i="3"/>
  <c r="N48" i="3"/>
  <c r="M49" i="3"/>
  <c r="N49" i="3"/>
  <c r="AA22" i="5"/>
  <c r="AB22" i="5"/>
  <c r="AC22" i="5"/>
  <c r="AD22" i="5"/>
  <c r="AE22" i="5"/>
  <c r="AF22" i="5"/>
  <c r="AG22" i="5"/>
  <c r="AH22" i="5"/>
  <c r="AI22" i="5"/>
  <c r="AJ22" i="5"/>
  <c r="AK22" i="5"/>
  <c r="AL22" i="5"/>
  <c r="E50" i="5"/>
  <c r="M45" i="3"/>
  <c r="N45" i="3"/>
  <c r="N50" i="3"/>
  <c r="N52" i="3"/>
  <c r="N54" i="3"/>
  <c r="N55" i="3"/>
  <c r="N56" i="3"/>
  <c r="N57" i="3"/>
  <c r="N58" i="3"/>
  <c r="N59" i="3"/>
  <c r="N60" i="3"/>
  <c r="N62" i="3"/>
  <c r="N63" i="3"/>
  <c r="N64" i="3"/>
  <c r="N67" i="3"/>
  <c r="N68" i="3"/>
  <c r="N69" i="3"/>
  <c r="N70" i="3"/>
  <c r="N75" i="3"/>
  <c r="N76" i="3"/>
  <c r="N77" i="3"/>
  <c r="N78" i="3"/>
  <c r="N79" i="3"/>
  <c r="AA23" i="5"/>
  <c r="AB23" i="5"/>
  <c r="AC23" i="5"/>
  <c r="AD23" i="5"/>
  <c r="AE23" i="5"/>
  <c r="AF23" i="5"/>
  <c r="AG23" i="5"/>
  <c r="AH23" i="5"/>
  <c r="AI23" i="5"/>
  <c r="AJ23" i="5"/>
  <c r="AK23" i="5"/>
  <c r="AL23" i="5"/>
  <c r="E51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E52" i="5"/>
  <c r="E53" i="5"/>
  <c r="E54" i="5"/>
  <c r="E55" i="5"/>
  <c r="AM5" i="5"/>
  <c r="AN5" i="5"/>
  <c r="AO5" i="5"/>
  <c r="AP5" i="5"/>
  <c r="AQ5" i="5"/>
  <c r="AR5" i="5"/>
  <c r="AS5" i="5"/>
  <c r="AT5" i="5"/>
  <c r="AU5" i="5"/>
  <c r="AV5" i="5"/>
  <c r="AW5" i="5"/>
  <c r="AX5" i="5"/>
  <c r="F33" i="5"/>
  <c r="AM9" i="5"/>
  <c r="F37" i="5"/>
  <c r="F38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F40" i="5"/>
  <c r="F41" i="5"/>
  <c r="F42" i="5"/>
  <c r="F43" i="5"/>
  <c r="F44" i="5"/>
  <c r="AX17" i="5"/>
  <c r="F45" i="5"/>
  <c r="AN18" i="5"/>
  <c r="F46" i="5"/>
  <c r="F47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F48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F49" i="5"/>
  <c r="S47" i="3"/>
  <c r="Q45" i="3"/>
  <c r="S48" i="3"/>
  <c r="R49" i="3"/>
  <c r="S49" i="3"/>
  <c r="AM22" i="5"/>
  <c r="AN22" i="5"/>
  <c r="AO22" i="5"/>
  <c r="AP22" i="5"/>
  <c r="AQ22" i="5"/>
  <c r="AR22" i="5"/>
  <c r="AS22" i="5"/>
  <c r="AT22" i="5"/>
  <c r="AU22" i="5"/>
  <c r="AV22" i="5"/>
  <c r="AW22" i="5"/>
  <c r="AX22" i="5"/>
  <c r="F50" i="5"/>
  <c r="S78" i="3"/>
  <c r="R45" i="3"/>
  <c r="S45" i="3"/>
  <c r="S50" i="3"/>
  <c r="S52" i="3"/>
  <c r="S54" i="3"/>
  <c r="S55" i="3"/>
  <c r="S56" i="3"/>
  <c r="S57" i="3"/>
  <c r="S58" i="3"/>
  <c r="S59" i="3"/>
  <c r="S60" i="3"/>
  <c r="S62" i="3"/>
  <c r="AY12" i="5"/>
  <c r="S63" i="3"/>
  <c r="S64" i="3"/>
  <c r="S67" i="3"/>
  <c r="S68" i="3"/>
  <c r="S69" i="3"/>
  <c r="S70" i="3"/>
  <c r="S75" i="3"/>
  <c r="S76" i="3"/>
  <c r="S77" i="3"/>
  <c r="S79" i="3"/>
  <c r="AM23" i="5"/>
  <c r="AN23" i="5"/>
  <c r="AO23" i="5"/>
  <c r="AP23" i="5"/>
  <c r="AQ23" i="5"/>
  <c r="AR23" i="5"/>
  <c r="AS23" i="5"/>
  <c r="AT23" i="5"/>
  <c r="AU23" i="5"/>
  <c r="AV23" i="5"/>
  <c r="AW23" i="5"/>
  <c r="AX23" i="5"/>
  <c r="F51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F52" i="5"/>
  <c r="F53" i="5"/>
  <c r="F54" i="5"/>
  <c r="F55" i="5"/>
  <c r="AY5" i="5"/>
  <c r="AZ5" i="5"/>
  <c r="BA5" i="5"/>
  <c r="BB5" i="5"/>
  <c r="BC5" i="5"/>
  <c r="BD5" i="5"/>
  <c r="BE5" i="5"/>
  <c r="BF5" i="5"/>
  <c r="BG5" i="5"/>
  <c r="BH5" i="5"/>
  <c r="BI5" i="5"/>
  <c r="BJ5" i="5"/>
  <c r="G33" i="5"/>
  <c r="AY9" i="5"/>
  <c r="G37" i="5"/>
  <c r="G38" i="5"/>
  <c r="G41" i="5"/>
  <c r="G42" i="5"/>
  <c r="G43" i="5"/>
  <c r="G44" i="5"/>
  <c r="BJ17" i="5"/>
  <c r="G45" i="5"/>
  <c r="AZ18" i="5"/>
  <c r="G46" i="5"/>
  <c r="G47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G48" i="5"/>
  <c r="AY21" i="5"/>
  <c r="AZ21" i="5"/>
  <c r="BA21" i="5"/>
  <c r="BB21" i="5"/>
  <c r="BC21" i="5"/>
  <c r="BD21" i="5"/>
  <c r="BE21" i="5"/>
  <c r="BF21" i="5"/>
  <c r="G49" i="5"/>
  <c r="X47" i="3"/>
  <c r="V45" i="3"/>
  <c r="X48" i="3"/>
  <c r="W49" i="3"/>
  <c r="X49" i="3"/>
  <c r="AY22" i="5"/>
  <c r="AZ22" i="5"/>
  <c r="BA22" i="5"/>
  <c r="BB22" i="5"/>
  <c r="BC22" i="5"/>
  <c r="BD22" i="5"/>
  <c r="BE22" i="5"/>
  <c r="BF22" i="5"/>
  <c r="BG22" i="5"/>
  <c r="BH22" i="5"/>
  <c r="BI22" i="5"/>
  <c r="BJ22" i="5"/>
  <c r="G50" i="5"/>
  <c r="W45" i="3"/>
  <c r="X45" i="3"/>
  <c r="X50" i="3"/>
  <c r="X52" i="3"/>
  <c r="X54" i="3"/>
  <c r="X55" i="3"/>
  <c r="X56" i="3"/>
  <c r="X57" i="3"/>
  <c r="X58" i="3"/>
  <c r="X59" i="3"/>
  <c r="X60" i="3"/>
  <c r="X61" i="3"/>
  <c r="X62" i="3"/>
  <c r="X63" i="3"/>
  <c r="X64" i="3"/>
  <c r="X67" i="3"/>
  <c r="X68" i="3"/>
  <c r="X69" i="3"/>
  <c r="X70" i="3"/>
  <c r="X75" i="3"/>
  <c r="X76" i="3"/>
  <c r="X77" i="3"/>
  <c r="X78" i="3"/>
  <c r="X79" i="3"/>
  <c r="AY23" i="5"/>
  <c r="AZ23" i="5"/>
  <c r="BA23" i="5"/>
  <c r="BB23" i="5"/>
  <c r="BC23" i="5"/>
  <c r="BD23" i="5"/>
  <c r="BE23" i="5"/>
  <c r="BF23" i="5"/>
  <c r="BG23" i="5"/>
  <c r="BH23" i="5"/>
  <c r="BI23" i="5"/>
  <c r="BJ23" i="5"/>
  <c r="G51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G52" i="5"/>
  <c r="G53" i="5"/>
  <c r="G54" i="5"/>
  <c r="G55" i="5"/>
  <c r="B26" i="5"/>
  <c r="B27" i="5"/>
  <c r="C10" i="5"/>
  <c r="C26" i="5"/>
  <c r="C27" i="5"/>
  <c r="D10" i="5"/>
  <c r="D26" i="5"/>
  <c r="D27" i="5"/>
  <c r="E10" i="5"/>
  <c r="E26" i="5"/>
  <c r="E27" i="5"/>
  <c r="F10" i="5"/>
  <c r="F26" i="5"/>
  <c r="F27" i="5"/>
  <c r="G10" i="5"/>
  <c r="G26" i="5"/>
  <c r="G27" i="5"/>
  <c r="H10" i="5"/>
  <c r="H26" i="5"/>
  <c r="H27" i="5"/>
  <c r="I10" i="5"/>
  <c r="I26" i="5"/>
  <c r="I27" i="5"/>
  <c r="J10" i="5"/>
  <c r="J26" i="5"/>
  <c r="J27" i="5"/>
  <c r="K10" i="5"/>
  <c r="K26" i="5"/>
  <c r="K27" i="5"/>
  <c r="L10" i="5"/>
  <c r="L26" i="5"/>
  <c r="L27" i="5"/>
  <c r="M10" i="5"/>
  <c r="M26" i="5"/>
  <c r="M27" i="5"/>
  <c r="N10" i="5"/>
  <c r="N26" i="5"/>
  <c r="N27" i="5"/>
  <c r="O10" i="5"/>
  <c r="O26" i="5"/>
  <c r="O27" i="5"/>
  <c r="P10" i="5"/>
  <c r="P26" i="5"/>
  <c r="P27" i="5"/>
  <c r="Q10" i="5"/>
  <c r="Q26" i="5"/>
  <c r="Q27" i="5"/>
  <c r="R10" i="5"/>
  <c r="R26" i="5"/>
  <c r="R27" i="5"/>
  <c r="S10" i="5"/>
  <c r="S26" i="5"/>
  <c r="S27" i="5"/>
  <c r="T10" i="5"/>
  <c r="T26" i="5"/>
  <c r="T27" i="5"/>
  <c r="U10" i="5"/>
  <c r="U26" i="5"/>
  <c r="U27" i="5"/>
  <c r="V10" i="5"/>
  <c r="V26" i="5"/>
  <c r="V27" i="5"/>
  <c r="W10" i="5"/>
  <c r="W26" i="5"/>
  <c r="W27" i="5"/>
  <c r="X10" i="5"/>
  <c r="X26" i="5"/>
  <c r="X27" i="5"/>
  <c r="Y10" i="5"/>
  <c r="Y26" i="5"/>
  <c r="Y27" i="5"/>
  <c r="Z10" i="5"/>
  <c r="Z26" i="5"/>
  <c r="Z27" i="5"/>
  <c r="AA10" i="5"/>
  <c r="AA26" i="5"/>
  <c r="AA27" i="5"/>
  <c r="AB10" i="5"/>
  <c r="AB26" i="5"/>
  <c r="AB27" i="5"/>
  <c r="AC10" i="5"/>
  <c r="AC26" i="5"/>
  <c r="AC27" i="5"/>
  <c r="AD10" i="5"/>
  <c r="AD26" i="5"/>
  <c r="AD27" i="5"/>
  <c r="AE10" i="5"/>
  <c r="AE26" i="5"/>
  <c r="AE27" i="5"/>
  <c r="AF10" i="5"/>
  <c r="AF26" i="5"/>
  <c r="AF27" i="5"/>
  <c r="AG10" i="5"/>
  <c r="AG26" i="5"/>
  <c r="AG27" i="5"/>
  <c r="AH10" i="5"/>
  <c r="AH26" i="5"/>
  <c r="AH27" i="5"/>
  <c r="AI10" i="5"/>
  <c r="AI26" i="5"/>
  <c r="AI27" i="5"/>
  <c r="AJ10" i="5"/>
  <c r="AJ26" i="5"/>
  <c r="AJ27" i="5"/>
  <c r="AK10" i="5"/>
  <c r="AK26" i="5"/>
  <c r="AK27" i="5"/>
  <c r="AL10" i="5"/>
  <c r="AL26" i="5"/>
  <c r="AL27" i="5"/>
  <c r="AM26" i="5"/>
  <c r="AM27" i="5"/>
  <c r="AN26" i="5"/>
  <c r="AN27" i="5"/>
  <c r="AO26" i="5"/>
  <c r="AO27" i="5"/>
  <c r="AP26" i="5"/>
  <c r="AP27" i="5"/>
  <c r="AQ26" i="5"/>
  <c r="AQ27" i="5"/>
  <c r="AR26" i="5"/>
  <c r="AR27" i="5"/>
  <c r="AS26" i="5"/>
  <c r="AS27" i="5"/>
  <c r="AT26" i="5"/>
  <c r="AT27" i="5"/>
  <c r="AU26" i="5"/>
  <c r="AU27" i="5"/>
  <c r="AV26" i="5"/>
  <c r="AV27" i="5"/>
  <c r="AW26" i="5"/>
  <c r="AW27" i="5"/>
  <c r="AX26" i="5"/>
  <c r="AX27" i="5"/>
  <c r="AY26" i="5"/>
  <c r="AY27" i="5"/>
  <c r="AZ12" i="5"/>
  <c r="AZ26" i="5"/>
  <c r="AZ27" i="5"/>
  <c r="BA12" i="5"/>
  <c r="BA26" i="5"/>
  <c r="BA27" i="5"/>
  <c r="BB12" i="5"/>
  <c r="BB26" i="5"/>
  <c r="BB27" i="5"/>
  <c r="BC12" i="5"/>
  <c r="BC26" i="5"/>
  <c r="BC27" i="5"/>
  <c r="BD12" i="5"/>
  <c r="BD26" i="5"/>
  <c r="BD27" i="5"/>
  <c r="BE12" i="5"/>
  <c r="BE26" i="5"/>
  <c r="BE27" i="5"/>
  <c r="BF12" i="5"/>
  <c r="BF26" i="5"/>
  <c r="BF27" i="5"/>
  <c r="BG12" i="5"/>
  <c r="BG26" i="5"/>
  <c r="BG27" i="5"/>
  <c r="BH12" i="5"/>
  <c r="BH26" i="5"/>
  <c r="BH27" i="5"/>
  <c r="BI12" i="5"/>
  <c r="BI26" i="5"/>
  <c r="BI27" i="5"/>
  <c r="BJ12" i="5"/>
  <c r="BJ26" i="5"/>
  <c r="BJ27" i="5"/>
  <c r="G22" i="4"/>
  <c r="A12" i="4"/>
  <c r="A3" i="4"/>
  <c r="B12" i="4"/>
  <c r="B3" i="4"/>
  <c r="C12" i="4"/>
  <c r="C3" i="4"/>
  <c r="D12" i="4"/>
  <c r="D3" i="4"/>
  <c r="E12" i="4"/>
  <c r="E3" i="4"/>
  <c r="G21" i="4"/>
  <c r="G23" i="4"/>
  <c r="F12" i="4"/>
  <c r="A8" i="4"/>
  <c r="B8" i="4"/>
  <c r="C8" i="4"/>
  <c r="D8" i="4"/>
  <c r="E8" i="4"/>
  <c r="F8" i="4"/>
  <c r="A16" i="4"/>
  <c r="B16" i="4"/>
  <c r="C16" i="4"/>
  <c r="D16" i="4"/>
  <c r="E16" i="4"/>
  <c r="F16" i="4"/>
  <c r="B22" i="4"/>
  <c r="B21" i="4"/>
  <c r="G20" i="4"/>
  <c r="B20" i="4"/>
  <c r="F3" i="4"/>
  <c r="W79" i="3"/>
  <c r="B95" i="3"/>
  <c r="R79" i="3"/>
  <c r="B94" i="3"/>
  <c r="M79" i="3"/>
  <c r="B93" i="3"/>
  <c r="B92" i="3"/>
  <c r="C79" i="3"/>
  <c r="B91" i="3"/>
  <c r="X81" i="3"/>
  <c r="X82" i="3"/>
  <c r="X83" i="3"/>
  <c r="X84" i="3"/>
  <c r="X85" i="3"/>
  <c r="X86" i="3"/>
  <c r="X87" i="3"/>
  <c r="W87" i="3"/>
  <c r="S81" i="3"/>
  <c r="S82" i="3"/>
  <c r="S83" i="3"/>
  <c r="S84" i="3"/>
  <c r="S85" i="3"/>
  <c r="S86" i="3"/>
  <c r="S87" i="3"/>
  <c r="R87" i="3"/>
  <c r="N81" i="3"/>
  <c r="N82" i="3"/>
  <c r="N83" i="3"/>
  <c r="N84" i="3"/>
  <c r="N85" i="3"/>
  <c r="N86" i="3"/>
  <c r="N87" i="3"/>
  <c r="M87" i="3"/>
  <c r="I81" i="3"/>
  <c r="I82" i="3"/>
  <c r="I83" i="3"/>
  <c r="I84" i="3"/>
  <c r="I85" i="3"/>
  <c r="I86" i="3"/>
  <c r="I87" i="3"/>
  <c r="H87" i="3"/>
  <c r="D80" i="3"/>
  <c r="D81" i="3"/>
  <c r="D82" i="3"/>
  <c r="D83" i="3"/>
  <c r="D84" i="3"/>
  <c r="D85" i="3"/>
  <c r="D86" i="3"/>
  <c r="D87" i="3"/>
  <c r="C87" i="3"/>
  <c r="H86" i="3"/>
  <c r="H85" i="3"/>
  <c r="W84" i="3"/>
  <c r="R84" i="3"/>
  <c r="M84" i="3"/>
  <c r="H84" i="3"/>
  <c r="C84" i="3"/>
  <c r="W81" i="3"/>
  <c r="R81" i="3"/>
  <c r="M81" i="3"/>
  <c r="H81" i="3"/>
  <c r="C81" i="3"/>
  <c r="W77" i="3"/>
  <c r="R77" i="3"/>
  <c r="M77" i="3"/>
  <c r="H77" i="3"/>
  <c r="C77" i="3"/>
  <c r="W50" i="3"/>
  <c r="R50" i="3"/>
  <c r="M50" i="3"/>
  <c r="H50" i="3"/>
  <c r="C50" i="3"/>
  <c r="C49" i="3"/>
  <c r="B38" i="3"/>
  <c r="B49" i="3"/>
  <c r="D12" i="3"/>
  <c r="D14" i="3"/>
  <c r="D15" i="3"/>
  <c r="D16" i="3"/>
  <c r="D26" i="3"/>
  <c r="D37" i="3"/>
  <c r="D38" i="3"/>
  <c r="D39" i="3"/>
  <c r="C40" i="3"/>
  <c r="D40" i="3"/>
  <c r="D41" i="3"/>
  <c r="C41" i="3"/>
  <c r="C14" i="3"/>
  <c r="G12" i="3"/>
  <c r="G13" i="3"/>
  <c r="C12" i="3"/>
  <c r="C10" i="3"/>
  <c r="G8" i="3"/>
  <c r="C7" i="3"/>
  <c r="D4" i="3"/>
  <c r="C18" i="2"/>
  <c r="C12" i="2"/>
  <c r="C10" i="2"/>
  <c r="C11" i="2"/>
  <c r="C14" i="2"/>
  <c r="C7" i="2"/>
  <c r="C13" i="2"/>
  <c r="C15" i="2"/>
  <c r="L2" i="2"/>
  <c r="C19" i="2"/>
  <c r="L3" i="2"/>
  <c r="C20" i="2"/>
  <c r="L4" i="2"/>
  <c r="C21" i="2"/>
  <c r="L5" i="2"/>
  <c r="C22" i="2"/>
  <c r="L6" i="2"/>
  <c r="C23" i="2"/>
  <c r="C26" i="2"/>
  <c r="C24" i="2"/>
  <c r="M2" i="2"/>
  <c r="G18" i="2"/>
  <c r="M3" i="2"/>
  <c r="G19" i="2"/>
  <c r="M4" i="2"/>
  <c r="H20" i="2"/>
  <c r="G20" i="2"/>
  <c r="G10" i="2"/>
  <c r="G11" i="2"/>
  <c r="H12" i="2"/>
  <c r="G12" i="2"/>
  <c r="M6" i="2"/>
  <c r="M5" i="2"/>
  <c r="G3" i="2"/>
  <c r="G4" i="2"/>
  <c r="G5" i="2"/>
</calcChain>
</file>

<file path=xl/comments1.xml><?xml version="1.0" encoding="utf-8"?>
<comments xmlns="http://schemas.openxmlformats.org/spreadsheetml/2006/main">
  <authors>
    <author/>
  </authors>
  <commentList>
    <comment ref="A10" authorId="0">
      <text>
        <r>
          <rPr>
            <sz val="10"/>
            <color rgb="FF000000"/>
            <rFont val="Arial"/>
          </rPr>
          <t>Fuente: Rofex
http://rofex.primary.ventures/#/rofx/ft</t>
        </r>
      </text>
    </comment>
    <comment ref="A11" authorId="0">
      <text>
        <r>
          <rPr>
            <sz val="10"/>
            <color rgb="FF000000"/>
            <rFont val="Arial"/>
          </rPr>
          <t>Estimada -2% sobre inflacion proyectada</t>
        </r>
      </text>
    </comment>
    <comment ref="A12" authorId="0">
      <text>
        <r>
          <rPr>
            <sz val="10"/>
            <color rgb="FF000000"/>
            <rFont val="Arial"/>
          </rPr>
          <t>Estimada -2% sobre inflacion proyectada</t>
        </r>
      </text>
    </comment>
    <comment ref="A13" authorId="0">
      <text>
        <r>
          <rPr>
            <sz val="10"/>
            <color rgb="FF000000"/>
            <rFont val="Arial"/>
          </rPr>
          <t>Estimada -2% sobre inflacion proyectada</t>
        </r>
      </text>
    </comment>
    <comment ref="A14" authorId="0">
      <text>
        <r>
          <rPr>
            <sz val="10"/>
            <color rgb="FF000000"/>
            <rFont val="Arial"/>
          </rPr>
          <t>Estimada -2% sobre inflacion proyectada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5" authorId="0">
      <text>
        <r>
          <rPr>
            <sz val="10"/>
            <color rgb="FF000000"/>
            <rFont val="Arial"/>
          </rPr>
          <t xml:space="preserve">Plazo de Gracia- Condición Banco Ciudad
</t>
        </r>
      </text>
    </comment>
  </commentList>
</comments>
</file>

<file path=xl/sharedStrings.xml><?xml version="1.0" encoding="utf-8"?>
<sst xmlns="http://schemas.openxmlformats.org/spreadsheetml/2006/main" count="811" uniqueCount="462">
  <si>
    <t>VENTAS</t>
  </si>
  <si>
    <t>PRICING</t>
  </si>
  <si>
    <t>UNIDADES</t>
  </si>
  <si>
    <t>INFLACIÓN PROYECTADA - FUENTE: INDEC</t>
  </si>
  <si>
    <t>1+ WACC</t>
  </si>
  <si>
    <t>CANTIDAD ESTIMADA DE VENTA AÑO 1 MERCADO EXTERNO</t>
  </si>
  <si>
    <t>1+Ke</t>
  </si>
  <si>
    <t>CAPM= RF+ Beta (Rmdo-RF) + riesgo país</t>
  </si>
  <si>
    <t>Indice de Rentabilidad</t>
  </si>
  <si>
    <t>Año 1</t>
  </si>
  <si>
    <t>CANTIDAD ESTIMADA DE VENTA AÑO 2 MERCADO EXTERNO</t>
  </si>
  <si>
    <t>CANTIDAD ESTIMADA DE VENTA AÑO 3 MERCADO EXTERNO</t>
  </si>
  <si>
    <t>CANTIDAD ESTIMADA DE VENTA AÑO 4 MERCADO EXTERNO</t>
  </si>
  <si>
    <t>tc: 2019</t>
  </si>
  <si>
    <t>CANTIDAD ESTIMADA DE VENTA AÑO 5 MERCADO EXTERNO</t>
  </si>
  <si>
    <t>PRECIO UNITARIO</t>
  </si>
  <si>
    <t xml:space="preserve">  </t>
  </si>
  <si>
    <t>COSTO TOTAL</t>
  </si>
  <si>
    <t xml:space="preserve">Precio de venta </t>
  </si>
  <si>
    <t>TIPO DE CAMBIO PROYECTADO ARS/USD</t>
  </si>
  <si>
    <t>Precio de Venta CFR</t>
  </si>
  <si>
    <t>Rentabilidad del bono de Estados Unidos</t>
  </si>
  <si>
    <t>Valor actual de los flujos futuros</t>
  </si>
  <si>
    <t>Año 2</t>
  </si>
  <si>
    <t>S and pi (Rmdo)</t>
  </si>
  <si>
    <t>Inversion Inicial neteada</t>
  </si>
  <si>
    <t>Año 3</t>
  </si>
  <si>
    <t>VAT (10%)</t>
  </si>
  <si>
    <t>Cotizacion Euro 23/10/18</t>
  </si>
  <si>
    <t>Precio sin impuesto</t>
  </si>
  <si>
    <t xml:space="preserve">Riesgo País </t>
  </si>
  <si>
    <t>Cálculo de arancel de importación</t>
  </si>
  <si>
    <t>IR</t>
  </si>
  <si>
    <t>Tasa Prestamo Banco Credicoop en USD</t>
  </si>
  <si>
    <t>Utilidad distribuidor (75%)</t>
  </si>
  <si>
    <t>Año 4</t>
  </si>
  <si>
    <t>Derechos de importación</t>
  </si>
  <si>
    <t>Beta</t>
  </si>
  <si>
    <t>Valor DDP</t>
  </si>
  <si>
    <t>Preferencia arancelaria</t>
  </si>
  <si>
    <t>Derechos de Importación (11,25%)</t>
  </si>
  <si>
    <t>Arancel a pagar</t>
  </si>
  <si>
    <t>Año 5</t>
  </si>
  <si>
    <t>Gastos en terminal, agencia y flete interno</t>
  </si>
  <si>
    <t>Precio del competidor</t>
  </si>
  <si>
    <t>Valor CIF</t>
  </si>
  <si>
    <t>CAPM</t>
  </si>
  <si>
    <t>Precio</t>
  </si>
  <si>
    <t>Gramos</t>
  </si>
  <si>
    <t>Seguro Internacional</t>
  </si>
  <si>
    <t>Queso suave snack president</t>
  </si>
  <si>
    <t>Valor CFR</t>
  </si>
  <si>
    <t xml:space="preserve">Queso suave snack president </t>
  </si>
  <si>
    <t>WACC = Kd x (D/ (D+E)) x (1-t) + Ke x (E/ (D+E))</t>
  </si>
  <si>
    <t>Payback</t>
  </si>
  <si>
    <t>Flete Internacional</t>
  </si>
  <si>
    <t>Snack queso sardo 60grs</t>
  </si>
  <si>
    <t>DEUDA</t>
  </si>
  <si>
    <t>Valor FOB</t>
  </si>
  <si>
    <t>II + Flujo del año 1</t>
  </si>
  <si>
    <t>Derechos de Exportación ($3 por USD)</t>
  </si>
  <si>
    <t>Reintegros  (2,5%)</t>
  </si>
  <si>
    <t>año</t>
  </si>
  <si>
    <t>EQUITY</t>
  </si>
  <si>
    <t>Swift</t>
  </si>
  <si>
    <t>Mantenimiento</t>
  </si>
  <si>
    <t>II + Flujo del año 2</t>
  </si>
  <si>
    <t>Currier</t>
  </si>
  <si>
    <t>Apertura (0,5% de honorarios del despachante)</t>
  </si>
  <si>
    <t>Cantidad vendida anualmente</t>
  </si>
  <si>
    <t>SIM</t>
  </si>
  <si>
    <t>Digitalización</t>
  </si>
  <si>
    <t>años</t>
  </si>
  <si>
    <t>TOLL</t>
  </si>
  <si>
    <t>THC</t>
  </si>
  <si>
    <t>Honorarios despachante (1% CIF)</t>
  </si>
  <si>
    <t>Kd</t>
  </si>
  <si>
    <t>Certificado sanitario de exportación</t>
  </si>
  <si>
    <t xml:space="preserve">Total Proyecto </t>
  </si>
  <si>
    <t>II + Flujo del año 3</t>
  </si>
  <si>
    <t>Emision BL</t>
  </si>
  <si>
    <t>Manejo de documentación</t>
  </si>
  <si>
    <t>Seguro Contenedor</t>
  </si>
  <si>
    <t>Handling</t>
  </si>
  <si>
    <t>Gate</t>
  </si>
  <si>
    <t>VGM</t>
  </si>
  <si>
    <t>Mantenimiento del contenedor</t>
  </si>
  <si>
    <t>1 mes</t>
  </si>
  <si>
    <t>Enchufe Terminal</t>
  </si>
  <si>
    <t>Ke</t>
  </si>
  <si>
    <t>Ingreso terminal portuaria</t>
  </si>
  <si>
    <t>Consolidación en puerto</t>
  </si>
  <si>
    <t>TIEMPO DE RECUPERO</t>
  </si>
  <si>
    <t>Ingreso depósito fiscal</t>
  </si>
  <si>
    <t>2 años y 1 mes</t>
  </si>
  <si>
    <t>Palets + certificados</t>
  </si>
  <si>
    <t xml:space="preserve">Costos Fijos </t>
  </si>
  <si>
    <t>t</t>
  </si>
  <si>
    <t>WACC</t>
  </si>
  <si>
    <t>Cajas</t>
  </si>
  <si>
    <t>VAN</t>
  </si>
  <si>
    <t>Payback actualizado</t>
  </si>
  <si>
    <t>Inversion Inicial</t>
  </si>
  <si>
    <t>Packaging</t>
  </si>
  <si>
    <t>Valor EXW</t>
  </si>
  <si>
    <t>Flujo Año 1</t>
  </si>
  <si>
    <t xml:space="preserve"> EMBARQUES AÑO 1 -2019</t>
  </si>
  <si>
    <t>Costos Variables</t>
  </si>
  <si>
    <t xml:space="preserve"> EMBARQUE AÑO 2- 2020</t>
  </si>
  <si>
    <t xml:space="preserve"> EMBARQUE AÑO 3- 2021</t>
  </si>
  <si>
    <t xml:space="preserve"> EMBARQUE AÑO 4- 2022</t>
  </si>
  <si>
    <t xml:space="preserve"> EMBARQUE AÑO 5- 2023</t>
  </si>
  <si>
    <t>CONCEPTO</t>
  </si>
  <si>
    <t>COSTO UNITARIO</t>
  </si>
  <si>
    <t xml:space="preserve">COSTO TOTAL </t>
  </si>
  <si>
    <t xml:space="preserve">1.Produccion </t>
  </si>
  <si>
    <t>Flujo Año 2</t>
  </si>
  <si>
    <t>Ventas anuales</t>
  </si>
  <si>
    <t>Punto de equilibrio</t>
  </si>
  <si>
    <t>meses</t>
  </si>
  <si>
    <t>Flujo Año 3</t>
  </si>
  <si>
    <t>Contribucion Marginal Promedio</t>
  </si>
  <si>
    <t>2 años y 2 meses</t>
  </si>
  <si>
    <t>En unidades</t>
  </si>
  <si>
    <t>Flujo Año 4</t>
  </si>
  <si>
    <t>Flujo Año 5</t>
  </si>
  <si>
    <t>Unidades vendidas promedio</t>
  </si>
  <si>
    <t>Valor Actual Neto</t>
  </si>
  <si>
    <t>TIR</t>
  </si>
  <si>
    <t>2 . Embalaje</t>
  </si>
  <si>
    <t>Ventas</t>
  </si>
  <si>
    <t>-</t>
  </si>
  <si>
    <t>2.1 Packaging</t>
  </si>
  <si>
    <t>Costo variable unitario promedio</t>
  </si>
  <si>
    <t>En porcentaje</t>
  </si>
  <si>
    <t>Precio venta promedio</t>
  </si>
  <si>
    <t>2.2 Cajas</t>
  </si>
  <si>
    <t xml:space="preserve">2.3 Palets + certificados </t>
  </si>
  <si>
    <t>4 . Deposito Fiscal</t>
  </si>
  <si>
    <t>4.1 Ingreso deposito fiscal y consolidación</t>
  </si>
  <si>
    <t>4.1 Ingreso deposito fiscal</t>
  </si>
  <si>
    <t>6. Gastos en terminal</t>
  </si>
  <si>
    <t>6.1 Ingreso terminal portuaria</t>
  </si>
  <si>
    <t>6.2 GATE</t>
  </si>
  <si>
    <t>6.3 VGM</t>
  </si>
  <si>
    <t>6.4 Mantenimiento del contenedor</t>
  </si>
  <si>
    <t>6.5 Seguro del contenedor</t>
  </si>
  <si>
    <t>6.6 Handling</t>
  </si>
  <si>
    <t>6.7 Enchufe Terminal</t>
  </si>
  <si>
    <t xml:space="preserve">7. Documentacion </t>
  </si>
  <si>
    <t>7.1 Emision BL</t>
  </si>
  <si>
    <t>7.2 Certificado de exportacion INAL</t>
  </si>
  <si>
    <t>7.3 Manejo de documentación</t>
  </si>
  <si>
    <t xml:space="preserve">8. Gastos agencia </t>
  </si>
  <si>
    <t>8.1 Honorarios despachante (1% FOB)</t>
  </si>
  <si>
    <t>8.2 THC 40 ST</t>
  </si>
  <si>
    <t>8.3 TOLL</t>
  </si>
  <si>
    <t xml:space="preserve">8.4 Digitalizacion </t>
  </si>
  <si>
    <t>8.5 SIM</t>
  </si>
  <si>
    <t xml:space="preserve">9 Gastos Bancarios </t>
  </si>
  <si>
    <t>9.1 Apertura</t>
  </si>
  <si>
    <t xml:space="preserve">9.2 Currier </t>
  </si>
  <si>
    <t>9.3 Mantenimiento</t>
  </si>
  <si>
    <t>9.4 Swift</t>
  </si>
  <si>
    <t xml:space="preserve"> </t>
  </si>
  <si>
    <t>Costo Total</t>
  </si>
  <si>
    <t xml:space="preserve">Valor Fob </t>
  </si>
  <si>
    <t>10. Flete internacional</t>
  </si>
  <si>
    <t xml:space="preserve">11. Seguro internacional </t>
  </si>
  <si>
    <t>COSTOS PUBLICITARIOS</t>
  </si>
  <si>
    <t>Euros</t>
  </si>
  <si>
    <t>AÑO 1: 2019</t>
  </si>
  <si>
    <t>USD</t>
  </si>
  <si>
    <t>Posicionamiento en buscadores</t>
  </si>
  <si>
    <t>AÑO 2: 2020</t>
  </si>
  <si>
    <t>Derechos de Importacion (15%)</t>
  </si>
  <si>
    <t>AÑO 3: 2021</t>
  </si>
  <si>
    <t>AÑO 4:2022</t>
  </si>
  <si>
    <t>AÑO 5: 2023</t>
  </si>
  <si>
    <t>Redes sociales rusas</t>
  </si>
  <si>
    <t>Momento 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</si>
  <si>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</si>
  <si>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</si>
  <si>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</si>
  <si>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</si>
  <si>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</si>
  <si>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</si>
  <si>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</si>
  <si>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</si>
  <si>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</si>
  <si>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</si>
  <si>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</si>
  <si>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</si>
  <si>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Promoción en Supermercado </t>
  </si>
  <si>
    <t>Utilidad distribuidor (130%)</t>
  </si>
  <si>
    <t>Total</t>
  </si>
  <si>
    <t>1.Ingresos</t>
  </si>
  <si>
    <t>Crear página web rusa</t>
  </si>
  <si>
    <t xml:space="preserve">Costos de Administración </t>
  </si>
  <si>
    <t>Precio Venta final sugerido</t>
  </si>
  <si>
    <t>Mensual 2018</t>
  </si>
  <si>
    <t>Anual Año 1</t>
  </si>
  <si>
    <t>Anual Año 2</t>
  </si>
  <si>
    <t>Anual Año 3</t>
  </si>
  <si>
    <t>Anual Año 4</t>
  </si>
  <si>
    <t>Anual Año 5</t>
  </si>
  <si>
    <t>ARS</t>
  </si>
  <si>
    <t>Sueldo personal de Administración</t>
  </si>
  <si>
    <t>Costo Unitario</t>
  </si>
  <si>
    <t>Aguinaldo personal de Administración</t>
  </si>
  <si>
    <t>Servicios de Telefonía + Internet</t>
  </si>
  <si>
    <t>Papelería e Insumos varios</t>
  </si>
  <si>
    <t>Prestamo</t>
  </si>
  <si>
    <t>2.Egresos</t>
  </si>
  <si>
    <t>Total Costos Administración</t>
  </si>
  <si>
    <t>2.1 Inversión inicial en Capital de trabajo</t>
  </si>
  <si>
    <t xml:space="preserve">Sueldo personal administracion </t>
  </si>
  <si>
    <t xml:space="preserve">Sueldo neto </t>
  </si>
  <si>
    <t>Aportes patronales (32,6%)</t>
  </si>
  <si>
    <t>ART (2,7%)</t>
  </si>
  <si>
    <t>2.2 Devolución de préstamo</t>
  </si>
  <si>
    <t xml:space="preserve">Vacaciones </t>
  </si>
  <si>
    <t>Sueldo bruto</t>
  </si>
  <si>
    <t xml:space="preserve">Sueldo 2 empleados </t>
  </si>
  <si>
    <t>2.3 Diseño de página web</t>
  </si>
  <si>
    <t>2.4 Certificacion en Origen INAL + SENASA</t>
  </si>
  <si>
    <t>LTS X TINA</t>
  </si>
  <si>
    <t>Rendimiento</t>
  </si>
  <si>
    <t>DETALLE</t>
  </si>
  <si>
    <t>PRODUCTO</t>
  </si>
  <si>
    <t>COSTO POR UNIDAD DE INSUMO</t>
  </si>
  <si>
    <t>COSTO TOTAL ARG</t>
  </si>
  <si>
    <t>COSTO TOTAL USD</t>
  </si>
  <si>
    <t>CMV MEDIDO CON INFLACION PROYECTADA</t>
  </si>
  <si>
    <t>COSTO PRODUCCION UNITARIO AÑO 1</t>
  </si>
  <si>
    <t>2.5 Certificaciones en Destino</t>
  </si>
  <si>
    <t>COSTO PRODUCCION UNITARIO AÑO 2</t>
  </si>
  <si>
    <t>2.6 Registro de marca en Rusia</t>
  </si>
  <si>
    <t>2.7 Diseño de packaging</t>
  </si>
  <si>
    <t>COSTO PRODUCCION UNITARIO AÑO 3</t>
  </si>
  <si>
    <t>2.8 Compra de máquina envasadora</t>
  </si>
  <si>
    <t>Mano de Obra</t>
  </si>
  <si>
    <t>2.9 Amortizacion de maquinaria</t>
  </si>
  <si>
    <t>COSTO PRODUCCION UNITARIO AÑO 4</t>
  </si>
  <si>
    <t>Electricidad</t>
  </si>
  <si>
    <t>Cooperativa de Agua Potable</t>
  </si>
  <si>
    <t>Flujo de inversiones en Activos Fijos</t>
  </si>
  <si>
    <t>COSTO PRODUCCION UNITARIO AÑO 5</t>
  </si>
  <si>
    <t>2.10 Ferias internacionales</t>
  </si>
  <si>
    <t>PLANILLA DE DESEMBOLSO DE IMPORTACION</t>
  </si>
  <si>
    <t>Gas</t>
  </si>
  <si>
    <t>Gas Natural</t>
  </si>
  <si>
    <t>Maquina envasadora</t>
  </si>
  <si>
    <t>Flete x Lts de Leche</t>
  </si>
  <si>
    <t>0.20 x Lts de Leche</t>
  </si>
  <si>
    <t>Envases</t>
  </si>
  <si>
    <t>$ x Kg</t>
  </si>
  <si>
    <t>Limpieza y Mantenimiento</t>
  </si>
  <si>
    <t>Acetico-Caustica-Nitrico-Peracetico Etc…</t>
  </si>
  <si>
    <t>2.11 Envío de muestras</t>
  </si>
  <si>
    <t>Natamisina</t>
  </si>
  <si>
    <t>Inmobal Nutrer</t>
  </si>
  <si>
    <t>Logistica y Comercializacion</t>
  </si>
  <si>
    <t>Costo x Kg Obtenido</t>
  </si>
  <si>
    <t>Costo Estructura de Fabrica</t>
  </si>
  <si>
    <t>Gastos Varios</t>
  </si>
  <si>
    <t xml:space="preserve">2.12 Personal de Administración </t>
  </si>
  <si>
    <t>Total Activo Fijo</t>
  </si>
  <si>
    <t>PLUS</t>
  </si>
  <si>
    <t>COSTO PRODUCCION  POR TINA</t>
  </si>
  <si>
    <t>FOB</t>
  </si>
  <si>
    <t>RESUMEN</t>
  </si>
  <si>
    <t>Seguro y flete</t>
  </si>
  <si>
    <t>Lts Elaborados</t>
  </si>
  <si>
    <t>Concepto</t>
  </si>
  <si>
    <t>CIF</t>
  </si>
  <si>
    <t>Lts x Kg</t>
  </si>
  <si>
    <t>Kg Obtenidos</t>
  </si>
  <si>
    <t>Valor Origen Maquinarias</t>
  </si>
  <si>
    <t>Costo de Produccion</t>
  </si>
  <si>
    <t>Derechos ad valorem /DIE/DII</t>
  </si>
  <si>
    <t>$ x Kg Producido</t>
  </si>
  <si>
    <t>Amortizacion anual</t>
  </si>
  <si>
    <t>Tasa estadistica</t>
  </si>
  <si>
    <t>Amortizacion acumulada</t>
  </si>
  <si>
    <t>Tasa Comprobación destino</t>
  </si>
  <si>
    <t>Valor Residual Año 5</t>
  </si>
  <si>
    <t>Subtotal</t>
  </si>
  <si>
    <t>2.13 Materia Prima</t>
  </si>
  <si>
    <t>Venta Maquinarias</t>
  </si>
  <si>
    <t>Tributos No Aduaneros</t>
  </si>
  <si>
    <t>Valor Residual</t>
  </si>
  <si>
    <t>IVA (10,5%)</t>
  </si>
  <si>
    <t>Resultado Bruto</t>
  </si>
  <si>
    <t>IVA Adicional (10%)</t>
  </si>
  <si>
    <t>Ahorro Impositivo (35%)</t>
  </si>
  <si>
    <t>Adelanto Ganancias (6%)</t>
  </si>
  <si>
    <t>Ingresos Brutos (2,5%)</t>
  </si>
  <si>
    <t>Impuestos internos</t>
  </si>
  <si>
    <t>Amortización Anual</t>
  </si>
  <si>
    <t>Costos logisticos</t>
  </si>
  <si>
    <t>Alícuota de Impuesto</t>
  </si>
  <si>
    <t>Demas costos hasta puesta a disposición en planta</t>
  </si>
  <si>
    <t>Costos de puesta en marcha</t>
  </si>
  <si>
    <t>Subtotal importación</t>
  </si>
  <si>
    <t>2.14 Envases y Embalajes (packaging)</t>
  </si>
  <si>
    <t>COSTOS INICIALES HUNDIDOS</t>
  </si>
  <si>
    <t>Costo Certificación de Higiene Alimenticia en Destino</t>
  </si>
  <si>
    <t>Certificaciones EAC en Destino</t>
  </si>
  <si>
    <t>Certificacion GOST en Destino</t>
  </si>
  <si>
    <t>Costo Apostillado de Documentación</t>
  </si>
  <si>
    <t>Costo de Diseño Packaging</t>
  </si>
  <si>
    <t>Envío de muestras</t>
  </si>
  <si>
    <t>TOTAL COSTOS INICIALES HUNDIDOS</t>
  </si>
  <si>
    <t>DIMENSIONES</t>
  </si>
  <si>
    <t>COSTOS INCREMENTALES</t>
  </si>
  <si>
    <t>Diseño de página web</t>
  </si>
  <si>
    <t>Alto  en cm</t>
  </si>
  <si>
    <t xml:space="preserve">Largo  en cm </t>
  </si>
  <si>
    <t xml:space="preserve">Ancho en cm </t>
  </si>
  <si>
    <t>Peso en kgs</t>
  </si>
  <si>
    <t>Snack</t>
  </si>
  <si>
    <t>Registro de la marca en Rusia</t>
  </si>
  <si>
    <t xml:space="preserve">Alternativas de cajas </t>
  </si>
  <si>
    <t>TOTAL COSTOS INCREMENTALES</t>
  </si>
  <si>
    <t xml:space="preserve">Caja Carton </t>
  </si>
  <si>
    <t>40X30X19,5 = 5 Kg.</t>
  </si>
  <si>
    <t>Pallet estandar plastico</t>
  </si>
  <si>
    <t>60X40X9 = 7 Kg.</t>
  </si>
  <si>
    <t>Contenedor reefer dimension interna 20</t>
  </si>
  <si>
    <t>60X40X14 = 10 Kg.</t>
  </si>
  <si>
    <t>Contenedor reefer dimension interna 40 hlq</t>
  </si>
  <si>
    <t>60X40X18 = 15 Kg.</t>
  </si>
  <si>
    <t>INVERSION EN ACTIVOS FIJOS</t>
  </si>
  <si>
    <t xml:space="preserve">* Altura pallet 220 cm - 15 cm palet </t>
  </si>
  <si>
    <t>Maquinaria Envasadora de Queso</t>
  </si>
  <si>
    <t xml:space="preserve">Distribucion de snack en una caja </t>
  </si>
  <si>
    <t>TOTAL INVERSION EN ACTIVOS FIJOS</t>
  </si>
  <si>
    <t>Alto caja (cm)</t>
  </si>
  <si>
    <t>Largo de caja cm</t>
  </si>
  <si>
    <t>Ancho de caja cm</t>
  </si>
  <si>
    <t xml:space="preserve">INVERSION EN CAPITAL DE TRABAJO NETO </t>
  </si>
  <si>
    <t>VARIACION</t>
  </si>
  <si>
    <t>Costo productivo  mensual año 1</t>
  </si>
  <si>
    <t>Alto snack (cm)</t>
  </si>
  <si>
    <t>Largo snack cm</t>
  </si>
  <si>
    <t>Ancho snack cm</t>
  </si>
  <si>
    <t xml:space="preserve">Distribucion  </t>
  </si>
  <si>
    <t>Costo productivo mensual año 2</t>
  </si>
  <si>
    <t xml:space="preserve">Cantidad snacks por caja </t>
  </si>
  <si>
    <t>Peso Caja vacia (kg)</t>
  </si>
  <si>
    <t>Peso total (kg)</t>
  </si>
  <si>
    <t>Costo productivo mensual año 3</t>
  </si>
  <si>
    <t xml:space="preserve">Distribucion de cajas en un pallet </t>
  </si>
  <si>
    <t>Largo pallet</t>
  </si>
  <si>
    <t>Largo palet</t>
  </si>
  <si>
    <t xml:space="preserve">Ancho de palet </t>
  </si>
  <si>
    <t>Costo productivo mensual año 4</t>
  </si>
  <si>
    <t>Largo caja</t>
  </si>
  <si>
    <t>Ancho caja</t>
  </si>
  <si>
    <t>Ancho1 caja</t>
  </si>
  <si>
    <t xml:space="preserve">Distribucion de cajas por un palet </t>
  </si>
  <si>
    <t>Costo productivo mensual año 5</t>
  </si>
  <si>
    <t>Largo 1 de caja</t>
  </si>
  <si>
    <t xml:space="preserve">Cantidad cajas por alto pallet </t>
  </si>
  <si>
    <t xml:space="preserve">Cantidad de alturas  disponibles </t>
  </si>
  <si>
    <t>TOTAL INVERSION EN CAPITAL DE TRABAJO NETO</t>
  </si>
  <si>
    <t>Cantidad total de cajas por palet</t>
  </si>
  <si>
    <t>TOTAL INVERSION INICIAL</t>
  </si>
  <si>
    <t>Peso palet (kg)</t>
  </si>
  <si>
    <t>Peso total palet (kg)</t>
  </si>
  <si>
    <t xml:space="preserve">ESTRUTURA DE CAPITAL </t>
  </si>
  <si>
    <t>MONTO</t>
  </si>
  <si>
    <t>COMPOSICION</t>
  </si>
  <si>
    <t>Pallets rotados</t>
  </si>
  <si>
    <t>Cantidad de pallets en un contenedor 40 hlq</t>
  </si>
  <si>
    <t>Largo contenedro 40 pies hlq (cm)</t>
  </si>
  <si>
    <t>Ancho contenedor</t>
  </si>
  <si>
    <t xml:space="preserve">Altura contenedor </t>
  </si>
  <si>
    <t xml:space="preserve">APORTE SOCIOS </t>
  </si>
  <si>
    <t>2.15 Costo del embarque</t>
  </si>
  <si>
    <t>Largo palet (cm)</t>
  </si>
  <si>
    <t xml:space="preserve">FERIA WORLD FOOD MOSCOW </t>
  </si>
  <si>
    <t>Ancho palet</t>
  </si>
  <si>
    <t xml:space="preserve">Altura palet </t>
  </si>
  <si>
    <t>( 22 cajas * 9 cm +15 cm palet)</t>
  </si>
  <si>
    <t>COSTO</t>
  </si>
  <si>
    <t>PESOS</t>
  </si>
  <si>
    <t>DOLARES</t>
  </si>
  <si>
    <t xml:space="preserve">Distribucion palets por un contenedor </t>
  </si>
  <si>
    <t xml:space="preserve">Participacion en feria </t>
  </si>
  <si>
    <t xml:space="preserve">Stand </t>
  </si>
  <si>
    <t>Aereos x2</t>
  </si>
  <si>
    <t>Estadía x2</t>
  </si>
  <si>
    <t xml:space="preserve">Cantidad de palets por contenedor </t>
  </si>
  <si>
    <t xml:space="preserve">USD por día </t>
  </si>
  <si>
    <t xml:space="preserve">Total costo feria </t>
  </si>
  <si>
    <t>Peso contenedor (kg)</t>
  </si>
  <si>
    <t xml:space="preserve">FERIA PRODEXPO </t>
  </si>
  <si>
    <t>Peso total contenedor (kg)</t>
  </si>
  <si>
    <t>Cantidad de pallets en un contenedor 20</t>
  </si>
  <si>
    <t>2.16 Publicidad</t>
  </si>
  <si>
    <t>Largo contenedro 20 pies (cm)</t>
  </si>
  <si>
    <t>PRESTAMO</t>
  </si>
  <si>
    <t>Monto solicitado (Momento 0) - 36 meses</t>
  </si>
  <si>
    <t>Cuota mensual con intereses (intereres: 4,5%)</t>
  </si>
  <si>
    <t xml:space="preserve">Devolución Prestamo año 1 </t>
  </si>
  <si>
    <t>Devolución Prestamo año 2</t>
  </si>
  <si>
    <t>Devolución Prestamo año 3</t>
  </si>
  <si>
    <t>Devolución Prestamo año 4</t>
  </si>
  <si>
    <t>Devolución Prestamo año 5</t>
  </si>
  <si>
    <t>2.17 Costo de Oportunidad deposito</t>
  </si>
  <si>
    <t>3.Ingreso- Egreso</t>
  </si>
  <si>
    <t xml:space="preserve">4.Flujo acumulado </t>
  </si>
  <si>
    <t xml:space="preserve"> Año 2019</t>
  </si>
  <si>
    <t>Año 2020</t>
  </si>
  <si>
    <t>Año 2021</t>
  </si>
  <si>
    <t>Año 2022</t>
  </si>
  <si>
    <t>Año 2023</t>
  </si>
  <si>
    <t>1. Ingresos</t>
  </si>
  <si>
    <t>2. Egresos</t>
  </si>
  <si>
    <t>2.3Diseño de página web</t>
  </si>
  <si>
    <t>3. Ingreso- Egreso</t>
  </si>
  <si>
    <t xml:space="preserve">AÑO </t>
  </si>
  <si>
    <t xml:space="preserve">4. Flujo acumulado </t>
  </si>
  <si>
    <t>DEMANDA ANUAL</t>
  </si>
  <si>
    <t xml:space="preserve">DEMANDA MENSUAL </t>
  </si>
  <si>
    <t xml:space="preserve">INDEC- indice de precios al consumidor </t>
  </si>
  <si>
    <t xml:space="preserve">CANTIDAD DE CAJAS </t>
  </si>
  <si>
    <t>INDICE</t>
  </si>
  <si>
    <t>INTERANUAL</t>
  </si>
  <si>
    <t>SEPTIEMBRE</t>
  </si>
  <si>
    <t>OCTUBRE</t>
  </si>
  <si>
    <t>NOVIEMBRE</t>
  </si>
  <si>
    <t>DICIEMBRE</t>
  </si>
  <si>
    <t>ENERO</t>
  </si>
  <si>
    <t xml:space="preserve">CANTIDAD DE PALETS </t>
  </si>
  <si>
    <t>FEBRERO</t>
  </si>
  <si>
    <t>MARZO</t>
  </si>
  <si>
    <t>ABRIL</t>
  </si>
  <si>
    <t>MAYO</t>
  </si>
  <si>
    <t>JUNIO</t>
  </si>
  <si>
    <t xml:space="preserve">EMBARQUE </t>
  </si>
  <si>
    <t>JULIO</t>
  </si>
  <si>
    <t>BIMENSUAL</t>
  </si>
  <si>
    <t>AGOSTO</t>
  </si>
  <si>
    <t>MENSUAL</t>
  </si>
  <si>
    <t xml:space="preserve">MENSUAL </t>
  </si>
  <si>
    <t>UNIDADES POR EMBARQUE</t>
  </si>
  <si>
    <t>CANTIDAD PALLETS POR EMBARQUE</t>
  </si>
  <si>
    <t xml:space="preserve"> MEDIDA DEL CONTENEDOR  </t>
  </si>
  <si>
    <t>Cierres</t>
  </si>
  <si>
    <t>Cursores</t>
  </si>
  <si>
    <t>Tela para chaleco</t>
  </si>
  <si>
    <t xml:space="preserve">Cire </t>
  </si>
  <si>
    <t>Guata</t>
  </si>
  <si>
    <t>Tela  para relleno</t>
  </si>
  <si>
    <t>Tela  para forreria</t>
  </si>
  <si>
    <t>de plastico</t>
  </si>
  <si>
    <t>Bomba de co2</t>
  </si>
  <si>
    <t>FOB CON TIPO DE CAMBIO 69</t>
  </si>
  <si>
    <t>AIRBAG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</si>
</sst>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USD]\ #,##0.00"/>
    <numFmt numFmtId="165" formatCode="[$USD ]#,##0.00"/>
    <numFmt numFmtId="166" formatCode="#,##0.000000000"/>
    <numFmt numFmtId="167" formatCode="[$ $]#,##0.00"/>
    <numFmt numFmtId="168" formatCode="#,##0.00000000"/>
    <numFmt numFmtId="169" formatCode="[$USD ]#,##0.000"/>
    <numFmt numFmtId="170" formatCode="#,##0.00\ [$€-1]"/>
    <numFmt numFmtId="171" formatCode="[$$]#,##0.00"/>
    <numFmt numFmtId="172" formatCode="&quot;$&quot;\ #,##0.00"/>
    <numFmt numFmtId="173" formatCode="&quot;$&quot;\ #,##0.00;[Red]&quot;$&quot;\ \-#,##0.00"/>
    <numFmt numFmtId="174" formatCode="0.0"/>
  </numFmts>
  <fonts count="19" x14ac:knownFonts="1">
    <font>
      <sz val="10"/>
      <color rgb="FF000000"/>
      <name val="Arial"/>
    </font>
    <font>
      <sz val="11"/>
      <name val="Times New Roman"/>
    </font>
    <font>
      <b/>
      <sz val="12"/>
      <color rgb="FF000000"/>
      <name val="Times New Roman"/>
    </font>
    <font>
      <b/>
      <sz val="12"/>
      <name val="Times New Roman"/>
    </font>
    <font>
      <sz val="12"/>
      <name val="Times New Roman"/>
    </font>
    <font>
      <sz val="11"/>
      <name val="Calibri"/>
    </font>
    <font>
      <sz val="10"/>
      <name val="Arial"/>
    </font>
    <font>
      <sz val="10"/>
      <name val="Arial"/>
    </font>
    <font>
      <sz val="12"/>
      <color rgb="FF000000"/>
      <name val="Times New Roman"/>
    </font>
    <font>
      <b/>
      <sz val="11"/>
      <name val="Times New Roman"/>
    </font>
    <font>
      <b/>
      <sz val="11"/>
      <color rgb="FF000000"/>
      <name val="Calibri"/>
    </font>
    <font>
      <sz val="11"/>
      <color rgb="FF333333"/>
      <name val="Times New Roman"/>
    </font>
    <font>
      <sz val="11"/>
      <color rgb="FF002537"/>
      <name val="Times New Roman"/>
    </font>
    <font>
      <sz val="10"/>
      <name val="Times New Roman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0"/>
      <name val="Times New Roman"/>
    </font>
    <font>
      <sz val="10"/>
      <color rgb="FF333333"/>
      <name val="Times New Roman"/>
    </font>
    <font>
      <sz val="10"/>
      <color rgb="FF000000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F2F2F2"/>
        <bgColor rgb="FFF2F2F2"/>
      </patternFill>
    </fill>
    <fill>
      <patternFill patternType="solid">
        <fgColor rgb="FFFFD966"/>
        <bgColor rgb="FFFFD966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0">
    <xf numFmtId="0" fontId="0" fillId="0" borderId="0" xfId="0" applyFont="1" applyAlignment="1"/>
    <xf numFmtId="0" fontId="1" fillId="0" borderId="0" xfId="0" applyFont="1"/>
    <xf numFmtId="3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7" fillId="2" borderId="6" xfId="0" applyFont="1" applyFill="1" applyBorder="1"/>
    <xf numFmtId="0" fontId="1" fillId="2" borderId="6" xfId="0" applyFont="1" applyFill="1" applyBorder="1"/>
    <xf numFmtId="0" fontId="8" fillId="3" borderId="6" xfId="0" applyFont="1" applyFill="1" applyBorder="1"/>
    <xf numFmtId="0" fontId="9" fillId="0" borderId="0" xfId="0" applyFont="1"/>
    <xf numFmtId="4" fontId="8" fillId="0" borderId="8" xfId="0" applyNumberFormat="1" applyFont="1" applyBorder="1" applyAlignment="1">
      <alignment horizontal="right"/>
    </xf>
    <xf numFmtId="0" fontId="1" fillId="0" borderId="6" xfId="0" applyFont="1" applyBorder="1"/>
    <xf numFmtId="0" fontId="8" fillId="0" borderId="3" xfId="0" applyFont="1" applyBorder="1" applyAlignment="1">
      <alignment horizontal="center"/>
    </xf>
    <xf numFmtId="9" fontId="8" fillId="0" borderId="8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9" fontId="4" fillId="0" borderId="6" xfId="0" applyNumberFormat="1" applyFont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6" xfId="0" applyFont="1" applyBorder="1"/>
    <xf numFmtId="166" fontId="1" fillId="0" borderId="6" xfId="0" applyNumberFormat="1" applyFont="1" applyBorder="1"/>
    <xf numFmtId="14" fontId="8" fillId="0" borderId="3" xfId="0" applyNumberFormat="1" applyFont="1" applyBorder="1" applyAlignment="1">
      <alignment horizontal="left"/>
    </xf>
    <xf numFmtId="167" fontId="8" fillId="0" borderId="8" xfId="0" applyNumberFormat="1" applyFont="1" applyBorder="1" applyAlignment="1">
      <alignment horizontal="right"/>
    </xf>
    <xf numFmtId="168" fontId="1" fillId="0" borderId="6" xfId="0" applyNumberFormat="1" applyFont="1" applyBorder="1"/>
    <xf numFmtId="0" fontId="4" fillId="2" borderId="6" xfId="0" applyFont="1" applyFill="1" applyBorder="1"/>
    <xf numFmtId="10" fontId="11" fillId="3" borderId="6" xfId="0" applyNumberFormat="1" applyFont="1" applyFill="1" applyBorder="1" applyAlignment="1">
      <alignment horizontal="right"/>
    </xf>
    <xf numFmtId="3" fontId="4" fillId="0" borderId="6" xfId="0" applyNumberFormat="1" applyFont="1" applyBorder="1"/>
    <xf numFmtId="165" fontId="4" fillId="0" borderId="6" xfId="0" applyNumberFormat="1" applyFont="1" applyBorder="1"/>
    <xf numFmtId="165" fontId="1" fillId="0" borderId="6" xfId="0" applyNumberFormat="1" applyFont="1" applyBorder="1"/>
    <xf numFmtId="0" fontId="8" fillId="0" borderId="3" xfId="0" applyFont="1" applyBorder="1" applyAlignment="1">
      <alignment horizontal="left"/>
    </xf>
    <xf numFmtId="14" fontId="4" fillId="0" borderId="0" xfId="0" applyNumberFormat="1" applyFont="1"/>
    <xf numFmtId="10" fontId="4" fillId="0" borderId="0" xfId="0" applyNumberFormat="1" applyFont="1"/>
    <xf numFmtId="3" fontId="4" fillId="0" borderId="0" xfId="0" applyNumberFormat="1" applyFont="1"/>
    <xf numFmtId="167" fontId="8" fillId="3" borderId="10" xfId="0" applyNumberFormat="1" applyFont="1" applyFill="1" applyBorder="1"/>
    <xf numFmtId="0" fontId="4" fillId="0" borderId="6" xfId="0" applyFont="1" applyBorder="1" applyAlignment="1">
      <alignment horizontal="left"/>
    </xf>
    <xf numFmtId="10" fontId="12" fillId="0" borderId="6" xfId="0" applyNumberFormat="1" applyFont="1" applyBorder="1" applyAlignment="1">
      <alignment horizontal="right"/>
    </xf>
    <xf numFmtId="167" fontId="8" fillId="0" borderId="6" xfId="0" applyNumberFormat="1" applyFont="1" applyBorder="1" applyAlignment="1">
      <alignment horizontal="right"/>
    </xf>
    <xf numFmtId="0" fontId="1" fillId="3" borderId="10" xfId="0" applyFont="1" applyFill="1" applyBorder="1"/>
    <xf numFmtId="0" fontId="4" fillId="0" borderId="11" xfId="0" applyFont="1" applyBorder="1"/>
    <xf numFmtId="0" fontId="3" fillId="0" borderId="0" xfId="0" applyFont="1"/>
    <xf numFmtId="165" fontId="1" fillId="2" borderId="6" xfId="0" applyNumberFormat="1" applyFont="1" applyFill="1" applyBorder="1"/>
    <xf numFmtId="0" fontId="8" fillId="0" borderId="6" xfId="0" applyFont="1" applyBorder="1"/>
    <xf numFmtId="9" fontId="4" fillId="2" borderId="6" xfId="0" applyNumberFormat="1" applyFont="1" applyFill="1" applyBorder="1"/>
    <xf numFmtId="10" fontId="8" fillId="0" borderId="6" xfId="0" applyNumberFormat="1" applyFont="1" applyBorder="1" applyAlignment="1">
      <alignment horizontal="right"/>
    </xf>
    <xf numFmtId="3" fontId="4" fillId="2" borderId="6" xfId="0" applyNumberFormat="1" applyFont="1" applyFill="1" applyBorder="1"/>
    <xf numFmtId="0" fontId="8" fillId="0" borderId="0" xfId="0" applyFont="1"/>
    <xf numFmtId="10" fontId="8" fillId="0" borderId="0" xfId="0" applyNumberFormat="1" applyFont="1" applyAlignment="1">
      <alignment horizontal="right"/>
    </xf>
    <xf numFmtId="165" fontId="4" fillId="2" borderId="6" xfId="0" applyNumberFormat="1" applyFont="1" applyFill="1" applyBorder="1"/>
    <xf numFmtId="0" fontId="13" fillId="0" borderId="0" xfId="0" applyFont="1"/>
    <xf numFmtId="0" fontId="1" fillId="0" borderId="6" xfId="0" applyFont="1" applyBorder="1" applyAlignment="1">
      <alignment horizontal="right"/>
    </xf>
    <xf numFmtId="10" fontId="4" fillId="2" borderId="6" xfId="0" applyNumberFormat="1" applyFont="1" applyFill="1" applyBorder="1"/>
    <xf numFmtId="0" fontId="4" fillId="4" borderId="6" xfId="0" applyFont="1" applyFill="1" applyBorder="1"/>
    <xf numFmtId="0" fontId="9" fillId="2" borderId="6" xfId="0" applyFont="1" applyFill="1" applyBorder="1"/>
    <xf numFmtId="2" fontId="4" fillId="4" borderId="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14" fillId="0" borderId="6" xfId="0" applyNumberFormat="1" applyFont="1" applyBorder="1"/>
    <xf numFmtId="10" fontId="1" fillId="2" borderId="6" xfId="0" applyNumberFormat="1" applyFont="1" applyFill="1" applyBorder="1"/>
    <xf numFmtId="0" fontId="1" fillId="0" borderId="0" xfId="0" applyFont="1" applyAlignment="1">
      <alignment horizontal="right"/>
    </xf>
    <xf numFmtId="2" fontId="4" fillId="0" borderId="6" xfId="0" applyNumberFormat="1" applyFont="1" applyBorder="1"/>
    <xf numFmtId="0" fontId="1" fillId="0" borderId="0" xfId="0" applyFont="1" applyAlignment="1">
      <alignment horizontal="center"/>
    </xf>
    <xf numFmtId="4" fontId="1" fillId="0" borderId="6" xfId="0" applyNumberFormat="1" applyFont="1" applyBorder="1"/>
    <xf numFmtId="4" fontId="1" fillId="0" borderId="5" xfId="0" applyNumberFormat="1" applyFont="1" applyBorder="1"/>
    <xf numFmtId="0" fontId="1" fillId="0" borderId="12" xfId="0" applyFont="1" applyBorder="1" applyAlignment="1">
      <alignment horizontal="right"/>
    </xf>
    <xf numFmtId="0" fontId="1" fillId="0" borderId="13" xfId="0" applyFont="1" applyBorder="1"/>
    <xf numFmtId="0" fontId="1" fillId="0" borderId="1" xfId="0" applyFont="1" applyBorder="1"/>
    <xf numFmtId="4" fontId="1" fillId="0" borderId="12" xfId="0" applyNumberFormat="1" applyFont="1" applyBorder="1"/>
    <xf numFmtId="3" fontId="1" fillId="0" borderId="5" xfId="0" applyNumberFormat="1" applyFont="1" applyBorder="1" applyAlignment="1">
      <alignment horizontal="right"/>
    </xf>
    <xf numFmtId="0" fontId="1" fillId="0" borderId="7" xfId="0" applyFont="1" applyBorder="1"/>
    <xf numFmtId="10" fontId="1" fillId="0" borderId="6" xfId="0" applyNumberFormat="1" applyFont="1" applyBorder="1"/>
    <xf numFmtId="4" fontId="4" fillId="0" borderId="6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0" fontId="3" fillId="0" borderId="6" xfId="0" applyFont="1" applyBorder="1"/>
    <xf numFmtId="0" fontId="1" fillId="2" borderId="15" xfId="0" applyFont="1" applyFill="1" applyBorder="1"/>
    <xf numFmtId="3" fontId="4" fillId="0" borderId="6" xfId="0" applyNumberFormat="1" applyFont="1" applyBorder="1" applyAlignment="1">
      <alignment horizontal="center"/>
    </xf>
    <xf numFmtId="165" fontId="4" fillId="0" borderId="5" xfId="0" applyNumberFormat="1" applyFont="1" applyBorder="1"/>
    <xf numFmtId="9" fontId="1" fillId="0" borderId="6" xfId="0" applyNumberFormat="1" applyFont="1" applyBorder="1"/>
    <xf numFmtId="165" fontId="4" fillId="0" borderId="6" xfId="0" applyNumberFormat="1" applyFont="1" applyBorder="1" applyAlignment="1">
      <alignment horizontal="center"/>
    </xf>
    <xf numFmtId="165" fontId="4" fillId="0" borderId="3" xfId="0" applyNumberFormat="1" applyFont="1" applyBorder="1"/>
    <xf numFmtId="165" fontId="1" fillId="0" borderId="5" xfId="0" applyNumberFormat="1" applyFont="1" applyBorder="1"/>
    <xf numFmtId="0" fontId="1" fillId="0" borderId="5" xfId="0" applyFont="1" applyBorder="1" applyAlignment="1">
      <alignment horizontal="right"/>
    </xf>
    <xf numFmtId="165" fontId="4" fillId="0" borderId="0" xfId="0" applyNumberFormat="1" applyFont="1"/>
    <xf numFmtId="165" fontId="14" fillId="3" borderId="6" xfId="0" applyNumberFormat="1" applyFont="1" applyFill="1" applyBorder="1"/>
    <xf numFmtId="0" fontId="1" fillId="0" borderId="17" xfId="0" applyFont="1" applyBorder="1" applyAlignment="1">
      <alignment horizontal="right"/>
    </xf>
    <xf numFmtId="0" fontId="3" fillId="2" borderId="6" xfId="0" applyFont="1" applyFill="1" applyBorder="1" applyAlignment="1">
      <alignment horizontal="center"/>
    </xf>
    <xf numFmtId="0" fontId="1" fillId="0" borderId="18" xfId="0" applyFont="1" applyBorder="1"/>
    <xf numFmtId="169" fontId="4" fillId="0" borderId="6" xfId="0" applyNumberFormat="1" applyFont="1" applyBorder="1"/>
    <xf numFmtId="165" fontId="1" fillId="0" borderId="12" xfId="0" applyNumberFormat="1" applyFont="1" applyBorder="1"/>
    <xf numFmtId="2" fontId="1" fillId="0" borderId="5" xfId="0" applyNumberFormat="1" applyFont="1" applyBorder="1" applyAlignment="1">
      <alignment horizontal="right"/>
    </xf>
    <xf numFmtId="1" fontId="4" fillId="0" borderId="6" xfId="0" applyNumberFormat="1" applyFont="1" applyBorder="1"/>
    <xf numFmtId="1" fontId="4" fillId="0" borderId="0" xfId="0" applyNumberFormat="1" applyFont="1"/>
    <xf numFmtId="0" fontId="4" fillId="0" borderId="5" xfId="0" applyFont="1" applyBorder="1"/>
    <xf numFmtId="0" fontId="4" fillId="0" borderId="7" xfId="0" applyFont="1" applyBorder="1"/>
    <xf numFmtId="3" fontId="4" fillId="0" borderId="3" xfId="0" applyNumberFormat="1" applyFont="1" applyBorder="1"/>
    <xf numFmtId="0" fontId="6" fillId="0" borderId="0" xfId="0" applyFont="1" applyAlignment="1"/>
    <xf numFmtId="0" fontId="4" fillId="0" borderId="19" xfId="0" applyFont="1" applyBorder="1"/>
    <xf numFmtId="3" fontId="4" fillId="0" borderId="6" xfId="0" applyNumberFormat="1" applyFont="1" applyBorder="1" applyAlignment="1"/>
    <xf numFmtId="0" fontId="4" fillId="5" borderId="6" xfId="0" applyFont="1" applyFill="1" applyBorder="1"/>
    <xf numFmtId="165" fontId="4" fillId="5" borderId="6" xfId="0" applyNumberFormat="1" applyFont="1" applyFill="1" applyBorder="1"/>
    <xf numFmtId="0" fontId="9" fillId="2" borderId="6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 wrapText="1"/>
    </xf>
    <xf numFmtId="170" fontId="1" fillId="0" borderId="6" xfId="0" applyNumberFormat="1" applyFont="1" applyBorder="1" applyAlignment="1">
      <alignment horizontal="right"/>
    </xf>
    <xf numFmtId="0" fontId="14" fillId="3" borderId="10" xfId="0" applyFont="1" applyFill="1" applyBorder="1"/>
    <xf numFmtId="0" fontId="1" fillId="0" borderId="6" xfId="0" applyFont="1" applyBorder="1" applyAlignment="1">
      <alignment horizontal="left"/>
    </xf>
    <xf numFmtId="165" fontId="9" fillId="0" borderId="6" xfId="0" applyNumberFormat="1" applyFont="1" applyBorder="1"/>
    <xf numFmtId="170" fontId="1" fillId="2" borderId="6" xfId="0" applyNumberFormat="1" applyFont="1" applyFill="1" applyBorder="1" applyAlignment="1">
      <alignment horizontal="right"/>
    </xf>
    <xf numFmtId="170" fontId="1" fillId="0" borderId="6" xfId="0" applyNumberFormat="1" applyFont="1" applyBorder="1"/>
    <xf numFmtId="0" fontId="3" fillId="2" borderId="6" xfId="0" applyFont="1" applyFill="1" applyBorder="1"/>
    <xf numFmtId="3" fontId="3" fillId="2" borderId="6" xfId="0" applyNumberFormat="1" applyFont="1" applyFill="1" applyBorder="1"/>
    <xf numFmtId="165" fontId="3" fillId="2" borderId="6" xfId="0" applyNumberFormat="1" applyFont="1" applyFill="1" applyBorder="1"/>
    <xf numFmtId="0" fontId="15" fillId="2" borderId="20" xfId="0" applyFont="1" applyFill="1" applyBorder="1" applyAlignment="1">
      <alignment horizontal="center"/>
    </xf>
    <xf numFmtId="4" fontId="15" fillId="2" borderId="21" xfId="0" applyNumberFormat="1" applyFont="1" applyFill="1" applyBorder="1" applyAlignment="1">
      <alignment horizontal="center"/>
    </xf>
    <xf numFmtId="0" fontId="15" fillId="2" borderId="21" xfId="0" applyFont="1" applyFill="1" applyBorder="1" applyAlignment="1">
      <alignment horizontal="center"/>
    </xf>
    <xf numFmtId="0" fontId="14" fillId="0" borderId="3" xfId="0" applyFont="1" applyBorder="1"/>
    <xf numFmtId="171" fontId="1" fillId="0" borderId="6" xfId="0" applyNumberFormat="1" applyFont="1" applyBorder="1"/>
    <xf numFmtId="3" fontId="4" fillId="4" borderId="6" xfId="0" applyNumberFormat="1" applyFont="1" applyFill="1" applyBorder="1"/>
    <xf numFmtId="164" fontId="14" fillId="0" borderId="8" xfId="0" applyNumberFormat="1" applyFont="1" applyBorder="1"/>
    <xf numFmtId="4" fontId="4" fillId="0" borderId="6" xfId="0" applyNumberFormat="1" applyFont="1" applyBorder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14" fillId="0" borderId="8" xfId="0" applyNumberFormat="1" applyFont="1" applyBorder="1"/>
    <xf numFmtId="0" fontId="15" fillId="2" borderId="22" xfId="0" applyFont="1" applyFill="1" applyBorder="1"/>
    <xf numFmtId="172" fontId="15" fillId="2" borderId="21" xfId="0" applyNumberFormat="1" applyFont="1" applyFill="1" applyBorder="1"/>
    <xf numFmtId="171" fontId="9" fillId="2" borderId="6" xfId="0" applyNumberFormat="1" applyFont="1" applyFill="1" applyBorder="1"/>
    <xf numFmtId="171" fontId="1" fillId="2" borderId="6" xfId="0" applyNumberFormat="1" applyFont="1" applyFill="1" applyBorder="1"/>
    <xf numFmtId="0" fontId="15" fillId="0" borderId="0" xfId="0" applyFont="1" applyAlignment="1">
      <alignment horizontal="center" wrapText="1"/>
    </xf>
    <xf numFmtId="0" fontId="15" fillId="3" borderId="10" xfId="0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0" fontId="14" fillId="0" borderId="0" xfId="0" applyNumberFormat="1" applyFont="1" applyAlignment="1">
      <alignment horizontal="center"/>
    </xf>
    <xf numFmtId="0" fontId="15" fillId="2" borderId="6" xfId="0" applyFont="1" applyFill="1" applyBorder="1" applyAlignment="1">
      <alignment horizontal="center" vertical="center" wrapText="1"/>
    </xf>
    <xf numFmtId="165" fontId="15" fillId="2" borderId="6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/>
    </xf>
    <xf numFmtId="167" fontId="14" fillId="0" borderId="6" xfId="0" applyNumberFormat="1" applyFont="1" applyBorder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0" fontId="1" fillId="0" borderId="11" xfId="0" applyFont="1" applyBorder="1"/>
    <xf numFmtId="0" fontId="14" fillId="2" borderId="6" xfId="0" applyFont="1" applyFill="1" applyBorder="1"/>
    <xf numFmtId="0" fontId="14" fillId="2" borderId="21" xfId="0" applyFont="1" applyFill="1" applyBorder="1"/>
    <xf numFmtId="173" fontId="14" fillId="2" borderId="21" xfId="0" applyNumberFormat="1" applyFont="1" applyFill="1" applyBorder="1" applyAlignment="1">
      <alignment horizontal="center"/>
    </xf>
    <xf numFmtId="164" fontId="14" fillId="2" borderId="21" xfId="0" applyNumberFormat="1" applyFont="1" applyFill="1" applyBorder="1" applyAlignment="1">
      <alignment horizontal="center"/>
    </xf>
    <xf numFmtId="0" fontId="14" fillId="2" borderId="26" xfId="0" applyFont="1" applyFill="1" applyBorder="1"/>
    <xf numFmtId="0" fontId="1" fillId="2" borderId="21" xfId="0" applyFont="1" applyFill="1" applyBorder="1"/>
    <xf numFmtId="171" fontId="15" fillId="0" borderId="0" xfId="0" applyNumberFormat="1" applyFont="1" applyAlignment="1">
      <alignment horizontal="center" wrapText="1"/>
    </xf>
    <xf numFmtId="165" fontId="1" fillId="0" borderId="0" xfId="0" applyNumberFormat="1" applyFont="1"/>
    <xf numFmtId="0" fontId="15" fillId="0" borderId="0" xfId="0" applyFont="1"/>
    <xf numFmtId="0" fontId="15" fillId="2" borderId="6" xfId="0" applyFont="1" applyFill="1" applyBorder="1"/>
    <xf numFmtId="0" fontId="15" fillId="2" borderId="6" xfId="0" applyFont="1" applyFill="1" applyBorder="1" applyAlignment="1">
      <alignment horizontal="center" wrapText="1"/>
    </xf>
    <xf numFmtId="0" fontId="14" fillId="0" borderId="0" xfId="0" applyFont="1"/>
    <xf numFmtId="0" fontId="14" fillId="0" borderId="6" xfId="0" applyFont="1" applyBorder="1"/>
    <xf numFmtId="172" fontId="14" fillId="0" borderId="6" xfId="0" applyNumberFormat="1" applyFont="1" applyBorder="1" applyAlignment="1">
      <alignment horizontal="center" wrapText="1"/>
    </xf>
    <xf numFmtId="165" fontId="7" fillId="0" borderId="6" xfId="0" applyNumberFormat="1" applyFont="1" applyBorder="1"/>
    <xf numFmtId="164" fontId="14" fillId="0" borderId="6" xfId="0" applyNumberFormat="1" applyFont="1" applyBorder="1" applyAlignment="1">
      <alignment horizontal="center"/>
    </xf>
    <xf numFmtId="171" fontId="14" fillId="0" borderId="6" xfId="0" applyNumberFormat="1" applyFont="1" applyBorder="1" applyAlignment="1">
      <alignment horizontal="center" wrapText="1"/>
    </xf>
    <xf numFmtId="165" fontId="1" fillId="0" borderId="6" xfId="0" applyNumberFormat="1" applyFont="1" applyBorder="1" applyAlignment="1">
      <alignment horizontal="center"/>
    </xf>
    <xf numFmtId="0" fontId="15" fillId="0" borderId="6" xfId="0" applyFont="1" applyBorder="1"/>
    <xf numFmtId="172" fontId="1" fillId="0" borderId="6" xfId="0" applyNumberFormat="1" applyFont="1" applyBorder="1" applyAlignment="1">
      <alignment horizontal="center"/>
    </xf>
    <xf numFmtId="167" fontId="1" fillId="2" borderId="6" xfId="0" applyNumberFormat="1" applyFont="1" applyFill="1" applyBorder="1"/>
    <xf numFmtId="164" fontId="1" fillId="0" borderId="6" xfId="0" applyNumberFormat="1" applyFont="1" applyBorder="1" applyAlignment="1">
      <alignment horizontal="center"/>
    </xf>
    <xf numFmtId="167" fontId="1" fillId="2" borderId="6" xfId="0" applyNumberFormat="1" applyFont="1" applyFill="1" applyBorder="1" applyAlignment="1">
      <alignment horizontal="center"/>
    </xf>
    <xf numFmtId="171" fontId="14" fillId="0" borderId="6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15" fillId="2" borderId="22" xfId="0" applyFont="1" applyFill="1" applyBorder="1" applyAlignment="1">
      <alignment wrapText="1"/>
    </xf>
    <xf numFmtId="0" fontId="1" fillId="0" borderId="6" xfId="0" applyFont="1" applyBorder="1" applyAlignment="1">
      <alignment horizontal="center"/>
    </xf>
    <xf numFmtId="0" fontId="15" fillId="2" borderId="21" xfId="0" applyFont="1" applyFill="1" applyBorder="1" applyAlignment="1">
      <alignment horizontal="center" wrapText="1"/>
    </xf>
    <xf numFmtId="10" fontId="1" fillId="0" borderId="6" xfId="0" applyNumberFormat="1" applyFont="1" applyBorder="1" applyAlignment="1">
      <alignment horizontal="center"/>
    </xf>
    <xf numFmtId="171" fontId="14" fillId="0" borderId="6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center"/>
    </xf>
    <xf numFmtId="165" fontId="14" fillId="0" borderId="6" xfId="0" applyNumberFormat="1" applyFont="1" applyBorder="1" applyAlignment="1">
      <alignment horizontal="right"/>
    </xf>
    <xf numFmtId="0" fontId="14" fillId="3" borderId="6" xfId="0" applyFont="1" applyFill="1" applyBorder="1" applyAlignment="1">
      <alignment horizontal="center"/>
    </xf>
    <xf numFmtId="0" fontId="14" fillId="0" borderId="0" xfId="0" applyFont="1" applyAlignment="1">
      <alignment wrapText="1"/>
    </xf>
    <xf numFmtId="0" fontId="14" fillId="0" borderId="3" xfId="0" applyFont="1" applyBorder="1" applyAlignment="1">
      <alignment wrapText="1"/>
    </xf>
    <xf numFmtId="171" fontId="1" fillId="0" borderId="6" xfId="0" applyNumberFormat="1" applyFont="1" applyBorder="1" applyAlignment="1">
      <alignment horizontal="center"/>
    </xf>
    <xf numFmtId="172" fontId="14" fillId="0" borderId="8" xfId="0" applyNumberFormat="1" applyFont="1" applyBorder="1" applyAlignment="1">
      <alignment horizontal="right" wrapText="1"/>
    </xf>
    <xf numFmtId="0" fontId="1" fillId="12" borderId="6" xfId="0" applyFont="1" applyFill="1" applyBorder="1" applyAlignment="1">
      <alignment horizontal="left"/>
    </xf>
    <xf numFmtId="164" fontId="14" fillId="0" borderId="8" xfId="0" applyNumberFormat="1" applyFont="1" applyBorder="1" applyAlignment="1">
      <alignment horizontal="right"/>
    </xf>
    <xf numFmtId="9" fontId="1" fillId="0" borderId="6" xfId="0" applyNumberFormat="1" applyFont="1" applyBorder="1" applyAlignment="1">
      <alignment horizontal="center"/>
    </xf>
    <xf numFmtId="0" fontId="1" fillId="11" borderId="6" xfId="0" applyFont="1" applyFill="1" applyBorder="1" applyAlignment="1">
      <alignment horizontal="left"/>
    </xf>
    <xf numFmtId="167" fontId="1" fillId="11" borderId="6" xfId="0" applyNumberFormat="1" applyFont="1" applyFill="1" applyBorder="1" applyAlignment="1">
      <alignment horizontal="center"/>
    </xf>
    <xf numFmtId="172" fontId="14" fillId="0" borderId="8" xfId="0" applyNumberFormat="1" applyFont="1" applyBorder="1" applyAlignment="1">
      <alignment horizontal="center" wrapText="1"/>
    </xf>
    <xf numFmtId="171" fontId="1" fillId="11" borderId="6" xfId="0" applyNumberFormat="1" applyFont="1" applyFill="1" applyBorder="1" applyAlignment="1">
      <alignment horizontal="center"/>
    </xf>
    <xf numFmtId="164" fontId="14" fillId="0" borderId="8" xfId="0" applyNumberFormat="1" applyFont="1" applyBorder="1" applyAlignment="1">
      <alignment horizontal="center"/>
    </xf>
    <xf numFmtId="0" fontId="15" fillId="0" borderId="3" xfId="0" applyFont="1" applyBorder="1" applyAlignment="1">
      <alignment wrapText="1"/>
    </xf>
    <xf numFmtId="172" fontId="15" fillId="0" borderId="8" xfId="0" applyNumberFormat="1" applyFont="1" applyBorder="1" applyAlignment="1">
      <alignment horizontal="center" wrapText="1"/>
    </xf>
    <xf numFmtId="171" fontId="14" fillId="0" borderId="6" xfId="0" applyNumberFormat="1" applyFont="1" applyBorder="1"/>
    <xf numFmtId="0" fontId="14" fillId="2" borderId="22" xfId="0" applyFont="1" applyFill="1" applyBorder="1"/>
    <xf numFmtId="9" fontId="14" fillId="0" borderId="8" xfId="0" applyNumberFormat="1" applyFont="1" applyBorder="1" applyAlignment="1">
      <alignment horizontal="right"/>
    </xf>
    <xf numFmtId="171" fontId="14" fillId="2" borderId="6" xfId="0" applyNumberFormat="1" applyFont="1" applyFill="1" applyBorder="1" applyAlignment="1">
      <alignment horizontal="right"/>
    </xf>
    <xf numFmtId="171" fontId="1" fillId="0" borderId="0" xfId="0" applyNumberFormat="1" applyFont="1"/>
    <xf numFmtId="165" fontId="1" fillId="0" borderId="11" xfId="0" applyNumberFormat="1" applyFont="1" applyBorder="1"/>
    <xf numFmtId="165" fontId="15" fillId="2" borderId="6" xfId="0" applyNumberFormat="1" applyFont="1" applyFill="1" applyBorder="1" applyAlignment="1">
      <alignment horizontal="center" wrapText="1"/>
    </xf>
    <xf numFmtId="172" fontId="14" fillId="0" borderId="6" xfId="0" applyNumberFormat="1" applyFont="1" applyBorder="1" applyAlignment="1">
      <alignment horizontal="right"/>
    </xf>
    <xf numFmtId="0" fontId="16" fillId="0" borderId="0" xfId="0" applyFont="1"/>
    <xf numFmtId="0" fontId="13" fillId="0" borderId="0" xfId="0" applyFont="1" applyAlignment="1">
      <alignment horizontal="center"/>
    </xf>
    <xf numFmtId="0" fontId="13" fillId="4" borderId="6" xfId="0" applyFont="1" applyFill="1" applyBorder="1"/>
    <xf numFmtId="0" fontId="13" fillId="4" borderId="6" xfId="0" applyFont="1" applyFill="1" applyBorder="1" applyAlignment="1">
      <alignment horizontal="center"/>
    </xf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left"/>
    </xf>
    <xf numFmtId="0" fontId="17" fillId="3" borderId="6" xfId="0" applyFont="1" applyFill="1" applyBorder="1" applyAlignment="1">
      <alignment horizontal="left"/>
    </xf>
    <xf numFmtId="172" fontId="14" fillId="0" borderId="6" xfId="0" applyNumberFormat="1" applyFont="1" applyBorder="1" applyAlignment="1">
      <alignment wrapText="1"/>
    </xf>
    <xf numFmtId="0" fontId="17" fillId="2" borderId="6" xfId="0" applyFont="1" applyFill="1" applyBorder="1" applyAlignment="1">
      <alignment horizontal="left"/>
    </xf>
    <xf numFmtId="165" fontId="14" fillId="0" borderId="6" xfId="0" applyNumberFormat="1" applyFont="1" applyBorder="1" applyAlignment="1">
      <alignment wrapText="1"/>
    </xf>
    <xf numFmtId="172" fontId="14" fillId="0" borderId="6" xfId="0" applyNumberFormat="1" applyFont="1" applyBorder="1" applyAlignment="1">
      <alignment horizontal="right" wrapText="1"/>
    </xf>
    <xf numFmtId="172" fontId="14" fillId="0" borderId="0" xfId="0" applyNumberFormat="1" applyFont="1" applyAlignment="1">
      <alignment horizontal="right"/>
    </xf>
    <xf numFmtId="165" fontId="14" fillId="0" borderId="0" xfId="0" applyNumberFormat="1" applyFont="1" applyAlignment="1">
      <alignment horizontal="right"/>
    </xf>
    <xf numFmtId="174" fontId="13" fillId="3" borderId="10" xfId="0" applyNumberFormat="1" applyFont="1" applyFill="1" applyBorder="1"/>
    <xf numFmtId="2" fontId="13" fillId="0" borderId="6" xfId="0" applyNumberFormat="1" applyFont="1" applyBorder="1" applyAlignment="1">
      <alignment horizontal="center"/>
    </xf>
    <xf numFmtId="172" fontId="15" fillId="2" borderId="21" xfId="0" applyNumberFormat="1" applyFont="1" applyFill="1" applyBorder="1" applyAlignment="1">
      <alignment horizontal="right" wrapText="1"/>
    </xf>
    <xf numFmtId="0" fontId="13" fillId="3" borderId="10" xfId="0" applyFont="1" applyFill="1" applyBorder="1" applyAlignment="1">
      <alignment horizontal="center"/>
    </xf>
    <xf numFmtId="165" fontId="15" fillId="2" borderId="21" xfId="0" applyNumberFormat="1" applyFont="1" applyFill="1" applyBorder="1" applyAlignment="1">
      <alignment horizontal="right"/>
    </xf>
    <xf numFmtId="0" fontId="15" fillId="2" borderId="22" xfId="0" applyFont="1" applyFill="1" applyBorder="1" applyAlignment="1">
      <alignment horizontal="center"/>
    </xf>
    <xf numFmtId="165" fontId="15" fillId="2" borderId="2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165" fontId="9" fillId="2" borderId="6" xfId="0" applyNumberFormat="1" applyFont="1" applyFill="1" applyBorder="1" applyAlignment="1">
      <alignment horizontal="center"/>
    </xf>
    <xf numFmtId="1" fontId="13" fillId="0" borderId="6" xfId="0" applyNumberFormat="1" applyFont="1" applyBorder="1" applyAlignment="1">
      <alignment horizontal="center"/>
    </xf>
    <xf numFmtId="167" fontId="1" fillId="0" borderId="6" xfId="0" applyNumberFormat="1" applyFont="1" applyBorder="1"/>
    <xf numFmtId="1" fontId="13" fillId="0" borderId="6" xfId="0" applyNumberFormat="1" applyFont="1" applyBorder="1"/>
    <xf numFmtId="0" fontId="13" fillId="2" borderId="6" xfId="0" applyFont="1" applyFill="1" applyBorder="1"/>
    <xf numFmtId="0" fontId="13" fillId="2" borderId="6" xfId="0" applyFont="1" applyFill="1" applyBorder="1" applyAlignment="1">
      <alignment horizontal="center"/>
    </xf>
    <xf numFmtId="165" fontId="14" fillId="0" borderId="6" xfId="0" applyNumberFormat="1" applyFont="1" applyBorder="1" applyAlignment="1">
      <alignment horizontal="right" wrapText="1"/>
    </xf>
    <xf numFmtId="0" fontId="13" fillId="3" borderId="10" xfId="0" applyFont="1" applyFill="1" applyBorder="1"/>
    <xf numFmtId="165" fontId="14" fillId="0" borderId="6" xfId="0" applyNumberFormat="1" applyFont="1" applyBorder="1"/>
    <xf numFmtId="165" fontId="15" fillId="13" borderId="6" xfId="0" applyNumberFormat="1" applyFont="1" applyFill="1" applyBorder="1"/>
    <xf numFmtId="0" fontId="18" fillId="0" borderId="0" xfId="0" applyFont="1"/>
    <xf numFmtId="0" fontId="7" fillId="0" borderId="6" xfId="0" applyFont="1" applyBorder="1"/>
    <xf numFmtId="165" fontId="14" fillId="0" borderId="0" xfId="0" applyNumberFormat="1" applyFont="1"/>
    <xf numFmtId="165" fontId="15" fillId="0" borderId="6" xfId="0" applyNumberFormat="1" applyFont="1" applyBorder="1"/>
    <xf numFmtId="165" fontId="15" fillId="0" borderId="0" xfId="0" applyNumberFormat="1" applyFont="1"/>
    <xf numFmtId="0" fontId="13" fillId="0" borderId="6" xfId="0" applyFont="1" applyBorder="1" applyAlignment="1">
      <alignment horizontal="left"/>
    </xf>
    <xf numFmtId="4" fontId="13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10" fontId="14" fillId="0" borderId="6" xfId="0" applyNumberFormat="1" applyFont="1" applyBorder="1" applyAlignment="1">
      <alignment horizontal="center"/>
    </xf>
    <xf numFmtId="9" fontId="14" fillId="0" borderId="6" xfId="0" applyNumberFormat="1" applyFont="1" applyBorder="1" applyAlignment="1">
      <alignment horizontal="center"/>
    </xf>
    <xf numFmtId="0" fontId="13" fillId="2" borderId="6" xfId="0" applyFont="1" applyFill="1" applyBorder="1" applyAlignment="1">
      <alignment horizontal="left"/>
    </xf>
    <xf numFmtId="4" fontId="13" fillId="2" borderId="6" xfId="0" applyNumberFormat="1" applyFont="1" applyFill="1" applyBorder="1" applyAlignment="1">
      <alignment horizontal="center"/>
    </xf>
    <xf numFmtId="10" fontId="14" fillId="2" borderId="6" xfId="0" applyNumberFormat="1" applyFont="1" applyFill="1" applyBorder="1" applyAlignment="1">
      <alignment horizontal="center"/>
    </xf>
    <xf numFmtId="0" fontId="13" fillId="4" borderId="6" xfId="0" applyFont="1" applyFill="1" applyBorder="1" applyAlignment="1">
      <alignment horizontal="left"/>
    </xf>
    <xf numFmtId="3" fontId="13" fillId="4" borderId="6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0" borderId="7" xfId="0" applyFont="1" applyBorder="1"/>
    <xf numFmtId="164" fontId="2" fillId="2" borderId="2" xfId="0" applyNumberFormat="1" applyFont="1" applyFill="1" applyBorder="1" applyAlignment="1">
      <alignment horizontal="center"/>
    </xf>
    <xf numFmtId="0" fontId="6" fillId="0" borderId="4" xfId="0" applyFont="1" applyBorder="1"/>
    <xf numFmtId="0" fontId="2" fillId="2" borderId="1" xfId="0" applyFont="1" applyFill="1" applyBorder="1" applyAlignment="1">
      <alignment horizontal="center" wrapText="1"/>
    </xf>
    <xf numFmtId="0" fontId="6" fillId="0" borderId="3" xfId="0" applyFont="1" applyBorder="1"/>
    <xf numFmtId="0" fontId="6" fillId="0" borderId="9" xfId="0" applyFont="1" applyBorder="1"/>
    <xf numFmtId="0" fontId="1" fillId="2" borderId="16" xfId="0" applyFont="1" applyFill="1" applyBorder="1" applyAlignment="1">
      <alignment horizontal="center"/>
    </xf>
    <xf numFmtId="0" fontId="6" fillId="0" borderId="14" xfId="0" applyFont="1" applyBorder="1"/>
    <xf numFmtId="0" fontId="3" fillId="2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65" fontId="9" fillId="0" borderId="5" xfId="0" applyNumberFormat="1" applyFont="1" applyBorder="1"/>
    <xf numFmtId="165" fontId="9" fillId="7" borderId="5" xfId="0" applyNumberFormat="1" applyFont="1" applyFill="1" applyBorder="1" applyAlignment="1">
      <alignment horizontal="center"/>
    </xf>
    <xf numFmtId="165" fontId="9" fillId="8" borderId="5" xfId="0" applyNumberFormat="1" applyFont="1" applyFill="1" applyBorder="1" applyAlignment="1">
      <alignment horizontal="center"/>
    </xf>
    <xf numFmtId="165" fontId="9" fillId="9" borderId="5" xfId="0" applyNumberFormat="1" applyFont="1" applyFill="1" applyBorder="1" applyAlignment="1">
      <alignment horizontal="center"/>
    </xf>
    <xf numFmtId="165" fontId="9" fillId="10" borderId="5" xfId="0" applyNumberFormat="1" applyFont="1" applyFill="1" applyBorder="1" applyAlignment="1">
      <alignment horizontal="center"/>
    </xf>
    <xf numFmtId="165" fontId="9" fillId="6" borderId="5" xfId="0" applyNumberFormat="1" applyFont="1" applyFill="1" applyBorder="1" applyAlignment="1">
      <alignment horizontal="center"/>
    </xf>
    <xf numFmtId="0" fontId="15" fillId="2" borderId="16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3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0" fillId="0" borderId="0" xfId="0" applyFont="1" applyAlignment="1"/>
    <xf numFmtId="0" fontId="9" fillId="2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9" fillId="2" borderId="5" xfId="0" applyFont="1" applyFill="1" applyBorder="1"/>
    <xf numFmtId="0" fontId="13" fillId="3" borderId="27" xfId="0" applyFont="1" applyFill="1" applyBorder="1"/>
    <xf numFmtId="0" fontId="6" fillId="0" borderId="28" xfId="0" applyFont="1" applyBorder="1"/>
    <xf numFmtId="0" fontId="16" fillId="2" borderId="5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0" borderId="0" xfId="0" applyFont="1"/>
    <xf numFmtId="0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000"/>
  <sheetViews>
    <sheetView showGridLines="0" workbookViewId="0">
      <selection activeCell="E3" sqref="E3"/>
    </sheetView>
  </sheetViews>
  <sheetFormatPr baseColWidth="10" defaultColWidth="14.5" defaultRowHeight="15" customHeight="1" x14ac:dyDescent="0"/>
  <cols>
    <col min="1" max="1" width="66" customWidth="1"/>
    <col min="2" max="2" width="12.6640625" customWidth="1"/>
    <col min="3" max="3" width="14.5" customWidth="1"/>
    <col min="4" max="4" width="26.6640625" customWidth="1"/>
    <col min="5" max="5" width="24.83203125" customWidth="1"/>
    <col min="6" max="6" width="14.5" customWidth="1"/>
  </cols>
  <sheetData>
    <row r="1" spans="1:6" ht="15.75" customHeight="1">
      <c r="A1" s="246" t="s">
        <v>0</v>
      </c>
      <c r="B1" s="244" t="s">
        <v>2</v>
      </c>
      <c r="C1" s="3"/>
      <c r="D1" s="3"/>
      <c r="E1" s="3"/>
      <c r="F1" s="4"/>
    </row>
    <row r="2" spans="1:6" ht="15.75" customHeight="1">
      <c r="A2" s="247"/>
      <c r="B2" s="245"/>
      <c r="C2" s="3"/>
      <c r="D2" s="242" t="s">
        <v>3</v>
      </c>
      <c r="E2" s="243"/>
      <c r="F2" s="4"/>
    </row>
    <row r="3" spans="1:6" ht="15.75" customHeight="1">
      <c r="A3" s="7" t="s">
        <v>5</v>
      </c>
      <c r="B3" s="9">
        <v>250</v>
      </c>
      <c r="C3" s="3"/>
      <c r="D3" s="11">
        <v>2019</v>
      </c>
      <c r="E3" s="12">
        <v>0.26</v>
      </c>
      <c r="F3" s="4"/>
    </row>
    <row r="4" spans="1:6" ht="15.75" customHeight="1">
      <c r="A4" s="7" t="s">
        <v>10</v>
      </c>
      <c r="B4" s="9">
        <v>265</v>
      </c>
      <c r="C4" s="3"/>
      <c r="D4" s="11">
        <v>2020</v>
      </c>
      <c r="E4" s="12">
        <v>0.23</v>
      </c>
      <c r="F4" s="4"/>
    </row>
    <row r="5" spans="1:6" ht="15.75" customHeight="1">
      <c r="A5" s="7" t="s">
        <v>11</v>
      </c>
      <c r="B5" s="9">
        <v>281</v>
      </c>
      <c r="C5" s="3"/>
      <c r="D5" s="11">
        <v>2021</v>
      </c>
      <c r="E5" s="12">
        <v>0.2</v>
      </c>
      <c r="F5" s="4"/>
    </row>
    <row r="6" spans="1:6" ht="15.75" customHeight="1">
      <c r="A6" s="7" t="s">
        <v>12</v>
      </c>
      <c r="B6" s="9">
        <v>298</v>
      </c>
      <c r="C6" s="3"/>
      <c r="D6" s="11">
        <v>2022</v>
      </c>
      <c r="E6" s="12">
        <v>0.17</v>
      </c>
      <c r="F6" s="4"/>
    </row>
    <row r="7" spans="1:6" ht="15.75" customHeight="1">
      <c r="A7" s="7" t="s">
        <v>14</v>
      </c>
      <c r="B7" s="9">
        <v>316</v>
      </c>
      <c r="C7" s="3"/>
      <c r="D7" s="14">
        <v>2023</v>
      </c>
      <c r="E7" s="16">
        <v>0.15</v>
      </c>
      <c r="F7" s="4"/>
    </row>
    <row r="8" spans="1:6" ht="15.75" customHeight="1">
      <c r="A8" s="3" t="s">
        <v>16</v>
      </c>
      <c r="B8" s="3" t="s">
        <v>16</v>
      </c>
      <c r="C8" s="3" t="s">
        <v>16</v>
      </c>
      <c r="D8" s="3"/>
      <c r="E8" s="3"/>
      <c r="F8" s="18"/>
    </row>
    <row r="9" spans="1:6" ht="15.75" customHeight="1">
      <c r="A9" s="242" t="s">
        <v>19</v>
      </c>
      <c r="B9" s="248"/>
      <c r="C9" s="3" t="s">
        <v>16</v>
      </c>
      <c r="D9" s="3"/>
      <c r="E9" s="3"/>
      <c r="F9" s="4"/>
    </row>
    <row r="10" spans="1:6" ht="15.75" customHeight="1">
      <c r="A10" s="21">
        <v>43367</v>
      </c>
      <c r="B10" s="22">
        <v>65</v>
      </c>
      <c r="C10" s="3"/>
      <c r="D10" s="24" t="s">
        <v>20</v>
      </c>
      <c r="E10" s="27" t="e">
        <f>'PricingCostos embarques'!H79</f>
        <v>#DIV/0!</v>
      </c>
      <c r="F10" s="4"/>
    </row>
    <row r="11" spans="1:6" ht="15.75" customHeight="1">
      <c r="A11" s="29">
        <v>2019</v>
      </c>
      <c r="B11" s="22">
        <f>B10*(1+E3)*(1-0.02)</f>
        <v>80.262</v>
      </c>
      <c r="C11" s="30"/>
      <c r="D11" s="3"/>
      <c r="E11" s="3"/>
      <c r="F11" s="4"/>
    </row>
    <row r="12" spans="1:6" ht="15.75" customHeight="1">
      <c r="A12" s="29">
        <v>2020</v>
      </c>
      <c r="B12" s="22">
        <f>B11*(1+E4)*(1-0.02)</f>
        <v>96.7478148</v>
      </c>
      <c r="C12" s="33"/>
      <c r="D12" s="3"/>
      <c r="E12" s="3"/>
      <c r="F12" s="4"/>
    </row>
    <row r="13" spans="1:6" ht="15.75" customHeight="1">
      <c r="A13" s="29">
        <v>2021</v>
      </c>
      <c r="B13" s="22">
        <f t="shared" ref="B11:B15" si="0">B12*(1+E5)*(1-0.02)</f>
        <v>113.7754302048</v>
      </c>
      <c r="C13" s="33"/>
      <c r="D13" s="24" t="s">
        <v>28</v>
      </c>
      <c r="E13" s="19"/>
      <c r="F13" s="4"/>
    </row>
    <row r="14" spans="1:6" ht="15.75" customHeight="1">
      <c r="A14" s="29">
        <v>2022</v>
      </c>
      <c r="B14" s="22">
        <f t="shared" si="0"/>
        <v>130.45490827282367</v>
      </c>
      <c r="C14" s="33"/>
      <c r="D14" s="3"/>
      <c r="E14" s="3"/>
      <c r="F14" s="4"/>
    </row>
    <row r="15" spans="1:6" ht="15.75" customHeight="1">
      <c r="A15" s="34">
        <v>2023</v>
      </c>
      <c r="B15" s="36">
        <f t="shared" si="0"/>
        <v>147.02268162347227</v>
      </c>
      <c r="C15" s="33"/>
      <c r="D15" s="3"/>
      <c r="E15" s="3"/>
      <c r="F15" s="4"/>
    </row>
    <row r="16" spans="1:6" ht="15.75" customHeight="1">
      <c r="A16" s="38"/>
      <c r="B16" s="38"/>
      <c r="C16" s="33"/>
      <c r="D16" s="3"/>
      <c r="E16" s="3"/>
      <c r="F16" s="4"/>
    </row>
    <row r="17" spans="1:6" ht="15.75" customHeight="1">
      <c r="A17" s="41" t="s">
        <v>33</v>
      </c>
      <c r="B17" s="43"/>
      <c r="C17" s="3"/>
      <c r="D17" s="3"/>
      <c r="E17" s="3"/>
      <c r="F17" s="4"/>
    </row>
    <row r="18" spans="1:6" ht="15.75" customHeight="1">
      <c r="A18" s="45"/>
      <c r="B18" s="46"/>
      <c r="C18" s="3"/>
      <c r="D18" s="3"/>
      <c r="E18" s="3"/>
    </row>
    <row r="19" spans="1:6" ht="15.75" customHeight="1">
      <c r="C19" s="3"/>
      <c r="D19" s="3"/>
      <c r="E19" s="3"/>
    </row>
    <row r="20" spans="1:6" ht="15.75" customHeight="1">
      <c r="A20" s="1"/>
      <c r="B20" s="1"/>
      <c r="C20" s="48"/>
      <c r="D20" s="48"/>
      <c r="E20" s="48"/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2:E2"/>
    <mergeCell ref="B1:B2"/>
    <mergeCell ref="A1:A2"/>
    <mergeCell ref="A9:B9"/>
  </mergeCells>
  <pageMargins left="0.7" right="0.7" top="0.75" bottom="0.75" header="0" footer="0"/>
  <pageSetup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showGridLines="0" workbookViewId="0">
      <selection activeCell="B3" sqref="B3"/>
    </sheetView>
  </sheetViews>
  <sheetFormatPr baseColWidth="10" defaultColWidth="14.5" defaultRowHeight="15" customHeight="1" x14ac:dyDescent="0"/>
  <cols>
    <col min="1" max="1" width="37" customWidth="1"/>
    <col min="2" max="2" width="14.5" customWidth="1"/>
    <col min="3" max="3" width="16.33203125" customWidth="1"/>
    <col min="4" max="4" width="14.5" customWidth="1"/>
    <col min="5" max="5" width="15.83203125" customWidth="1"/>
    <col min="6" max="6" width="14.5" customWidth="1"/>
    <col min="7" max="7" width="27" customWidth="1"/>
    <col min="8" max="8" width="31" customWidth="1"/>
  </cols>
  <sheetData>
    <row r="1" spans="1:28" ht="15.75" customHeight="1">
      <c r="A1" s="192" t="s">
        <v>314</v>
      </c>
      <c r="B1" s="193"/>
      <c r="C1" s="193"/>
      <c r="D1" s="193"/>
      <c r="E1" s="193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5.75" customHeight="1">
      <c r="A2" s="194"/>
      <c r="B2" s="195" t="s">
        <v>317</v>
      </c>
      <c r="C2" s="195" t="s">
        <v>318</v>
      </c>
      <c r="D2" s="195" t="s">
        <v>319</v>
      </c>
      <c r="E2" s="195" t="s">
        <v>320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28" ht="15.75" customHeight="1">
      <c r="A3" s="196" t="s">
        <v>321</v>
      </c>
      <c r="B3" s="197">
        <v>3</v>
      </c>
      <c r="C3" s="197">
        <v>12</v>
      </c>
      <c r="D3" s="197">
        <v>20</v>
      </c>
      <c r="E3" s="198">
        <v>0.6</v>
      </c>
      <c r="F3" s="199"/>
      <c r="G3" s="200" t="s">
        <v>323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28" ht="15.75" customHeight="1">
      <c r="A4" s="196" t="s">
        <v>325</v>
      </c>
      <c r="B4" s="197">
        <v>9</v>
      </c>
      <c r="C4" s="197">
        <v>60</v>
      </c>
      <c r="D4" s="197">
        <v>40</v>
      </c>
      <c r="E4" s="198">
        <v>7</v>
      </c>
      <c r="F4" s="199"/>
      <c r="G4" s="200" t="s">
        <v>326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5.75" customHeight="1">
      <c r="A5" s="196" t="s">
        <v>327</v>
      </c>
      <c r="B5" s="197">
        <f>220-15</f>
        <v>205</v>
      </c>
      <c r="C5" s="197">
        <v>120</v>
      </c>
      <c r="D5" s="197">
        <v>100</v>
      </c>
      <c r="E5" s="198">
        <v>4000</v>
      </c>
      <c r="F5" s="199"/>
      <c r="G5" s="202" t="s">
        <v>328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15.75" customHeight="1">
      <c r="A6" s="196" t="s">
        <v>329</v>
      </c>
      <c r="B6" s="197">
        <v>215</v>
      </c>
      <c r="C6" s="197">
        <v>545</v>
      </c>
      <c r="D6" s="197">
        <v>228</v>
      </c>
      <c r="E6" s="198">
        <v>29140</v>
      </c>
      <c r="F6" s="199"/>
      <c r="G6" s="200" t="s">
        <v>330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8" ht="15.75" customHeight="1">
      <c r="A7" s="196" t="s">
        <v>331</v>
      </c>
      <c r="B7" s="197">
        <v>242.5</v>
      </c>
      <c r="C7" s="197">
        <v>1159.9000000000001</v>
      </c>
      <c r="D7" s="197">
        <v>229</v>
      </c>
      <c r="E7" s="198">
        <v>29580</v>
      </c>
      <c r="F7" s="199"/>
      <c r="G7" s="200" t="s">
        <v>332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8" ht="15.7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28" ht="15.75" customHeight="1">
      <c r="A9" s="48" t="s">
        <v>334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28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8" ht="15.75" customHeight="1">
      <c r="A11" s="274" t="s">
        <v>336</v>
      </c>
      <c r="B11" s="250"/>
      <c r="C11" s="250"/>
      <c r="D11" s="250"/>
      <c r="E11" s="250"/>
      <c r="F11" s="243"/>
      <c r="G11" s="48"/>
      <c r="H11" s="272"/>
      <c r="I11" s="273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28" ht="15.75" customHeight="1">
      <c r="A12" s="196" t="s">
        <v>338</v>
      </c>
      <c r="B12" s="197">
        <f>B4</f>
        <v>9</v>
      </c>
      <c r="C12" s="196" t="s">
        <v>339</v>
      </c>
      <c r="D12" s="197">
        <f>C4</f>
        <v>60</v>
      </c>
      <c r="E12" s="196" t="s">
        <v>340</v>
      </c>
      <c r="F12" s="197">
        <f>D4</f>
        <v>40</v>
      </c>
      <c r="G12" s="48"/>
      <c r="H12" s="207"/>
      <c r="I12" s="207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28" ht="15.75" customHeight="1">
      <c r="A13" s="196" t="s">
        <v>344</v>
      </c>
      <c r="B13" s="197">
        <f>B3</f>
        <v>3</v>
      </c>
      <c r="C13" s="196" t="s">
        <v>345</v>
      </c>
      <c r="D13" s="197">
        <f>C3</f>
        <v>12</v>
      </c>
      <c r="E13" s="196" t="s">
        <v>346</v>
      </c>
      <c r="F13" s="197">
        <f>D3</f>
        <v>20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28" ht="15.75" customHeight="1">
      <c r="A14" s="196" t="s">
        <v>347</v>
      </c>
      <c r="B14" s="197">
        <f>B12/B13</f>
        <v>3</v>
      </c>
      <c r="C14" s="196"/>
      <c r="D14" s="197">
        <f>D12/D13</f>
        <v>5</v>
      </c>
      <c r="E14" s="196"/>
      <c r="F14" s="197">
        <f>F12/F13</f>
        <v>2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8" ht="15.75" customHeight="1">
      <c r="A15" s="196" t="s">
        <v>349</v>
      </c>
      <c r="B15" s="197">
        <f>B14*D14*F14</f>
        <v>30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28" ht="15.75" customHeight="1">
      <c r="A16" s="196" t="s">
        <v>350</v>
      </c>
      <c r="B16" s="197">
        <v>0.1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15.75" customHeight="1">
      <c r="A17" s="196" t="s">
        <v>351</v>
      </c>
      <c r="B17" s="197">
        <f>B15*E3*B16</f>
        <v>1.8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15.7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15.75" customHeight="1">
      <c r="A19" s="274" t="s">
        <v>353</v>
      </c>
      <c r="B19" s="250"/>
      <c r="C19" s="250"/>
      <c r="D19" s="250"/>
      <c r="E19" s="250"/>
      <c r="F19" s="243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15.75" customHeight="1">
      <c r="A20" s="196" t="s">
        <v>354</v>
      </c>
      <c r="B20" s="197">
        <f>C5</f>
        <v>120</v>
      </c>
      <c r="C20" s="196" t="s">
        <v>355</v>
      </c>
      <c r="D20" s="197">
        <f>C5</f>
        <v>120</v>
      </c>
      <c r="E20" s="196" t="s">
        <v>356</v>
      </c>
      <c r="F20" s="197">
        <v>100</v>
      </c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15.75" customHeight="1">
      <c r="A21" s="196" t="s">
        <v>358</v>
      </c>
      <c r="B21" s="197">
        <f>C4</f>
        <v>60</v>
      </c>
      <c r="C21" s="196" t="s">
        <v>359</v>
      </c>
      <c r="D21" s="197">
        <f>D4</f>
        <v>40</v>
      </c>
      <c r="E21" s="196" t="s">
        <v>360</v>
      </c>
      <c r="F21" s="197">
        <v>40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15.75" customHeight="1">
      <c r="A22" s="196" t="s">
        <v>361</v>
      </c>
      <c r="B22" s="197">
        <f>B20/B21</f>
        <v>2</v>
      </c>
      <c r="C22" s="196"/>
      <c r="D22" s="197">
        <f>D20/D21</f>
        <v>3</v>
      </c>
      <c r="E22" s="196" t="s">
        <v>363</v>
      </c>
      <c r="F22" s="197">
        <v>60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8" ht="15.75" customHeight="1">
      <c r="A23" s="196" t="s">
        <v>364</v>
      </c>
      <c r="B23" s="197">
        <f>B22+D22</f>
        <v>5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8" ht="15.75" customHeight="1">
      <c r="A24" s="196" t="s">
        <v>365</v>
      </c>
      <c r="B24" s="208">
        <f>B5/B4</f>
        <v>22.777777777777779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8" ht="15.75" customHeight="1">
      <c r="A25" s="196" t="s">
        <v>367</v>
      </c>
      <c r="B25" s="197">
        <f>22*5</f>
        <v>110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8" ht="15.75" customHeight="1">
      <c r="A26" s="196" t="s">
        <v>369</v>
      </c>
      <c r="B26" s="197">
        <v>15</v>
      </c>
      <c r="C26" s="48"/>
      <c r="D26" s="210"/>
      <c r="E26" s="210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8" ht="15.75" customHeight="1">
      <c r="A27" s="196" t="s">
        <v>370</v>
      </c>
      <c r="B27" s="197">
        <f>B25*B17+B26</f>
        <v>213</v>
      </c>
      <c r="C27" s="48"/>
      <c r="D27" s="275"/>
      <c r="E27" s="273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8" ht="15.75" customHeight="1">
      <c r="A28" s="48"/>
      <c r="B28" s="48"/>
      <c r="C28" s="48"/>
      <c r="D28" s="48"/>
      <c r="E28" s="48"/>
      <c r="F28" s="48"/>
      <c r="G28" s="48"/>
      <c r="H28" s="192" t="s">
        <v>374</v>
      </c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</row>
    <row r="29" spans="1:28" ht="15.75" customHeight="1">
      <c r="A29" s="274" t="s">
        <v>375</v>
      </c>
      <c r="B29" s="250"/>
      <c r="C29" s="250"/>
      <c r="D29" s="250"/>
      <c r="E29" s="250"/>
      <c r="F29" s="243"/>
      <c r="G29" s="48"/>
      <c r="H29" s="274" t="s">
        <v>375</v>
      </c>
      <c r="I29" s="250"/>
      <c r="J29" s="250"/>
      <c r="K29" s="250"/>
      <c r="L29" s="250"/>
      <c r="M29" s="243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</row>
    <row r="30" spans="1:28" ht="15.75" customHeight="1">
      <c r="A30" s="196" t="s">
        <v>376</v>
      </c>
      <c r="B30" s="197">
        <f>C7</f>
        <v>1159.9000000000001</v>
      </c>
      <c r="C30" s="196" t="s">
        <v>377</v>
      </c>
      <c r="D30" s="197">
        <f>D7</f>
        <v>229</v>
      </c>
      <c r="E30" s="196" t="s">
        <v>378</v>
      </c>
      <c r="F30" s="197">
        <f>B7</f>
        <v>242.5</v>
      </c>
      <c r="G30" s="48"/>
      <c r="H30" s="196" t="s">
        <v>376</v>
      </c>
      <c r="I30" s="197">
        <f>C7</f>
        <v>1159.9000000000001</v>
      </c>
      <c r="J30" s="196" t="s">
        <v>377</v>
      </c>
      <c r="K30" s="197">
        <f>D7</f>
        <v>229</v>
      </c>
      <c r="L30" s="196" t="s">
        <v>378</v>
      </c>
      <c r="M30" s="197">
        <f>B7</f>
        <v>242.5</v>
      </c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spans="1:28" ht="15.75" customHeight="1">
      <c r="A31" s="196" t="s">
        <v>381</v>
      </c>
      <c r="B31" s="197">
        <f>C5</f>
        <v>120</v>
      </c>
      <c r="C31" s="196" t="s">
        <v>383</v>
      </c>
      <c r="D31" s="197">
        <f>D5</f>
        <v>100</v>
      </c>
      <c r="E31" s="196" t="s">
        <v>384</v>
      </c>
      <c r="F31" s="197">
        <v>191</v>
      </c>
      <c r="G31" s="48" t="s">
        <v>385</v>
      </c>
      <c r="H31" s="196" t="s">
        <v>381</v>
      </c>
      <c r="I31" s="197">
        <f>D5</f>
        <v>100</v>
      </c>
      <c r="J31" s="196" t="s">
        <v>383</v>
      </c>
      <c r="K31" s="197">
        <f>C5</f>
        <v>120</v>
      </c>
      <c r="L31" s="196" t="s">
        <v>384</v>
      </c>
      <c r="M31" s="197">
        <v>191</v>
      </c>
      <c r="N31" s="48" t="s">
        <v>385</v>
      </c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spans="1:28" ht="15.75" customHeight="1">
      <c r="A32" s="196" t="s">
        <v>389</v>
      </c>
      <c r="B32" s="217">
        <f>B30/B31</f>
        <v>9.6658333333333335</v>
      </c>
      <c r="C32" s="219"/>
      <c r="D32" s="217">
        <f>D30/D31</f>
        <v>2.29</v>
      </c>
      <c r="E32" s="219"/>
      <c r="F32" s="217">
        <f>F30/F31</f>
        <v>1.2696335078534031</v>
      </c>
      <c r="G32" s="48"/>
      <c r="H32" s="196" t="s">
        <v>389</v>
      </c>
      <c r="I32" s="217">
        <f>I30/I31</f>
        <v>11.599</v>
      </c>
      <c r="J32" s="219"/>
      <c r="K32" s="217">
        <f>K30/K31</f>
        <v>1.9083333333333334</v>
      </c>
      <c r="L32" s="219"/>
      <c r="M32" s="217">
        <f>M30/M31</f>
        <v>1.2696335078534031</v>
      </c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spans="1:28" ht="15.75" customHeight="1">
      <c r="A33" s="220" t="s">
        <v>394</v>
      </c>
      <c r="B33" s="221">
        <f>9*2*1</f>
        <v>18</v>
      </c>
      <c r="C33" s="48"/>
      <c r="D33" s="48"/>
      <c r="E33" s="48"/>
      <c r="F33" s="48"/>
      <c r="G33" s="48"/>
      <c r="H33" s="196" t="s">
        <v>394</v>
      </c>
      <c r="I33" s="196">
        <f>11*1*1</f>
        <v>11</v>
      </c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</row>
    <row r="34" spans="1:28" ht="15.75" customHeight="1">
      <c r="A34" s="196" t="s">
        <v>397</v>
      </c>
      <c r="B34" s="197">
        <v>4150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15.75" customHeight="1">
      <c r="A35" s="196" t="s">
        <v>399</v>
      </c>
      <c r="B35" s="197">
        <f>B34+(B33*B27)</f>
        <v>7984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</row>
    <row r="36" spans="1:28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</row>
    <row r="37" spans="1:28" ht="15.75" customHeight="1">
      <c r="A37" s="48"/>
      <c r="B37" s="48"/>
      <c r="C37" s="48"/>
      <c r="D37" s="48"/>
      <c r="E37" s="48"/>
      <c r="F37" s="48"/>
      <c r="G37" s="48"/>
      <c r="H37" s="192" t="s">
        <v>374</v>
      </c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</row>
    <row r="38" spans="1:28" ht="15.75" customHeight="1">
      <c r="A38" s="274" t="s">
        <v>400</v>
      </c>
      <c r="B38" s="250"/>
      <c r="C38" s="250"/>
      <c r="D38" s="250"/>
      <c r="E38" s="250"/>
      <c r="F38" s="243"/>
      <c r="G38" s="48"/>
      <c r="H38" s="274" t="s">
        <v>400</v>
      </c>
      <c r="I38" s="250"/>
      <c r="J38" s="250"/>
      <c r="K38" s="250"/>
      <c r="L38" s="250"/>
      <c r="M38" s="243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8" ht="15.75" customHeight="1">
      <c r="A39" s="196" t="s">
        <v>402</v>
      </c>
      <c r="B39" s="197">
        <f>C6</f>
        <v>545</v>
      </c>
      <c r="C39" s="196" t="s">
        <v>377</v>
      </c>
      <c r="D39" s="197">
        <f>D6</f>
        <v>228</v>
      </c>
      <c r="E39" s="196" t="s">
        <v>378</v>
      </c>
      <c r="F39" s="197">
        <f>B6</f>
        <v>215</v>
      </c>
      <c r="G39" s="48"/>
      <c r="H39" s="196" t="s">
        <v>402</v>
      </c>
      <c r="I39" s="197">
        <f>C6</f>
        <v>545</v>
      </c>
      <c r="J39" s="196" t="s">
        <v>377</v>
      </c>
      <c r="K39" s="197">
        <f>D6</f>
        <v>228</v>
      </c>
      <c r="L39" s="196" t="s">
        <v>378</v>
      </c>
      <c r="M39" s="197">
        <f>B6</f>
        <v>215</v>
      </c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spans="1:28" ht="15.75" customHeight="1">
      <c r="A40" s="196" t="s">
        <v>381</v>
      </c>
      <c r="B40" s="197">
        <f>C5</f>
        <v>120</v>
      </c>
      <c r="C40" s="196" t="s">
        <v>383</v>
      </c>
      <c r="D40" s="197">
        <f>D5</f>
        <v>100</v>
      </c>
      <c r="E40" s="196" t="s">
        <v>384</v>
      </c>
      <c r="F40" s="197">
        <v>191</v>
      </c>
      <c r="G40" s="48" t="s">
        <v>385</v>
      </c>
      <c r="H40" s="196" t="s">
        <v>381</v>
      </c>
      <c r="I40" s="197">
        <f>D5</f>
        <v>100</v>
      </c>
      <c r="J40" s="196" t="s">
        <v>383</v>
      </c>
      <c r="K40" s="197">
        <f>C5</f>
        <v>120</v>
      </c>
      <c r="L40" s="196" t="s">
        <v>384</v>
      </c>
      <c r="M40" s="197">
        <v>191</v>
      </c>
      <c r="N40" s="48" t="s">
        <v>385</v>
      </c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ht="15.75" customHeight="1">
      <c r="A41" s="196" t="s">
        <v>389</v>
      </c>
      <c r="B41" s="217">
        <f>B39/B40</f>
        <v>4.541666666666667</v>
      </c>
      <c r="C41" s="196"/>
      <c r="D41" s="217">
        <f>D39/D40</f>
        <v>2.2799999999999998</v>
      </c>
      <c r="E41" s="196"/>
      <c r="F41" s="217">
        <f>F39/F40</f>
        <v>1.12565445026178</v>
      </c>
      <c r="G41" s="48"/>
      <c r="H41" s="196" t="s">
        <v>389</v>
      </c>
      <c r="I41" s="217">
        <f>I39/I40</f>
        <v>5.45</v>
      </c>
      <c r="J41" s="219"/>
      <c r="K41" s="217">
        <f>K39/K40</f>
        <v>1.9</v>
      </c>
      <c r="L41" s="219"/>
      <c r="M41" s="217">
        <f>M39/M40</f>
        <v>1.12565445026178</v>
      </c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spans="1:28" ht="15.75" customHeight="1">
      <c r="A42" s="196" t="s">
        <v>394</v>
      </c>
      <c r="B42" s="197">
        <v>9</v>
      </c>
      <c r="C42" s="223"/>
      <c r="D42" s="48"/>
      <c r="E42" s="48"/>
      <c r="F42" s="48"/>
      <c r="G42" s="48"/>
      <c r="H42" s="196" t="s">
        <v>394</v>
      </c>
      <c r="I42" s="197">
        <f>5*1*1</f>
        <v>5</v>
      </c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ht="15.75" customHeight="1">
      <c r="A43" s="196" t="s">
        <v>397</v>
      </c>
      <c r="B43" s="197">
        <v>2300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</row>
    <row r="44" spans="1:28" ht="15.75" customHeight="1">
      <c r="A44" s="196" t="s">
        <v>399</v>
      </c>
      <c r="B44" s="197">
        <f>B43+(B42*B27)</f>
        <v>4217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</row>
    <row r="45" spans="1:28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</row>
    <row r="46" spans="1:28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</row>
    <row r="47" spans="1:28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</row>
    <row r="48" spans="1:28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</row>
    <row r="49" spans="1:28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</row>
    <row r="50" spans="1:28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</row>
    <row r="52" spans="1:28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</row>
    <row r="53" spans="1:28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</row>
    <row r="54" spans="1:28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spans="1:28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</row>
    <row r="56" spans="1:28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28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</row>
    <row r="58" spans="1:28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</row>
    <row r="59" spans="1:28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</row>
    <row r="60" spans="1:28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</row>
    <row r="61" spans="1:28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</row>
    <row r="62" spans="1:28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</row>
    <row r="63" spans="1:28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</row>
    <row r="64" spans="1:28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</row>
    <row r="65" spans="1:28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</row>
    <row r="66" spans="1:28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</row>
    <row r="67" spans="1:28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</row>
    <row r="68" spans="1:2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</row>
    <row r="69" spans="1:28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</row>
    <row r="70" spans="1:28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</row>
    <row r="71" spans="1:28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</row>
    <row r="72" spans="1:28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</row>
    <row r="73" spans="1:28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</row>
    <row r="74" spans="1:28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</row>
    <row r="75" spans="1:28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</row>
    <row r="76" spans="1:28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</row>
    <row r="77" spans="1:28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</row>
    <row r="78" spans="1:2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</row>
    <row r="79" spans="1:28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</row>
    <row r="80" spans="1:28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</row>
    <row r="81" spans="1:28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</row>
    <row r="82" spans="1:28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</row>
    <row r="83" spans="1:28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</row>
    <row r="84" spans="1:28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</row>
    <row r="85" spans="1:28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</row>
    <row r="86" spans="1:28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</row>
    <row r="87" spans="1:28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</row>
    <row r="88" spans="1:2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</row>
    <row r="89" spans="1:28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</row>
    <row r="90" spans="1:28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</row>
    <row r="91" spans="1:28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1:28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1:28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1:28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1:28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1:28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1:28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1:2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  <row r="99" spans="1:28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</row>
    <row r="100" spans="1:28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</row>
    <row r="101" spans="1:28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</row>
    <row r="102" spans="1:28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</row>
    <row r="103" spans="1:28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</row>
    <row r="104" spans="1:28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</row>
    <row r="105" spans="1:28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</row>
    <row r="106" spans="1:28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</row>
    <row r="107" spans="1:28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</row>
    <row r="108" spans="1:2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</row>
    <row r="109" spans="1:28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</row>
    <row r="110" spans="1:28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</row>
    <row r="111" spans="1:28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</row>
    <row r="112" spans="1:28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</row>
    <row r="113" spans="1:28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</row>
    <row r="114" spans="1:28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</row>
    <row r="115" spans="1:28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</row>
    <row r="116" spans="1:28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</row>
    <row r="117" spans="1:28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</row>
    <row r="118" spans="1:2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</row>
    <row r="119" spans="1:28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</row>
    <row r="120" spans="1:28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</row>
    <row r="121" spans="1:28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</row>
    <row r="122" spans="1:28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</row>
    <row r="123" spans="1:28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</row>
    <row r="124" spans="1:28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</row>
    <row r="125" spans="1:28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</row>
    <row r="126" spans="1:28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</row>
    <row r="127" spans="1:28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</row>
    <row r="128" spans="1: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</row>
    <row r="129" spans="1:28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</row>
    <row r="130" spans="1:28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</row>
    <row r="131" spans="1:28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</row>
    <row r="132" spans="1:28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</row>
    <row r="133" spans="1:28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</row>
    <row r="134" spans="1:28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</row>
    <row r="135" spans="1:28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</row>
    <row r="136" spans="1:28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</row>
    <row r="137" spans="1:28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</row>
    <row r="138" spans="1:2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</row>
    <row r="139" spans="1:28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</row>
    <row r="140" spans="1:28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</row>
    <row r="141" spans="1:28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</row>
    <row r="142" spans="1:28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</row>
    <row r="143" spans="1:28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</row>
    <row r="144" spans="1:28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</row>
    <row r="145" spans="1:28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</row>
    <row r="146" spans="1:28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</row>
    <row r="147" spans="1:28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</row>
    <row r="148" spans="1:2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</row>
    <row r="149" spans="1:28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</row>
    <row r="150" spans="1:28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</row>
    <row r="151" spans="1:28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</row>
    <row r="152" spans="1:28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</row>
    <row r="153" spans="1:28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</row>
    <row r="154" spans="1:28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</row>
    <row r="155" spans="1:28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</row>
    <row r="156" spans="1:28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</row>
    <row r="157" spans="1:28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</row>
    <row r="158" spans="1:2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</row>
    <row r="159" spans="1:28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</row>
    <row r="160" spans="1:28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</row>
    <row r="161" spans="1:28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</row>
    <row r="162" spans="1:28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</row>
    <row r="163" spans="1:28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</row>
    <row r="164" spans="1:28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</row>
    <row r="165" spans="1:28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</row>
    <row r="166" spans="1:28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</row>
    <row r="167" spans="1:28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</row>
    <row r="168" spans="1:2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</row>
    <row r="169" spans="1:28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</row>
    <row r="170" spans="1:28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</row>
    <row r="171" spans="1:28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</row>
    <row r="172" spans="1:28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</row>
    <row r="173" spans="1:28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</row>
    <row r="174" spans="1:28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</row>
    <row r="175" spans="1:28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</row>
    <row r="176" spans="1:28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</row>
    <row r="177" spans="1:28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</row>
    <row r="178" spans="1:2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</row>
    <row r="179" spans="1:28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</row>
    <row r="180" spans="1:28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</row>
    <row r="181" spans="1:28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</row>
    <row r="182" spans="1:28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</row>
    <row r="183" spans="1:28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</row>
    <row r="184" spans="1:28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</row>
    <row r="185" spans="1:28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</row>
    <row r="186" spans="1:28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</row>
    <row r="187" spans="1:28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</row>
    <row r="188" spans="1:2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</row>
    <row r="189" spans="1:28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</row>
    <row r="190" spans="1:28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</row>
    <row r="191" spans="1:28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</row>
    <row r="192" spans="1:28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</row>
    <row r="193" spans="1:28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</row>
    <row r="194" spans="1:28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</row>
    <row r="195" spans="1:28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</row>
    <row r="196" spans="1:28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</row>
    <row r="197" spans="1:28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</row>
    <row r="198" spans="1:2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</row>
    <row r="199" spans="1:28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</row>
    <row r="200" spans="1:28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</row>
    <row r="201" spans="1:28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</row>
    <row r="202" spans="1:28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</row>
    <row r="203" spans="1:28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</row>
    <row r="204" spans="1:28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</row>
    <row r="205" spans="1:28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</row>
    <row r="206" spans="1:28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</row>
    <row r="207" spans="1:28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</row>
    <row r="208" spans="1:2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</row>
    <row r="209" spans="1:28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</row>
    <row r="210" spans="1:28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</row>
    <row r="211" spans="1:28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</row>
    <row r="212" spans="1:28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</row>
    <row r="213" spans="1:28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</row>
    <row r="214" spans="1:28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</row>
    <row r="215" spans="1:28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</row>
    <row r="216" spans="1:28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</row>
    <row r="217" spans="1:28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</row>
    <row r="218" spans="1:2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</row>
    <row r="219" spans="1:28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</row>
    <row r="220" spans="1:28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</row>
    <row r="221" spans="1:28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</row>
    <row r="222" spans="1:28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</row>
    <row r="223" spans="1:28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</row>
    <row r="224" spans="1:28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</row>
    <row r="225" spans="1:28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</row>
    <row r="226" spans="1:28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</row>
    <row r="227" spans="1:28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</row>
    <row r="228" spans="1: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</row>
    <row r="229" spans="1:28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</row>
    <row r="230" spans="1:28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</row>
    <row r="231" spans="1:28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</row>
    <row r="232" spans="1:28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</row>
    <row r="233" spans="1:28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</row>
    <row r="234" spans="1:28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</row>
    <row r="235" spans="1:28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</row>
    <row r="236" spans="1:28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</row>
    <row r="237" spans="1:28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</row>
    <row r="238" spans="1:2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</row>
    <row r="239" spans="1:28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</row>
    <row r="240" spans="1:28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</row>
    <row r="241" spans="1:28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</row>
    <row r="242" spans="1:28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</row>
    <row r="243" spans="1:28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</row>
    <row r="244" spans="1:28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</row>
    <row r="245" spans="1:28" ht="15.75" customHeight="1"/>
    <row r="246" spans="1:28" ht="15.75" customHeight="1"/>
    <row r="247" spans="1:28" ht="15.75" customHeight="1"/>
    <row r="248" spans="1:28" ht="15.75" customHeight="1"/>
    <row r="249" spans="1:28" ht="15.75" customHeight="1"/>
    <row r="250" spans="1:28" ht="15.75" customHeight="1"/>
    <row r="251" spans="1:28" ht="15.75" customHeight="1"/>
    <row r="252" spans="1:28" ht="15.75" customHeight="1"/>
    <row r="253" spans="1:28" ht="15.75" customHeight="1"/>
    <row r="254" spans="1:28" ht="15.75" customHeight="1"/>
    <row r="255" spans="1:28" ht="15.75" customHeight="1"/>
    <row r="256" spans="1:2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H11:I11"/>
    <mergeCell ref="H38:M38"/>
    <mergeCell ref="H29:M29"/>
    <mergeCell ref="A19:F19"/>
    <mergeCell ref="A11:F11"/>
    <mergeCell ref="D27:E27"/>
    <mergeCell ref="A29:F29"/>
    <mergeCell ref="A38:F38"/>
  </mergeCell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1000"/>
  <sheetViews>
    <sheetView showGridLines="0" workbookViewId="0">
      <selection activeCell="B9" sqref="B9"/>
    </sheetView>
  </sheetViews>
  <sheetFormatPr baseColWidth="10" defaultColWidth="14.5" defaultRowHeight="15" customHeight="1" x14ac:dyDescent="0"/>
  <cols>
    <col min="1" max="1" width="34.83203125" customWidth="1"/>
    <col min="2" max="6" width="14.5" customWidth="1"/>
  </cols>
  <sheetData>
    <row r="1" spans="1:12" ht="15.75" customHeight="1">
      <c r="A1" s="276" t="s">
        <v>423</v>
      </c>
      <c r="B1" s="250"/>
      <c r="C1" s="250"/>
      <c r="D1" s="250"/>
      <c r="E1" s="250"/>
      <c r="F1" s="243"/>
      <c r="G1" s="48"/>
      <c r="H1" s="48"/>
      <c r="I1" s="48"/>
      <c r="J1" s="48"/>
      <c r="K1" s="48"/>
      <c r="L1" s="48"/>
    </row>
    <row r="2" spans="1:12" ht="15.75" customHeight="1">
      <c r="A2" s="221"/>
      <c r="B2" s="221">
        <v>1</v>
      </c>
      <c r="C2" s="221">
        <v>2</v>
      </c>
      <c r="D2" s="221">
        <v>3</v>
      </c>
      <c r="E2" s="221">
        <v>4</v>
      </c>
      <c r="F2" s="221">
        <v>5</v>
      </c>
      <c r="G2" s="48"/>
      <c r="H2" s="48"/>
      <c r="I2" s="48"/>
      <c r="J2" s="48"/>
      <c r="K2" s="48"/>
      <c r="L2" s="48"/>
    </row>
    <row r="3" spans="1:12" ht="15.75" customHeight="1">
      <c r="A3" s="231" t="s">
        <v>425</v>
      </c>
      <c r="B3" s="232">
        <f>PRINCIPAL!B3</f>
        <v>250</v>
      </c>
      <c r="C3" s="232">
        <f>PRINCIPAL!B4</f>
        <v>265</v>
      </c>
      <c r="D3" s="232">
        <f>PRINCIPAL!B5</f>
        <v>281</v>
      </c>
      <c r="E3" s="232">
        <f>PRINCIPAL!B6</f>
        <v>298</v>
      </c>
      <c r="F3" s="232">
        <f>PRINCIPAL!B7</f>
        <v>316</v>
      </c>
      <c r="G3" s="48"/>
      <c r="H3" s="48"/>
      <c r="I3" s="48"/>
      <c r="J3" s="48"/>
      <c r="K3" s="48"/>
      <c r="L3" s="48"/>
    </row>
    <row r="4" spans="1:12" ht="15.75" customHeight="1">
      <c r="A4" s="231" t="s">
        <v>426</v>
      </c>
      <c r="B4" s="232">
        <f>$B$3/12</f>
        <v>20.833333333333332</v>
      </c>
      <c r="C4" s="232">
        <f>$C$3/12</f>
        <v>22.083333333333332</v>
      </c>
      <c r="D4" s="232">
        <f>$D$3/12</f>
        <v>23.416666666666668</v>
      </c>
      <c r="E4" s="232">
        <f>$E$3/12</f>
        <v>24.833333333333332</v>
      </c>
      <c r="F4" s="232">
        <f>$F$3/12</f>
        <v>26.333333333333332</v>
      </c>
      <c r="G4" s="48"/>
      <c r="H4" s="48"/>
      <c r="I4" s="48"/>
      <c r="J4" s="48"/>
      <c r="K4" s="48"/>
      <c r="L4" s="48"/>
    </row>
    <row r="5" spans="1:12" ht="15.75" customHeight="1">
      <c r="A5" s="231" t="s">
        <v>428</v>
      </c>
      <c r="B5" s="234">
        <f>B4/'Capacidad Logistica'!B15</f>
        <v>0.69444444444444442</v>
      </c>
      <c r="C5" s="234">
        <f>C4/'Capacidad Logistica'!B15</f>
        <v>0.73611111111111105</v>
      </c>
      <c r="D5" s="234">
        <f>D4/'Capacidad Logistica'!B15+0.2</f>
        <v>0.98055555555555562</v>
      </c>
      <c r="E5" s="234">
        <f>E4/'Capacidad Logistica'!B15+0.2</f>
        <v>1.0277777777777777</v>
      </c>
      <c r="F5" s="234">
        <f>F4/'Capacidad Logistica'!B15+0.2</f>
        <v>1.0777777777777777</v>
      </c>
      <c r="G5" s="48"/>
      <c r="H5" s="48"/>
      <c r="I5" s="48"/>
      <c r="J5" s="48"/>
      <c r="K5" s="48"/>
      <c r="L5" s="48"/>
    </row>
    <row r="6" spans="1:12" ht="15.75" customHeight="1">
      <c r="A6" s="231" t="s">
        <v>436</v>
      </c>
      <c r="B6" s="234">
        <f>B5/'Capacidad Logistica'!$B$25+0.2</f>
        <v>0.20631313131313134</v>
      </c>
      <c r="C6" s="234">
        <f>C5/'Capacidad Logistica'!$B$25+0.2</f>
        <v>0.2066919191919192</v>
      </c>
      <c r="D6" s="234">
        <f>D5/'Capacidad Logistica'!$B$25+0.2</f>
        <v>0.20891414141414141</v>
      </c>
      <c r="E6" s="234">
        <f>E5/'Capacidad Logistica'!$B$25+0.2</f>
        <v>0.20934343434343436</v>
      </c>
      <c r="F6" s="234">
        <f>F5/'Capacidad Logistica'!$B$25+0.2</f>
        <v>0.20979797979797982</v>
      </c>
      <c r="G6" s="48"/>
      <c r="H6" s="48"/>
      <c r="I6" s="48"/>
      <c r="J6" s="48"/>
      <c r="K6" s="48"/>
      <c r="L6" s="48"/>
    </row>
    <row r="7" spans="1:12" ht="15.75" customHeight="1">
      <c r="A7" s="237" t="s">
        <v>442</v>
      </c>
      <c r="B7" s="238" t="s">
        <v>444</v>
      </c>
      <c r="C7" s="238" t="s">
        <v>446</v>
      </c>
      <c r="D7" s="238" t="s">
        <v>446</v>
      </c>
      <c r="E7" s="238" t="s">
        <v>446</v>
      </c>
      <c r="F7" s="238" t="s">
        <v>447</v>
      </c>
      <c r="G7" s="48"/>
      <c r="H7" s="48"/>
      <c r="I7" s="48"/>
      <c r="J7" s="48"/>
      <c r="K7" s="48"/>
      <c r="L7" s="48"/>
    </row>
    <row r="8" spans="1:12" ht="15.75" customHeight="1">
      <c r="A8" s="231" t="s">
        <v>448</v>
      </c>
      <c r="B8" s="234">
        <f>B4*2</f>
        <v>41.666666666666664</v>
      </c>
      <c r="C8" s="234">
        <f t="shared" ref="C8:F8" si="0">C4</f>
        <v>22.083333333333332</v>
      </c>
      <c r="D8" s="234">
        <f t="shared" si="0"/>
        <v>23.416666666666668</v>
      </c>
      <c r="E8" s="234">
        <f t="shared" si="0"/>
        <v>24.833333333333332</v>
      </c>
      <c r="F8" s="234">
        <f t="shared" si="0"/>
        <v>26.333333333333332</v>
      </c>
      <c r="G8" s="48"/>
      <c r="H8" s="48"/>
      <c r="I8" s="48"/>
      <c r="J8" s="48"/>
      <c r="K8" s="48"/>
      <c r="L8" s="48"/>
    </row>
    <row r="9" spans="1:12" ht="15.75" customHeight="1">
      <c r="A9" s="231" t="s">
        <v>449</v>
      </c>
      <c r="B9" s="234">
        <f>9+9</f>
        <v>18</v>
      </c>
      <c r="C9" s="234">
        <f t="shared" ref="C9:F9" si="1">C6</f>
        <v>0.2066919191919192</v>
      </c>
      <c r="D9" s="234">
        <f t="shared" si="1"/>
        <v>0.20891414141414141</v>
      </c>
      <c r="E9" s="234">
        <f t="shared" si="1"/>
        <v>0.20934343434343436</v>
      </c>
      <c r="F9" s="234">
        <f t="shared" si="1"/>
        <v>0.20979797979797982</v>
      </c>
      <c r="G9" s="48"/>
      <c r="H9" s="48"/>
      <c r="I9" s="48"/>
      <c r="J9" s="48"/>
      <c r="K9" s="48"/>
      <c r="L9" s="48"/>
    </row>
    <row r="10" spans="1:12" ht="15.75" customHeight="1">
      <c r="A10" s="240" t="s">
        <v>450</v>
      </c>
      <c r="B10" s="241">
        <v>40</v>
      </c>
      <c r="C10" s="241">
        <v>40</v>
      </c>
      <c r="D10" s="241">
        <v>40</v>
      </c>
      <c r="E10" s="241">
        <v>40</v>
      </c>
      <c r="F10" s="241">
        <v>40</v>
      </c>
      <c r="G10" s="48"/>
      <c r="H10" s="48"/>
      <c r="I10" s="48"/>
      <c r="J10" s="48"/>
      <c r="K10" s="48"/>
      <c r="L10" s="48"/>
    </row>
    <row r="11" spans="1:12" ht="15.75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</row>
    <row r="15" spans="1:12" ht="15.7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 ht="15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 ht="15.7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ht="15.7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ht="15.7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  <row r="24" spans="1:12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</row>
    <row r="29" spans="1:12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2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2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</row>
    <row r="34" spans="1:12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</row>
    <row r="38" spans="1:12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</row>
    <row r="42" spans="1:12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1:12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spans="1:12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</row>
    <row r="46" spans="1:12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spans="1:12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12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1:12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</row>
    <row r="50" spans="1:12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spans="1:12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spans="1:12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2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1:12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1:12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1:12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12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1:12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2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1:12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</row>
    <row r="68" spans="1:12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</row>
    <row r="69" spans="1:12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</row>
    <row r="70" spans="1:12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</row>
    <row r="71" spans="1:12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</row>
    <row r="72" spans="1:1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</row>
    <row r="73" spans="1:12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</row>
    <row r="74" spans="1:12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</row>
    <row r="75" spans="1:12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</row>
    <row r="76" spans="1:12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</row>
    <row r="77" spans="1:12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</row>
    <row r="78" spans="1:12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</row>
    <row r="79" spans="1:12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2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</row>
    <row r="81" spans="1:12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2" spans="1:1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</row>
    <row r="83" spans="1:12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</row>
    <row r="84" spans="1:12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</row>
    <row r="85" spans="1:12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</row>
    <row r="86" spans="1:12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</row>
    <row r="87" spans="1:12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</row>
    <row r="88" spans="1:12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</row>
    <row r="89" spans="1:12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</row>
    <row r="90" spans="1:12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</row>
    <row r="91" spans="1:12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</row>
    <row r="92" spans="1:1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</row>
    <row r="93" spans="1:12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</row>
    <row r="94" spans="1:12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</row>
    <row r="95" spans="1:12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</row>
    <row r="96" spans="1:12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</row>
    <row r="97" spans="1:12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</row>
    <row r="98" spans="1:12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</row>
    <row r="99" spans="1:12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</row>
    <row r="100" spans="1:12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</row>
    <row r="101" spans="1:12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</row>
    <row r="102" spans="1:1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</row>
    <row r="103" spans="1:12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</row>
    <row r="104" spans="1:12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</row>
    <row r="105" spans="1:12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</row>
    <row r="106" spans="1:12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</row>
    <row r="107" spans="1:12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</row>
    <row r="108" spans="1:12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</row>
    <row r="109" spans="1:12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</row>
    <row r="110" spans="1:12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</row>
    <row r="111" spans="1:12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</row>
    <row r="112" spans="1: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</row>
    <row r="113" spans="1:12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</row>
    <row r="114" spans="1:12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</row>
    <row r="115" spans="1:12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</row>
    <row r="116" spans="1:12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</row>
    <row r="117" spans="1:12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</row>
    <row r="118" spans="1:12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</row>
    <row r="119" spans="1:12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</row>
    <row r="120" spans="1:12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</row>
    <row r="121" spans="1:12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</row>
    <row r="122" spans="1:1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</row>
    <row r="123" spans="1:12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</row>
    <row r="124" spans="1:12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</row>
    <row r="125" spans="1:12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</row>
    <row r="126" spans="1:12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</row>
    <row r="127" spans="1:12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</row>
    <row r="128" spans="1:12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</row>
    <row r="129" spans="1:12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</row>
    <row r="130" spans="1:12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</row>
    <row r="131" spans="1:12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</row>
    <row r="132" spans="1:1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</row>
    <row r="133" spans="1:12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</row>
    <row r="134" spans="1:12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</row>
    <row r="135" spans="1:12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</row>
    <row r="136" spans="1:12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</row>
    <row r="137" spans="1:12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</row>
    <row r="138" spans="1:12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</row>
    <row r="139" spans="1:12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</row>
    <row r="140" spans="1:12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</row>
    <row r="141" spans="1:12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</row>
    <row r="142" spans="1:1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</row>
    <row r="143" spans="1:12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</row>
    <row r="144" spans="1:12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</row>
    <row r="145" spans="1:12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</row>
    <row r="146" spans="1:12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</row>
    <row r="147" spans="1:12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</row>
    <row r="148" spans="1:12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</row>
    <row r="149" spans="1:12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</row>
    <row r="150" spans="1:12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</row>
    <row r="151" spans="1:12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</row>
    <row r="152" spans="1:1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</row>
    <row r="153" spans="1:12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</row>
    <row r="154" spans="1:12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</row>
    <row r="155" spans="1:12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</row>
    <row r="156" spans="1:12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</row>
    <row r="157" spans="1:12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</row>
    <row r="158" spans="1:12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</row>
    <row r="159" spans="1:12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</row>
    <row r="160" spans="1:12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</row>
    <row r="161" spans="1:12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</row>
    <row r="162" spans="1:1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</row>
    <row r="163" spans="1:12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</row>
    <row r="164" spans="1:12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</row>
    <row r="165" spans="1:12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</row>
    <row r="166" spans="1:12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</row>
    <row r="167" spans="1:12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</row>
    <row r="168" spans="1:12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</row>
    <row r="169" spans="1:12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</row>
    <row r="170" spans="1:12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</row>
    <row r="171" spans="1:12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</row>
    <row r="172" spans="1:1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</row>
    <row r="173" spans="1:12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</row>
    <row r="174" spans="1:12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</row>
    <row r="175" spans="1:12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</row>
    <row r="176" spans="1:12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</row>
    <row r="177" spans="1:12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</row>
    <row r="178" spans="1:12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</row>
    <row r="179" spans="1:12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</row>
    <row r="180" spans="1:12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</row>
    <row r="181" spans="1:12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</row>
    <row r="182" spans="1:1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</row>
    <row r="183" spans="1:12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</row>
    <row r="184" spans="1:12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</row>
    <row r="185" spans="1:12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</row>
    <row r="186" spans="1:12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</row>
    <row r="187" spans="1:12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</row>
    <row r="188" spans="1:12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</row>
    <row r="189" spans="1:12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</row>
    <row r="190" spans="1:12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</row>
    <row r="191" spans="1:12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</row>
    <row r="192" spans="1:1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</row>
    <row r="193" spans="1:12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</row>
    <row r="194" spans="1:12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</row>
    <row r="195" spans="1:12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</row>
    <row r="196" spans="1:12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</row>
    <row r="197" spans="1:12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</row>
    <row r="198" spans="1:12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</row>
    <row r="199" spans="1:12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</row>
    <row r="200" spans="1:12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</row>
    <row r="201" spans="1:12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</row>
    <row r="202" spans="1:1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</row>
    <row r="203" spans="1:12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</row>
    <row r="204" spans="1:12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</row>
    <row r="205" spans="1:12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</row>
    <row r="206" spans="1:12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</row>
    <row r="207" spans="1:12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</row>
    <row r="208" spans="1:12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</row>
    <row r="209" spans="1:12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</row>
    <row r="210" spans="1:12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</row>
    <row r="211" spans="1:12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</row>
    <row r="212" spans="1: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</row>
    <row r="213" spans="1:12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</row>
    <row r="214" spans="1:12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</row>
    <row r="215" spans="1:12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</row>
    <row r="216" spans="1:12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</row>
    <row r="217" spans="1:12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</row>
    <row r="218" spans="1:12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</row>
    <row r="219" spans="1:12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</row>
    <row r="220" spans="1:12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</row>
    <row r="221" spans="1:12" ht="15.75" customHeight="1"/>
    <row r="222" spans="1:12" ht="15.75" customHeight="1"/>
    <row r="223" spans="1:12" ht="15.75" customHeight="1"/>
    <row r="224" spans="1:1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1000"/>
  <sheetViews>
    <sheetView showGridLines="0" workbookViewId="0">
      <selection activeCell="E10" sqref="E10"/>
    </sheetView>
  </sheetViews>
  <sheetFormatPr baseColWidth="10" defaultColWidth="14.5" defaultRowHeight="15" customHeight="1" x14ac:dyDescent="0"/>
  <cols>
    <col min="1" max="1" width="2.5" customWidth="1"/>
    <col min="2" max="6" width="14.5" customWidth="1"/>
  </cols>
  <sheetData>
    <row r="1" spans="1:25" ht="11.25" customHeight="1">
      <c r="A1" s="127"/>
      <c r="B1" s="127"/>
      <c r="C1" s="127"/>
      <c r="D1" s="127"/>
      <c r="E1" s="127"/>
      <c r="F1" s="147"/>
      <c r="G1" s="147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25" ht="15.75" customHeight="1">
      <c r="A2" s="127"/>
      <c r="B2" s="277" t="s">
        <v>427</v>
      </c>
      <c r="C2" s="250"/>
      <c r="D2" s="250"/>
      <c r="E2" s="243"/>
      <c r="F2" s="278"/>
      <c r="G2" s="26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.75" customHeight="1">
      <c r="A3" s="214"/>
      <c r="B3" s="233">
        <v>2018</v>
      </c>
      <c r="C3" s="233" t="s">
        <v>429</v>
      </c>
      <c r="D3" s="233" t="s">
        <v>430</v>
      </c>
      <c r="E3" s="233" t="s">
        <v>342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 spans="1:25" ht="15.75" customHeight="1">
      <c r="A4" s="214"/>
      <c r="B4" s="233" t="s">
        <v>431</v>
      </c>
      <c r="C4" s="235">
        <v>1.6E-2</v>
      </c>
      <c r="D4" s="233">
        <v>26.2</v>
      </c>
      <c r="E4" s="236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 ht="15.75" customHeight="1">
      <c r="A5" s="214"/>
      <c r="B5" s="233" t="s">
        <v>432</v>
      </c>
      <c r="C5" s="235">
        <v>1.4999999999999999E-2</v>
      </c>
      <c r="D5" s="233">
        <v>24.5</v>
      </c>
      <c r="E5" s="236">
        <f t="shared" ref="E5:E15" si="0">(C5-C4)/C4</f>
        <v>-6.2500000000000056E-2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 ht="15.75" customHeight="1">
      <c r="A6" s="214"/>
      <c r="B6" s="233" t="s">
        <v>433</v>
      </c>
      <c r="C6" s="235">
        <v>1.2999999999999999E-2</v>
      </c>
      <c r="D6" s="233">
        <v>23.6</v>
      </c>
      <c r="E6" s="236">
        <f t="shared" si="0"/>
        <v>-0.13333333333333333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</row>
    <row r="7" spans="1:25" ht="15.75" customHeight="1">
      <c r="A7" s="214"/>
      <c r="B7" s="233" t="s">
        <v>434</v>
      </c>
      <c r="C7" s="235">
        <v>3.3000000000000002E-2</v>
      </c>
      <c r="D7" s="233">
        <v>26.1</v>
      </c>
      <c r="E7" s="236">
        <f t="shared" si="0"/>
        <v>1.5384615384615388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5.75" customHeight="1">
      <c r="A8" s="214"/>
      <c r="B8" s="233" t="s">
        <v>435</v>
      </c>
      <c r="C8" s="235">
        <v>1.6E-2</v>
      </c>
      <c r="D8" s="233">
        <v>25.8</v>
      </c>
      <c r="E8" s="236">
        <f t="shared" si="0"/>
        <v>-0.51515151515151514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 ht="15.75" customHeight="1">
      <c r="A9" s="214"/>
      <c r="B9" s="233" t="s">
        <v>437</v>
      </c>
      <c r="C9" s="235">
        <v>2.5999999999999999E-2</v>
      </c>
      <c r="D9" s="233">
        <v>26.3</v>
      </c>
      <c r="E9" s="236">
        <f t="shared" si="0"/>
        <v>0.62499999999999989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5.75" customHeight="1">
      <c r="A10" s="214"/>
      <c r="B10" s="233" t="s">
        <v>438</v>
      </c>
      <c r="C10" s="235">
        <v>2.1000000000000001E-2</v>
      </c>
      <c r="D10" s="233">
        <v>25.4</v>
      </c>
      <c r="E10" s="236">
        <f t="shared" si="0"/>
        <v>-0.19230769230769221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</row>
    <row r="11" spans="1:25" ht="15.75" customHeight="1">
      <c r="A11" s="214"/>
      <c r="B11" s="233" t="s">
        <v>439</v>
      </c>
      <c r="C11" s="235">
        <v>0.03</v>
      </c>
      <c r="D11" s="233">
        <v>26.5</v>
      </c>
      <c r="E11" s="236">
        <f t="shared" si="0"/>
        <v>0.42857142857142844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5.75" customHeight="1">
      <c r="A12" s="214"/>
      <c r="B12" s="233" t="s">
        <v>440</v>
      </c>
      <c r="C12" s="235">
        <v>2.3E-2</v>
      </c>
      <c r="D12" s="233">
        <v>27.2</v>
      </c>
      <c r="E12" s="236">
        <f t="shared" si="0"/>
        <v>-0.23333333333333331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</row>
    <row r="13" spans="1:25" ht="15.75" customHeight="1">
      <c r="A13" s="214"/>
      <c r="B13" s="233" t="s">
        <v>441</v>
      </c>
      <c r="C13" s="235">
        <v>3.6999999999999998E-2</v>
      </c>
      <c r="D13" s="233">
        <v>29.8</v>
      </c>
      <c r="E13" s="236">
        <f t="shared" si="0"/>
        <v>0.60869565217391297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5.75" customHeight="1">
      <c r="A14" s="214"/>
      <c r="B14" s="233" t="s">
        <v>443</v>
      </c>
      <c r="C14" s="235">
        <v>2.7E-2</v>
      </c>
      <c r="D14" s="233">
        <v>31</v>
      </c>
      <c r="E14" s="236">
        <f t="shared" si="0"/>
        <v>-0.27027027027027023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spans="1:25" ht="15.75" customHeight="1">
      <c r="A15" s="214"/>
      <c r="B15" s="233" t="s">
        <v>445</v>
      </c>
      <c r="C15" s="235">
        <v>3.6999999999999998E-2</v>
      </c>
      <c r="D15" s="233">
        <v>33.6</v>
      </c>
      <c r="E15" s="236">
        <f t="shared" si="0"/>
        <v>0.37037037037037029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5.75" customHeight="1">
      <c r="A16" s="214"/>
      <c r="B16" s="233"/>
      <c r="C16" s="239">
        <f>SUM(C4:C15)</f>
        <v>0.29399999999999998</v>
      </c>
      <c r="D16" s="233"/>
      <c r="E16" s="233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spans="1:25" ht="15.75" customHeight="1">
      <c r="A17" s="147"/>
      <c r="B17" s="147"/>
      <c r="C17" s="147"/>
      <c r="D17" s="147"/>
      <c r="E17" s="1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5.7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25" ht="15.7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5.7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spans="1:25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spans="1:25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spans="1:25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spans="1:25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spans="1:25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</row>
    <row r="33" spans="1:25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spans="1:25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spans="1:25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1:25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</row>
    <row r="37" spans="1:25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</row>
    <row r="38" spans="1:25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spans="1:25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</row>
    <row r="40" spans="1:25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25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</row>
    <row r="42" spans="1:25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spans="1:25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spans="1:25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1:25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</row>
    <row r="46" spans="1:25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</row>
    <row r="47" spans="1:25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</row>
    <row r="48" spans="1:25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</row>
    <row r="49" spans="1:25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</row>
    <row r="50" spans="1:25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</row>
    <row r="51" spans="1:25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</row>
    <row r="52" spans="1:25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</row>
    <row r="53" spans="1:25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</row>
    <row r="54" spans="1:25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</row>
    <row r="55" spans="1:2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</row>
    <row r="56" spans="1:25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</row>
    <row r="57" spans="1:25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</row>
    <row r="58" spans="1:25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 spans="1:25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</row>
    <row r="60" spans="1:25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spans="1:25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</row>
    <row r="62" spans="1:25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spans="1:25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</row>
    <row r="64" spans="1:25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spans="1:2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</row>
    <row r="66" spans="1:25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</row>
    <row r="67" spans="1:25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  <row r="68" spans="1:25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1:25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</row>
    <row r="70" spans="1:25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spans="1:25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1:25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spans="1:25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1:25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1:2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1:25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1:25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1:25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1:25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1:25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1:25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1:25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1:25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spans="1:25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spans="1:2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spans="1:25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spans="1:25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spans="1:25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spans="1:25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spans="1:25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spans="1:25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spans="1:25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spans="1:25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spans="1:25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1:2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spans="1:25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1:25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spans="1:25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1:25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spans="1:25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1:25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1:25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1:25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spans="1:25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spans="1:2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spans="1:25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spans="1:25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spans="1:25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spans="1:25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spans="1:25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1:25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spans="1:25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spans="1:25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spans="1:25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1:2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spans="1:25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1:25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spans="1:25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1:25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spans="1:25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1:25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spans="1:25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spans="1:25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spans="1:25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spans="1: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spans="1:25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spans="1:25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spans="1:25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spans="1:25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spans="1:25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spans="1:25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spans="1:25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spans="1:25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spans="1:25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spans="1:2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spans="1:25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spans="1:25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spans="1:25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spans="1:25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spans="1:25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spans="1:25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spans="1:25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spans="1:25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spans="1:25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spans="1:2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spans="1:25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spans="1:25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spans="1:25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spans="1:25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spans="1:25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spans="1:25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spans="1:25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spans="1:25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spans="1:25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spans="1:2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spans="1:25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spans="1:25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spans="1:25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spans="1:25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spans="1:25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spans="1:25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spans="1:25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spans="1:25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spans="1:25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spans="1:2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spans="1:25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spans="1:25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spans="1:25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spans="1:25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spans="1:25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</row>
    <row r="171" spans="1:25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</row>
    <row r="172" spans="1:25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</row>
    <row r="173" spans="1:25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</row>
    <row r="174" spans="1:25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</row>
    <row r="175" spans="1:2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</row>
    <row r="176" spans="1:25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</row>
    <row r="177" spans="1:25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</row>
    <row r="178" spans="1:25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</row>
    <row r="179" spans="1:25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</row>
    <row r="180" spans="1:25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</row>
    <row r="181" spans="1:25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</row>
    <row r="182" spans="1:25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</row>
    <row r="183" spans="1:25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</row>
    <row r="184" spans="1:25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</row>
    <row r="185" spans="1:2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</row>
    <row r="186" spans="1:25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</row>
    <row r="187" spans="1:25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 spans="1:25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</row>
    <row r="189" spans="1:25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</row>
    <row r="190" spans="1:25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</row>
    <row r="191" spans="1:25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</row>
    <row r="192" spans="1:25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</row>
    <row r="193" spans="1:25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</row>
    <row r="194" spans="1:25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</row>
    <row r="195" spans="1:2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</row>
    <row r="196" spans="1:25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</row>
    <row r="197" spans="1:25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</row>
    <row r="198" spans="1:25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</row>
    <row r="199" spans="1:25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1:25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</row>
    <row r="201" spans="1:25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</row>
    <row r="202" spans="1:25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</row>
    <row r="203" spans="1:25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</row>
    <row r="204" spans="1:25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</row>
    <row r="205" spans="1:2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</row>
    <row r="206" spans="1:25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</row>
    <row r="207" spans="1:25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</row>
    <row r="208" spans="1:25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</row>
    <row r="209" spans="1:25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</row>
    <row r="210" spans="1:25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 spans="1:25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</row>
    <row r="212" spans="1:25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</row>
    <row r="213" spans="1:25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</row>
    <row r="214" spans="1:25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</row>
    <row r="215" spans="1:2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</row>
    <row r="216" spans="1:25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</row>
    <row r="217" spans="1:25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</row>
    <row r="218" spans="1:25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</row>
    <row r="219" spans="1:25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</row>
    <row r="220" spans="1:25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F2:G2"/>
  </mergeCell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0"/>
  <sheetViews>
    <sheetView showGridLines="0" workbookViewId="0">
      <selection activeCell="C4" sqref="C4"/>
    </sheetView>
  </sheetViews>
  <sheetFormatPr baseColWidth="10" defaultColWidth="14.5" defaultRowHeight="15" customHeight="1" x14ac:dyDescent="0"/>
  <cols>
    <col min="1" max="1" width="8.1640625" customWidth="1"/>
    <col min="2" max="2" width="48.1640625" customWidth="1"/>
    <col min="3" max="4" width="19.6640625" customWidth="1"/>
    <col min="5" max="5" width="14.5" customWidth="1"/>
    <col min="6" max="6" width="30" customWidth="1"/>
    <col min="7" max="7" width="15.1640625" customWidth="1"/>
    <col min="8" max="8" width="6.5" customWidth="1"/>
    <col min="9" max="9" width="6.83203125" customWidth="1"/>
  </cols>
  <sheetData>
    <row r="1" spans="2:27" ht="15.75" customHeight="1">
      <c r="B1" s="1"/>
      <c r="C1" s="1"/>
      <c r="D1" s="1"/>
      <c r="E1" s="1"/>
      <c r="F1" s="1"/>
      <c r="G1" s="1"/>
      <c r="H1" s="1"/>
      <c r="I1" s="1"/>
      <c r="J1" s="1"/>
      <c r="K1" s="5"/>
      <c r="L1" s="6" t="s">
        <v>4</v>
      </c>
      <c r="M1" s="6" t="s">
        <v>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5.75" customHeight="1">
      <c r="B2" s="8" t="s">
        <v>7</v>
      </c>
      <c r="C2" s="1"/>
      <c r="D2" s="1"/>
      <c r="E2" s="1"/>
      <c r="F2" s="8" t="s">
        <v>8</v>
      </c>
      <c r="G2" s="1"/>
      <c r="H2" s="1"/>
      <c r="I2" s="1"/>
      <c r="J2" s="1"/>
      <c r="K2" s="10" t="s">
        <v>9</v>
      </c>
      <c r="L2" s="20" t="e">
        <f>1+C15</f>
        <v>#DIV/0!</v>
      </c>
      <c r="M2" s="23">
        <f>1+C13</f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.75" customHeight="1">
      <c r="B3" s="10" t="s">
        <v>21</v>
      </c>
      <c r="C3" s="25"/>
      <c r="D3" s="1"/>
      <c r="E3" s="1"/>
      <c r="F3" s="10" t="s">
        <v>22</v>
      </c>
      <c r="G3" s="28" t="e">
        <f>(C19/L2)+(C20/L3)+(C21/L4)+(C22/L5)+(C23/L6)</f>
        <v>#DIV/0!</v>
      </c>
      <c r="H3" s="1"/>
      <c r="I3" s="1"/>
      <c r="J3" s="1"/>
      <c r="K3" s="10" t="s">
        <v>23</v>
      </c>
      <c r="L3" s="10" t="e">
        <f>POWER(1+C15,2)</f>
        <v>#DIV/0!</v>
      </c>
      <c r="M3" s="10">
        <f>POWER(1+C13,2)</f>
        <v>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75" customHeight="1">
      <c r="B4" s="10" t="s">
        <v>24</v>
      </c>
      <c r="C4" s="25"/>
      <c r="D4" s="1"/>
      <c r="E4" s="1"/>
      <c r="F4" s="10" t="s">
        <v>25</v>
      </c>
      <c r="G4" s="28" t="e">
        <f>C18/-1</f>
        <v>#DIV/0!</v>
      </c>
      <c r="H4" s="1"/>
      <c r="I4" s="1"/>
      <c r="J4" s="1"/>
      <c r="K4" s="10" t="s">
        <v>26</v>
      </c>
      <c r="L4" s="10" t="e">
        <f>POWER(1+$C$15,3)</f>
        <v>#DIV/0!</v>
      </c>
      <c r="M4" s="10">
        <f>POWER(1+$C$13,3)</f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75" customHeight="1">
      <c r="B5" s="10" t="s">
        <v>30</v>
      </c>
      <c r="C5" s="35"/>
      <c r="D5" s="37"/>
      <c r="E5" s="1"/>
      <c r="F5" s="6" t="s">
        <v>32</v>
      </c>
      <c r="G5" s="40" t="e">
        <f>G3/G4</f>
        <v>#DIV/0!</v>
      </c>
      <c r="H5" s="1"/>
      <c r="I5" s="1"/>
      <c r="J5" s="1"/>
      <c r="K5" s="10" t="s">
        <v>35</v>
      </c>
      <c r="L5" s="10" t="e">
        <f>POWER(1+$C$15,4)</f>
        <v>#DIV/0!</v>
      </c>
      <c r="M5" s="10">
        <f>POWER(1+$C$13,4)</f>
        <v>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.75" customHeight="1">
      <c r="B6" s="10" t="s">
        <v>37</v>
      </c>
      <c r="C6" s="49"/>
      <c r="D6" s="1"/>
      <c r="E6" s="1"/>
      <c r="F6" s="1"/>
      <c r="G6" s="1"/>
      <c r="H6" s="1"/>
      <c r="I6" s="1"/>
      <c r="J6" s="1"/>
      <c r="K6" s="10" t="s">
        <v>42</v>
      </c>
      <c r="L6" s="10" t="e">
        <f>POWER(1+$C$15,5)</f>
        <v>#DIV/0!</v>
      </c>
      <c r="M6" s="10">
        <f>POWER(1+$C$13,5)</f>
        <v>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5.75" customHeight="1">
      <c r="B7" s="52" t="s">
        <v>46</v>
      </c>
      <c r="C7" s="56">
        <f>C3+C6*(C4-C3)+C5</f>
        <v>0</v>
      </c>
      <c r="D7" s="1"/>
      <c r="E7" s="5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5.75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15.75" customHeight="1">
      <c r="B9" s="8" t="s">
        <v>53</v>
      </c>
      <c r="C9" s="1"/>
      <c r="D9" s="1"/>
      <c r="E9" s="1"/>
      <c r="F9" s="8" t="s">
        <v>54</v>
      </c>
      <c r="G9" s="1"/>
      <c r="H9" s="1"/>
      <c r="I9" s="1"/>
      <c r="J9" s="1"/>
      <c r="K9" s="1"/>
      <c r="L9" s="5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5.75" customHeight="1">
      <c r="B10" s="10" t="s">
        <v>57</v>
      </c>
      <c r="C10" s="60">
        <f>EERR!B34</f>
        <v>21590</v>
      </c>
      <c r="D10" s="1"/>
      <c r="E10" s="1"/>
      <c r="F10" s="10" t="s">
        <v>59</v>
      </c>
      <c r="G10" s="61" t="e">
        <f>(C18+C19)</f>
        <v>#DIV/0!</v>
      </c>
      <c r="H10" s="62">
        <v>1</v>
      </c>
      <c r="I10" s="63" t="s">
        <v>62</v>
      </c>
      <c r="J10" s="1"/>
      <c r="K10" s="1"/>
      <c r="L10" s="5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5.75" customHeight="1">
      <c r="B11" s="10" t="s">
        <v>63</v>
      </c>
      <c r="C11" s="60" t="e">
        <f>-EERR!C55</f>
        <v>#DIV/0!</v>
      </c>
      <c r="D11" s="1"/>
      <c r="E11" s="1"/>
      <c r="F11" s="64" t="s">
        <v>66</v>
      </c>
      <c r="G11" s="65" t="e">
        <f t="shared" ref="G11:G12" si="0">G10+C20</f>
        <v>#DIV/0!</v>
      </c>
      <c r="H11" s="66">
        <v>2</v>
      </c>
      <c r="I11" s="67" t="s">
        <v>72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15.75" customHeight="1">
      <c r="B12" s="10" t="s">
        <v>76</v>
      </c>
      <c r="C12" s="68">
        <f>PRINCIPAL!B17</f>
        <v>0</v>
      </c>
      <c r="D12" s="1"/>
      <c r="E12" s="1"/>
      <c r="F12" s="64" t="s">
        <v>79</v>
      </c>
      <c r="G12" s="65" t="e">
        <f t="shared" si="0"/>
        <v>#DIV/0!</v>
      </c>
      <c r="H12" s="70" t="e">
        <f>G11/C21*12</f>
        <v>#DIV/0!</v>
      </c>
      <c r="I12" s="67" t="s">
        <v>87</v>
      </c>
      <c r="J12" s="1"/>
      <c r="K12" s="5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5.75" customHeight="1">
      <c r="B13" s="10" t="s">
        <v>89</v>
      </c>
      <c r="C13" s="68">
        <f>C7</f>
        <v>0</v>
      </c>
      <c r="D13" s="1"/>
      <c r="E13" s="1"/>
      <c r="F13" s="72" t="s">
        <v>92</v>
      </c>
      <c r="G13" s="249" t="s">
        <v>94</v>
      </c>
      <c r="H13" s="250"/>
      <c r="I13" s="243"/>
      <c r="J13" s="1"/>
      <c r="K13" s="5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15.75" customHeight="1">
      <c r="B14" s="10" t="s">
        <v>97</v>
      </c>
      <c r="C14" s="75">
        <f>F.INV.AF!C19</f>
        <v>0.35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15.75" customHeight="1">
      <c r="B15" s="52" t="s">
        <v>98</v>
      </c>
      <c r="C15" s="56" t="e">
        <f>(C12*(C10/(C10+C11))*(1-C14))+(C13*(C11/(C10+C11)))</f>
        <v>#DIV/0!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5.75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B17" s="8" t="s">
        <v>100</v>
      </c>
      <c r="C17" s="1"/>
      <c r="D17" s="1"/>
      <c r="E17" s="1"/>
      <c r="F17" s="8" t="s">
        <v>101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B18" s="10" t="s">
        <v>102</v>
      </c>
      <c r="C18" s="28" t="e">
        <f>-'Inversion Inicial '!D29</f>
        <v>#DIV/0!</v>
      </c>
      <c r="D18" s="1"/>
      <c r="E18" s="1"/>
      <c r="F18" s="10" t="s">
        <v>59</v>
      </c>
      <c r="G18" s="78" t="e">
        <f>C18+(C19/M2)</f>
        <v>#DIV/0!</v>
      </c>
      <c r="H18" s="79"/>
      <c r="I18" s="6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B19" s="10" t="s">
        <v>105</v>
      </c>
      <c r="C19" s="81" t="e">
        <f>EERR!C$54/L2</f>
        <v>#DIV/0!</v>
      </c>
      <c r="D19" s="1"/>
      <c r="E19" s="1"/>
      <c r="F19" s="10" t="s">
        <v>66</v>
      </c>
      <c r="G19" s="28" t="e">
        <f t="shared" ref="G19:G20" si="1">G18+(C20/M3)</f>
        <v>#DIV/0!</v>
      </c>
      <c r="H19" s="82">
        <v>2</v>
      </c>
      <c r="I19" s="84" t="s">
        <v>72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B20" s="10" t="s">
        <v>116</v>
      </c>
      <c r="C20" s="81" t="e">
        <f>EERR!D$54/L3</f>
        <v>#DIV/0!</v>
      </c>
      <c r="D20" s="1"/>
      <c r="E20" s="1"/>
      <c r="F20" s="64" t="s">
        <v>79</v>
      </c>
      <c r="G20" s="86" t="e">
        <f t="shared" si="1"/>
        <v>#DIV/0!</v>
      </c>
      <c r="H20" s="87" t="e">
        <f>-(G19/(C21/M4))*12</f>
        <v>#DIV/0!</v>
      </c>
      <c r="I20" s="67" t="s">
        <v>119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B21" s="10" t="s">
        <v>120</v>
      </c>
      <c r="C21" s="81" t="e">
        <f>EERR!E$54/L4</f>
        <v>#DIV/0!</v>
      </c>
      <c r="D21" s="1"/>
      <c r="E21" s="1"/>
      <c r="F21" s="72" t="s">
        <v>92</v>
      </c>
      <c r="G21" s="249" t="s">
        <v>122</v>
      </c>
      <c r="H21" s="250"/>
      <c r="I21" s="24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B22" s="10" t="s">
        <v>124</v>
      </c>
      <c r="C22" s="81" t="e">
        <f>EERR!F$54/L5</f>
        <v>#DIV/0!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B23" s="10" t="s">
        <v>125</v>
      </c>
      <c r="C23" s="81" t="e">
        <f>EERR!G$54/L6</f>
        <v>#DIV/0!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B24" s="52" t="s">
        <v>127</v>
      </c>
      <c r="C24" s="40" t="e">
        <f>SUM(C18:C23)</f>
        <v>#DIV/0!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B26" s="52" t="s">
        <v>128</v>
      </c>
      <c r="C26" s="68" t="e">
        <f>IRR(C18:C23)</f>
        <v>#VALUE!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93" t="s">
        <v>131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5.75" customHeight="1"/>
    <row r="228" spans="2:27" ht="15.75" customHeight="1"/>
    <row r="229" spans="2:27" ht="15.75" customHeight="1"/>
    <row r="230" spans="2:27" ht="15.75" customHeight="1"/>
    <row r="231" spans="2:27" ht="15.75" customHeight="1"/>
    <row r="232" spans="2:27" ht="15.75" customHeight="1"/>
    <row r="233" spans="2:27" ht="15.75" customHeight="1"/>
    <row r="234" spans="2:27" ht="15.75" customHeight="1"/>
    <row r="235" spans="2:27" ht="15.75" customHeight="1"/>
    <row r="236" spans="2:27" ht="15.75" customHeight="1"/>
    <row r="237" spans="2:27" ht="15.75" customHeight="1"/>
    <row r="238" spans="2:27" ht="15.75" customHeight="1"/>
    <row r="239" spans="2:27" ht="15.75" customHeight="1"/>
    <row r="240" spans="2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21:I21"/>
    <mergeCell ref="G13:I13"/>
  </mergeCells>
  <pageMargins left="0.7" right="0.7" top="0.75" bottom="0.75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showGridLines="0" workbookViewId="0">
      <selection activeCell="C33" sqref="C33"/>
    </sheetView>
  </sheetViews>
  <sheetFormatPr baseColWidth="10" defaultColWidth="14.5" defaultRowHeight="15" customHeight="1" x14ac:dyDescent="0"/>
  <cols>
    <col min="1" max="1" width="43.33203125" customWidth="1"/>
    <col min="2" max="2" width="14.5" customWidth="1"/>
    <col min="3" max="3" width="21.5" customWidth="1"/>
    <col min="4" max="4" width="17.5" customWidth="1"/>
    <col min="5" max="5" width="19.1640625" customWidth="1"/>
    <col min="6" max="6" width="40.5" customWidth="1"/>
    <col min="7" max="7" width="17.5" customWidth="1"/>
    <col min="8" max="8" width="20.6640625" customWidth="1"/>
    <col min="9" max="9" width="17.5" customWidth="1"/>
    <col min="11" max="11" width="36.6640625" customWidth="1"/>
    <col min="12" max="12" width="13" customWidth="1"/>
    <col min="13" max="13" width="20.6640625" customWidth="1"/>
    <col min="14" max="14" width="17.5" customWidth="1"/>
    <col min="16" max="16" width="36.6640625" customWidth="1"/>
    <col min="17" max="17" width="13" customWidth="1"/>
    <col min="18" max="18" width="20.6640625" customWidth="1"/>
    <col min="19" max="19" width="17.5" customWidth="1"/>
    <col min="21" max="21" width="36.6640625" customWidth="1"/>
    <col min="23" max="23" width="20.6640625" customWidth="1"/>
    <col min="24" max="24" width="17.5" customWidth="1"/>
  </cols>
  <sheetData>
    <row r="1" spans="1:26" ht="15.75" customHeight="1">
      <c r="A1" s="2" t="s">
        <v>1</v>
      </c>
      <c r="B1" s="2"/>
      <c r="C1" s="13"/>
      <c r="D1" s="13" t="s">
        <v>13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5"/>
      <c r="B2" s="15" t="s">
        <v>2</v>
      </c>
      <c r="C2" s="17" t="s">
        <v>15</v>
      </c>
      <c r="D2" s="17" t="s">
        <v>17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9" t="s">
        <v>18</v>
      </c>
      <c r="B3" s="26"/>
      <c r="C3" s="27"/>
      <c r="D3" s="27">
        <f>B3*C3</f>
        <v>0</v>
      </c>
      <c r="E3" s="31"/>
      <c r="F3" s="3"/>
      <c r="G3" s="3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9" t="s">
        <v>27</v>
      </c>
      <c r="B4" s="26"/>
      <c r="C4" s="27"/>
      <c r="D4" s="27">
        <f>D5-D3</f>
        <v>0</v>
      </c>
      <c r="E4" s="3"/>
      <c r="F4" s="3"/>
      <c r="G4" s="3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9" t="s">
        <v>29</v>
      </c>
      <c r="B5" s="26"/>
      <c r="C5" s="27"/>
      <c r="D5" s="27">
        <f>D3/1.1</f>
        <v>0</v>
      </c>
      <c r="E5" s="3"/>
      <c r="F5" s="39" t="s">
        <v>31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9" t="s">
        <v>34</v>
      </c>
      <c r="B6" s="26"/>
      <c r="C6" s="27"/>
      <c r="D6" s="27">
        <f>-(D5-(D5/1.8))</f>
        <v>0</v>
      </c>
      <c r="E6" s="3"/>
      <c r="F6" s="24" t="s">
        <v>36</v>
      </c>
      <c r="G6" s="42">
        <v>0.15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4" t="s">
        <v>38</v>
      </c>
      <c r="B7" s="44"/>
      <c r="C7" s="47" t="e">
        <f>D7/B3</f>
        <v>#DIV/0!</v>
      </c>
      <c r="D7" s="47">
        <f>D5+D6</f>
        <v>0</v>
      </c>
      <c r="E7" s="3"/>
      <c r="F7" s="24" t="s">
        <v>39</v>
      </c>
      <c r="G7" s="42">
        <v>0.25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9" t="s">
        <v>40</v>
      </c>
      <c r="B8" s="26"/>
      <c r="C8" s="27"/>
      <c r="D8" s="27">
        <f>-(D7-(D7/1.1125))</f>
        <v>0</v>
      </c>
      <c r="E8" s="3"/>
      <c r="F8" s="24" t="s">
        <v>41</v>
      </c>
      <c r="G8" s="50">
        <f>0.15*0.75</f>
        <v>0.11249999999999999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9" t="s">
        <v>43</v>
      </c>
      <c r="B9" s="26"/>
      <c r="C9" s="27"/>
      <c r="D9" s="27"/>
      <c r="E9" s="3"/>
      <c r="F9" s="39" t="s">
        <v>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24" t="s">
        <v>45</v>
      </c>
      <c r="B10" s="44"/>
      <c r="C10" s="47" t="e">
        <f>D10/B3</f>
        <v>#DIV/0!</v>
      </c>
      <c r="D10" s="47">
        <f>D7+D8+D9</f>
        <v>0</v>
      </c>
      <c r="E10" s="3"/>
      <c r="F10" s="51"/>
      <c r="G10" s="53" t="s">
        <v>47</v>
      </c>
      <c r="H10" s="54" t="s">
        <v>48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9" t="s">
        <v>49</v>
      </c>
      <c r="B11" s="26"/>
      <c r="C11" s="27"/>
      <c r="D11" s="27"/>
      <c r="E11" s="3"/>
      <c r="F11" s="51" t="s">
        <v>50</v>
      </c>
      <c r="G11" s="55">
        <v>6.42</v>
      </c>
      <c r="H11" s="19">
        <v>170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24" t="s">
        <v>51</v>
      </c>
      <c r="B12" s="44"/>
      <c r="C12" s="47" t="e">
        <f>D12/B3</f>
        <v>#DIV/0!</v>
      </c>
      <c r="D12" s="47">
        <f>D10+D11</f>
        <v>0</v>
      </c>
      <c r="E12" s="3"/>
      <c r="F12" s="51" t="s">
        <v>52</v>
      </c>
      <c r="G12" s="58">
        <f>(H12*G11)/H11</f>
        <v>2.2658823529411762</v>
      </c>
      <c r="H12" s="19">
        <v>60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9" t="s">
        <v>55</v>
      </c>
      <c r="B13" s="26"/>
      <c r="C13" s="27"/>
      <c r="D13" s="27"/>
      <c r="E13" s="3"/>
      <c r="F13" s="51" t="s">
        <v>56</v>
      </c>
      <c r="G13" s="58">
        <f>G12*1.5</f>
        <v>3.3988235294117644</v>
      </c>
      <c r="H13" s="1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24" t="s">
        <v>58</v>
      </c>
      <c r="B14" s="44"/>
      <c r="C14" s="47" t="e">
        <f>D14/B3</f>
        <v>#DIV/0!</v>
      </c>
      <c r="D14" s="47">
        <f>D12+D13</f>
        <v>0</v>
      </c>
      <c r="E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9" t="s">
        <v>60</v>
      </c>
      <c r="B15" s="26"/>
      <c r="C15" s="27"/>
      <c r="D15" s="27">
        <f>-(D14*3)/PRINCIPAL!B11</f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9" t="s">
        <v>61</v>
      </c>
      <c r="B16" s="26"/>
      <c r="C16" s="27"/>
      <c r="D16" s="27">
        <f>-(D14-(D14/1.025))</f>
        <v>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9" t="s">
        <v>64</v>
      </c>
      <c r="B17" s="26"/>
      <c r="C17" s="27"/>
      <c r="D17" s="2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9" t="s">
        <v>65</v>
      </c>
      <c r="B18" s="26"/>
      <c r="C18" s="27"/>
      <c r="D18" s="2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9" t="s">
        <v>67</v>
      </c>
      <c r="B19" s="26"/>
      <c r="C19" s="27"/>
      <c r="D19" s="2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9" t="s">
        <v>68</v>
      </c>
      <c r="B20" s="26"/>
      <c r="C20" s="27"/>
      <c r="D20" s="27">
        <f>D25-(D25/1.005)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9" t="s">
        <v>70</v>
      </c>
      <c r="B21" s="26"/>
      <c r="C21" s="27"/>
      <c r="D21" s="27">
        <v>-10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9" t="s">
        <v>71</v>
      </c>
      <c r="B22" s="26"/>
      <c r="C22" s="27"/>
      <c r="D22" s="27">
        <v>-22.4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9" t="s">
        <v>73</v>
      </c>
      <c r="B23" s="26"/>
      <c r="C23" s="27"/>
      <c r="D23" s="27">
        <v>-125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9" t="s">
        <v>74</v>
      </c>
      <c r="B24" s="26"/>
      <c r="C24" s="27"/>
      <c r="D24" s="27">
        <v>-300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9" t="s">
        <v>75</v>
      </c>
      <c r="B25" s="26"/>
      <c r="C25" s="27"/>
      <c r="D25" s="27">
        <f>-(D10-(D10/1.01))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9" t="s">
        <v>77</v>
      </c>
      <c r="B26" s="26"/>
      <c r="C26" s="27"/>
      <c r="D26" s="27">
        <f>-(360+12+6)/PRINCIPAL!B11</f>
        <v>-4.7095761381475665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9" t="s">
        <v>80</v>
      </c>
      <c r="B27" s="26"/>
      <c r="C27" s="27"/>
      <c r="D27" s="2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9" t="s">
        <v>81</v>
      </c>
      <c r="B28" s="26"/>
      <c r="C28" s="27"/>
      <c r="D28" s="2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9" t="s">
        <v>82</v>
      </c>
      <c r="B29" s="26"/>
      <c r="C29" s="27"/>
      <c r="D29" s="2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9" t="s">
        <v>83</v>
      </c>
      <c r="B30" s="26"/>
      <c r="C30" s="27"/>
      <c r="D30" s="2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9" t="s">
        <v>84</v>
      </c>
      <c r="B31" s="26"/>
      <c r="C31" s="27"/>
      <c r="D31" s="2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9" t="s">
        <v>85</v>
      </c>
      <c r="B32" s="26"/>
      <c r="C32" s="27"/>
      <c r="D32" s="2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9" t="s">
        <v>86</v>
      </c>
      <c r="B33" s="26"/>
      <c r="C33" s="27"/>
      <c r="D33" s="27">
        <v>-26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9" t="s">
        <v>88</v>
      </c>
      <c r="B34" s="26"/>
      <c r="C34" s="27"/>
      <c r="D34" s="27">
        <v>-250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9" t="s">
        <v>90</v>
      </c>
      <c r="B35" s="26"/>
      <c r="C35" s="27"/>
      <c r="D35" s="2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71" t="s">
        <v>91</v>
      </c>
      <c r="B36" s="26"/>
      <c r="C36" s="27"/>
      <c r="D36" s="2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9" t="s">
        <v>93</v>
      </c>
      <c r="B37" s="26"/>
      <c r="C37" s="27"/>
      <c r="D37" s="27">
        <f>-D52</f>
        <v>-339.88687049911539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9" t="s">
        <v>95</v>
      </c>
      <c r="B38" s="26">
        <f>1150/PRINCIPAL!B10</f>
        <v>17.692307692307693</v>
      </c>
      <c r="C38" s="74"/>
      <c r="D38" s="27">
        <f>-(B38/'Capacidad Logistica'!B25/'Capacidad Logistica'!B15)*'Demanda '!B8</f>
        <v>-0.22338772338772339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9" t="s">
        <v>99</v>
      </c>
      <c r="B39" s="26"/>
      <c r="C39" s="27"/>
      <c r="D39" s="77">
        <f>-D48</f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9" t="s">
        <v>103</v>
      </c>
      <c r="B40" s="26"/>
      <c r="C40" s="27">
        <f>5.5097/PRINCIPAL!B11</f>
        <v>6.8646432932147214E-2</v>
      </c>
      <c r="D40" s="27">
        <f>-B3*C40</f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24" t="s">
        <v>104</v>
      </c>
      <c r="B41" s="44"/>
      <c r="C41" s="47" t="e">
        <f>D41/B3</f>
        <v>#DIV/0!</v>
      </c>
      <c r="D41" s="47">
        <f>SUM(D15:D40)+D14</f>
        <v>-1078.2198343606508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2"/>
      <c r="C42" s="80"/>
      <c r="D42" s="8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251" t="s">
        <v>106</v>
      </c>
      <c r="B43" s="250"/>
      <c r="C43" s="250"/>
      <c r="D43" s="243"/>
      <c r="E43" s="3"/>
      <c r="F43" s="251" t="s">
        <v>108</v>
      </c>
      <c r="G43" s="250"/>
      <c r="H43" s="250"/>
      <c r="I43" s="243"/>
      <c r="J43" s="3"/>
      <c r="K43" s="251" t="s">
        <v>109</v>
      </c>
      <c r="L43" s="250"/>
      <c r="M43" s="250"/>
      <c r="N43" s="243"/>
      <c r="O43" s="3"/>
      <c r="P43" s="251" t="s">
        <v>110</v>
      </c>
      <c r="Q43" s="250"/>
      <c r="R43" s="250"/>
      <c r="S43" s="243"/>
      <c r="T43" s="3"/>
      <c r="U43" s="251" t="s">
        <v>111</v>
      </c>
      <c r="V43" s="250"/>
      <c r="W43" s="250"/>
      <c r="X43" s="243"/>
      <c r="Y43" s="3"/>
      <c r="Z43" s="3"/>
    </row>
    <row r="44" spans="1:26" ht="15.75" customHeight="1">
      <c r="A44" s="83" t="s">
        <v>112</v>
      </c>
      <c r="B44" s="15" t="s">
        <v>2</v>
      </c>
      <c r="C44" s="17" t="s">
        <v>113</v>
      </c>
      <c r="D44" s="17" t="s">
        <v>114</v>
      </c>
      <c r="E44" s="3"/>
      <c r="F44" s="83" t="s">
        <v>112</v>
      </c>
      <c r="G44" s="15" t="s">
        <v>2</v>
      </c>
      <c r="H44" s="17" t="s">
        <v>113</v>
      </c>
      <c r="I44" s="17" t="s">
        <v>114</v>
      </c>
      <c r="J44" s="3"/>
      <c r="K44" s="83" t="s">
        <v>112</v>
      </c>
      <c r="L44" s="15" t="s">
        <v>2</v>
      </c>
      <c r="M44" s="17" t="s">
        <v>113</v>
      </c>
      <c r="N44" s="17" t="s">
        <v>114</v>
      </c>
      <c r="O44" s="3"/>
      <c r="P44" s="83" t="s">
        <v>112</v>
      </c>
      <c r="Q44" s="15" t="s">
        <v>2</v>
      </c>
      <c r="R44" s="17" t="s">
        <v>113</v>
      </c>
      <c r="S44" s="17" t="s">
        <v>114</v>
      </c>
      <c r="T44" s="3"/>
      <c r="U44" s="83" t="s">
        <v>112</v>
      </c>
      <c r="V44" s="15" t="s">
        <v>2</v>
      </c>
      <c r="W44" s="17" t="s">
        <v>113</v>
      </c>
      <c r="X44" s="17" t="s">
        <v>114</v>
      </c>
      <c r="Y44" s="3"/>
      <c r="Z44" s="3"/>
    </row>
    <row r="45" spans="1:26" ht="15.75" customHeight="1">
      <c r="A45" s="71" t="s">
        <v>115</v>
      </c>
      <c r="B45" s="26"/>
      <c r="C45" s="85" t="e">
        <f>'Costo Produccion '!K6</f>
        <v>#DIV/0!</v>
      </c>
      <c r="D45" s="27" t="e">
        <f>C45*B45</f>
        <v>#DIV/0!</v>
      </c>
      <c r="E45" s="3"/>
      <c r="F45" s="71" t="s">
        <v>115</v>
      </c>
      <c r="G45" s="26">
        <f>'Demanda '!C4</f>
        <v>22.083333333333332</v>
      </c>
      <c r="H45" s="85" t="e">
        <f>'Costo Produccion '!K7</f>
        <v>#DIV/0!</v>
      </c>
      <c r="I45" s="27" t="e">
        <f>G45*H45</f>
        <v>#DIV/0!</v>
      </c>
      <c r="J45" s="3"/>
      <c r="K45" s="71" t="s">
        <v>115</v>
      </c>
      <c r="L45" s="26">
        <f>'Demanda '!D4</f>
        <v>23.416666666666668</v>
      </c>
      <c r="M45" s="85" t="e">
        <f>'Costo Produccion '!K8</f>
        <v>#DIV/0!</v>
      </c>
      <c r="N45" s="27" t="e">
        <f>L45*M45</f>
        <v>#DIV/0!</v>
      </c>
      <c r="O45" s="3"/>
      <c r="P45" s="71" t="s">
        <v>115</v>
      </c>
      <c r="Q45" s="26">
        <f>'Demanda '!E4</f>
        <v>24.833333333333332</v>
      </c>
      <c r="R45" s="85" t="e">
        <f>'Costo Produccion '!K9</f>
        <v>#DIV/0!</v>
      </c>
      <c r="S45" s="27" t="e">
        <f>Q45*R45</f>
        <v>#DIV/0!</v>
      </c>
      <c r="T45" s="3"/>
      <c r="U45" s="71" t="s">
        <v>115</v>
      </c>
      <c r="V45" s="26">
        <f>'Demanda '!F4</f>
        <v>26.333333333333332</v>
      </c>
      <c r="W45" s="85" t="e">
        <f>'Costo Produccion '!K10</f>
        <v>#DIV/0!</v>
      </c>
      <c r="X45" s="27" t="e">
        <f>V45*W45</f>
        <v>#DIV/0!</v>
      </c>
      <c r="Y45" s="3"/>
      <c r="Z45" s="3"/>
    </row>
    <row r="46" spans="1:26" ht="15.75" customHeight="1">
      <c r="A46" s="71" t="s">
        <v>129</v>
      </c>
      <c r="B46" s="26"/>
      <c r="C46" s="27"/>
      <c r="D46" s="27"/>
      <c r="E46" s="3"/>
      <c r="F46" s="71" t="s">
        <v>129</v>
      </c>
      <c r="G46" s="26"/>
      <c r="H46" s="27"/>
      <c r="I46" s="27"/>
      <c r="J46" s="3"/>
      <c r="K46" s="71" t="s">
        <v>129</v>
      </c>
      <c r="L46" s="26"/>
      <c r="M46" s="27"/>
      <c r="N46" s="27"/>
      <c r="O46" s="3"/>
      <c r="P46" s="71" t="s">
        <v>129</v>
      </c>
      <c r="Q46" s="26"/>
      <c r="R46" s="27"/>
      <c r="S46" s="27"/>
      <c r="T46" s="3"/>
      <c r="U46" s="71" t="s">
        <v>129</v>
      </c>
      <c r="V46" s="26"/>
      <c r="W46" s="27"/>
      <c r="X46" s="27"/>
      <c r="Y46" s="3"/>
      <c r="Z46" s="3"/>
    </row>
    <row r="47" spans="1:26" ht="15.75" customHeight="1">
      <c r="A47" s="19" t="s">
        <v>132</v>
      </c>
      <c r="B47" s="26"/>
      <c r="C47" s="27"/>
      <c r="D47" s="27">
        <f>'Demanda '!B4*(5.5097/PRINCIPAL!B11)</f>
        <v>1.4301340194197336</v>
      </c>
      <c r="E47" s="3"/>
      <c r="F47" s="19" t="s">
        <v>132</v>
      </c>
      <c r="G47" s="26"/>
      <c r="H47" s="27"/>
      <c r="I47" s="27">
        <f>'Demanda '!C4*(5.5097/PRINCIPAL!B12)</f>
        <v>1.2576257346813653</v>
      </c>
      <c r="J47" s="3"/>
      <c r="K47" s="19" t="s">
        <v>132</v>
      </c>
      <c r="L47" s="26"/>
      <c r="M47" s="27"/>
      <c r="N47" s="27">
        <f>'Demanda '!D4*(5.5097/PRINCIPAL!B13)</f>
        <v>1.1339777674414826</v>
      </c>
      <c r="O47" s="3"/>
      <c r="P47" s="19" t="s">
        <v>132</v>
      </c>
      <c r="Q47" s="26"/>
      <c r="R47" s="27"/>
      <c r="S47" s="27">
        <f>'Demanda '!E4*(5.5097/PRINCIPAL!B14)</f>
        <v>1.0488238309939453</v>
      </c>
      <c r="T47" s="3"/>
      <c r="U47" s="19" t="s">
        <v>132</v>
      </c>
      <c r="V47" s="26"/>
      <c r="W47" s="27"/>
      <c r="X47" s="27">
        <f>'Demanda '!F4*(5.5097/PRINCIPAL!B15)</f>
        <v>0.98684614553720085</v>
      </c>
      <c r="Y47" s="3"/>
      <c r="Z47" s="3"/>
    </row>
    <row r="48" spans="1:26" ht="15.75" customHeight="1">
      <c r="A48" s="19" t="s">
        <v>136</v>
      </c>
      <c r="B48" s="26"/>
      <c r="C48" s="27"/>
      <c r="D48" s="27">
        <f>B45/'Capacidad Logistica'!B15*0.25</f>
        <v>0</v>
      </c>
      <c r="E48" s="3"/>
      <c r="F48" s="19" t="s">
        <v>136</v>
      </c>
      <c r="G48" s="26"/>
      <c r="H48" s="27"/>
      <c r="I48" s="27">
        <f>G45/'Capacidad Logistica'!B15*0.25</f>
        <v>0.18402777777777776</v>
      </c>
      <c r="J48" s="3"/>
      <c r="K48" s="19" t="s">
        <v>136</v>
      </c>
      <c r="L48" s="26"/>
      <c r="M48" s="27"/>
      <c r="N48" s="27">
        <f>L45/'Capacidad Logistica'!B15*0.25</f>
        <v>0.19513888888888889</v>
      </c>
      <c r="O48" s="3"/>
      <c r="P48" s="19" t="s">
        <v>136</v>
      </c>
      <c r="Q48" s="26"/>
      <c r="R48" s="27"/>
      <c r="S48" s="27">
        <f>Q45/'Capacidad Logistica'!B15*0.25</f>
        <v>0.20694444444444443</v>
      </c>
      <c r="T48" s="3"/>
      <c r="U48" s="19" t="s">
        <v>136</v>
      </c>
      <c r="V48" s="26"/>
      <c r="W48" s="27"/>
      <c r="X48" s="27">
        <f>V45/'Capacidad Logistica'!B15*0.25</f>
        <v>0.21944444444444444</v>
      </c>
      <c r="Y48" s="3"/>
      <c r="Z48" s="3"/>
    </row>
    <row r="49" spans="1:26" ht="15.75" customHeight="1">
      <c r="A49" s="19" t="s">
        <v>137</v>
      </c>
      <c r="B49" s="26">
        <f t="shared" ref="B49:C49" si="0">B38</f>
        <v>17.692307692307693</v>
      </c>
      <c r="C49" s="27">
        <f t="shared" si="0"/>
        <v>0</v>
      </c>
      <c r="D49" s="27">
        <v>513.85</v>
      </c>
      <c r="E49" s="3"/>
      <c r="F49" s="19" t="s">
        <v>137</v>
      </c>
      <c r="G49" s="26"/>
      <c r="H49" s="26">
        <f>1150*(1+PRINCIPAL!$E$4)/PRINCIPAL!$B$12</f>
        <v>14.620485257719743</v>
      </c>
      <c r="I49" s="27">
        <f>'Demanda '!C9*H49</f>
        <v>3.0219361574352552</v>
      </c>
      <c r="J49" s="3"/>
      <c r="K49" s="19" t="s">
        <v>137</v>
      </c>
      <c r="L49" s="26"/>
      <c r="M49" s="26">
        <f>1150*(1+PRINCIPAL!E5)/PRINCIPAL!$B$13</f>
        <v>12.12915651046934</v>
      </c>
      <c r="N49" s="27">
        <f>'Demanda '!D9*M49</f>
        <v>2.5339523184624455</v>
      </c>
      <c r="O49" s="3"/>
      <c r="P49" s="19" t="s">
        <v>137</v>
      </c>
      <c r="Q49" s="26"/>
      <c r="R49" s="26">
        <f>1150*(1+PRINCIPAL!E6)/PRINCIPAL!$B$14</f>
        <v>10.313908597337875</v>
      </c>
      <c r="S49" s="27">
        <f>R49*'Demanda '!E9</f>
        <v>2.1591490472709847</v>
      </c>
      <c r="T49" s="3"/>
      <c r="U49" s="19" t="s">
        <v>137</v>
      </c>
      <c r="V49" s="26"/>
      <c r="W49" s="26">
        <f>1150*(1+PRINCIPAL!E7)/PRINCIPAL!B15</f>
        <v>8.9952107076032419</v>
      </c>
      <c r="X49" s="27">
        <f>'Demanda '!F9*W49</f>
        <v>1.8871770343123166</v>
      </c>
      <c r="Y49" s="3"/>
      <c r="Z49" s="3"/>
    </row>
    <row r="50" spans="1:26" ht="15.75" customHeight="1">
      <c r="A50" s="24" t="s">
        <v>104</v>
      </c>
      <c r="B50" s="24"/>
      <c r="C50" s="47" t="e">
        <f>D50/B45</f>
        <v>#DIV/0!</v>
      </c>
      <c r="D50" s="47" t="e">
        <f>D49+D48+D47+D45</f>
        <v>#DIV/0!</v>
      </c>
      <c r="E50" s="3"/>
      <c r="F50" s="24" t="s">
        <v>104</v>
      </c>
      <c r="G50" s="24"/>
      <c r="H50" s="47" t="e">
        <f>I50/G45</f>
        <v>#DIV/0!</v>
      </c>
      <c r="I50" s="47" t="e">
        <f>I49+I48+I47+I45</f>
        <v>#DIV/0!</v>
      </c>
      <c r="J50" s="3"/>
      <c r="K50" s="24" t="s">
        <v>104</v>
      </c>
      <c r="L50" s="24"/>
      <c r="M50" s="47" t="e">
        <f>N50/L45</f>
        <v>#DIV/0!</v>
      </c>
      <c r="N50" s="47" t="e">
        <f>N49+N48+N47+N45</f>
        <v>#DIV/0!</v>
      </c>
      <c r="O50" s="3"/>
      <c r="P50" s="24" t="s">
        <v>104</v>
      </c>
      <c r="Q50" s="24"/>
      <c r="R50" s="47" t="e">
        <f>S50/Q45</f>
        <v>#DIV/0!</v>
      </c>
      <c r="S50" s="47" t="e">
        <f>S49+S48+S47+S45</f>
        <v>#DIV/0!</v>
      </c>
      <c r="T50" s="3"/>
      <c r="U50" s="24" t="s">
        <v>104</v>
      </c>
      <c r="V50" s="24"/>
      <c r="W50" s="47" t="e">
        <f>X50/V45</f>
        <v>#DIV/0!</v>
      </c>
      <c r="X50" s="47" t="e">
        <f>X49+X48+X47+X45</f>
        <v>#DIV/0!</v>
      </c>
      <c r="Y50" s="3"/>
      <c r="Z50" s="3"/>
    </row>
    <row r="51" spans="1:26" ht="15.75" customHeight="1">
      <c r="A51" s="71" t="s">
        <v>138</v>
      </c>
      <c r="B51" s="26"/>
      <c r="C51" s="27"/>
      <c r="D51" s="27"/>
      <c r="E51" s="3"/>
      <c r="F51" s="71" t="s">
        <v>138</v>
      </c>
      <c r="G51" s="26"/>
      <c r="H51" s="27"/>
      <c r="I51" s="27"/>
      <c r="J51" s="3"/>
      <c r="K51" s="71" t="s">
        <v>138</v>
      </c>
      <c r="L51" s="26"/>
      <c r="M51" s="27"/>
      <c r="N51" s="27"/>
      <c r="O51" s="3"/>
      <c r="P51" s="71" t="s">
        <v>138</v>
      </c>
      <c r="Q51" s="26"/>
      <c r="R51" s="27"/>
      <c r="S51" s="27"/>
      <c r="T51" s="3"/>
      <c r="U51" s="71" t="s">
        <v>138</v>
      </c>
      <c r="V51" s="26"/>
      <c r="W51" s="27"/>
      <c r="X51" s="27"/>
      <c r="Y51" s="3"/>
      <c r="Z51" s="3"/>
    </row>
    <row r="52" spans="1:26" ht="15.75" customHeight="1">
      <c r="A52" s="19" t="s">
        <v>139</v>
      </c>
      <c r="B52" s="26"/>
      <c r="C52" s="27"/>
      <c r="D52" s="27">
        <f>27280/PRINCIPAL!B11</f>
        <v>339.88687049911539</v>
      </c>
      <c r="E52" s="3"/>
      <c r="F52" s="19" t="s">
        <v>140</v>
      </c>
      <c r="G52" s="26"/>
      <c r="H52" s="27"/>
      <c r="I52" s="27">
        <f>D52</f>
        <v>339.88687049911539</v>
      </c>
      <c r="J52" s="3"/>
      <c r="K52" s="19" t="s">
        <v>140</v>
      </c>
      <c r="L52" s="26"/>
      <c r="M52" s="27"/>
      <c r="N52" s="27">
        <f>D52</f>
        <v>339.88687049911539</v>
      </c>
      <c r="O52" s="3"/>
      <c r="P52" s="19" t="s">
        <v>140</v>
      </c>
      <c r="Q52" s="26"/>
      <c r="R52" s="27"/>
      <c r="S52" s="27">
        <f>D52</f>
        <v>339.88687049911539</v>
      </c>
      <c r="T52" s="3"/>
      <c r="U52" s="19" t="s">
        <v>140</v>
      </c>
      <c r="V52" s="26"/>
      <c r="W52" s="27"/>
      <c r="X52" s="27">
        <f>D52</f>
        <v>339.88687049911539</v>
      </c>
      <c r="Y52" s="3"/>
      <c r="Z52" s="3"/>
    </row>
    <row r="53" spans="1:26" ht="15.75" customHeight="1">
      <c r="A53" s="71" t="s">
        <v>141</v>
      </c>
      <c r="B53" s="26"/>
      <c r="C53" s="27"/>
      <c r="D53" s="27"/>
      <c r="E53" s="3"/>
      <c r="F53" s="71" t="s">
        <v>141</v>
      </c>
      <c r="G53" s="26"/>
      <c r="H53" s="27"/>
      <c r="I53" s="27"/>
      <c r="J53" s="3"/>
      <c r="K53" s="71" t="s">
        <v>141</v>
      </c>
      <c r="L53" s="26"/>
      <c r="M53" s="27"/>
      <c r="N53" s="27"/>
      <c r="O53" s="3"/>
      <c r="P53" s="71" t="s">
        <v>141</v>
      </c>
      <c r="Q53" s="26"/>
      <c r="R53" s="27"/>
      <c r="S53" s="27"/>
      <c r="T53" s="3"/>
      <c r="U53" s="71" t="s">
        <v>141</v>
      </c>
      <c r="V53" s="26"/>
      <c r="W53" s="27"/>
      <c r="X53" s="27"/>
      <c r="Y53" s="3"/>
      <c r="Z53" s="3"/>
    </row>
    <row r="54" spans="1:26" ht="15.75" customHeight="1">
      <c r="A54" s="19" t="s">
        <v>142</v>
      </c>
      <c r="B54" s="26"/>
      <c r="C54" s="27"/>
      <c r="D54" s="27">
        <f>-D35</f>
        <v>0</v>
      </c>
      <c r="E54" s="3"/>
      <c r="F54" s="19" t="s">
        <v>142</v>
      </c>
      <c r="G54" s="26"/>
      <c r="H54" s="27"/>
      <c r="I54" s="27">
        <f t="shared" ref="I54:I60" si="1">D54</f>
        <v>0</v>
      </c>
      <c r="J54" s="3"/>
      <c r="K54" s="19" t="s">
        <v>142</v>
      </c>
      <c r="L54" s="26"/>
      <c r="M54" s="27"/>
      <c r="N54" s="27">
        <f>N35</f>
        <v>0</v>
      </c>
      <c r="O54" s="3"/>
      <c r="P54" s="19" t="s">
        <v>142</v>
      </c>
      <c r="Q54" s="26"/>
      <c r="R54" s="27"/>
      <c r="S54" s="27">
        <f>S35</f>
        <v>0</v>
      </c>
      <c r="T54" s="3"/>
      <c r="U54" s="19" t="s">
        <v>142</v>
      </c>
      <c r="V54" s="26"/>
      <c r="W54" s="27"/>
      <c r="X54" s="27">
        <f>X35</f>
        <v>0</v>
      </c>
      <c r="Y54" s="3"/>
      <c r="Z54" s="3"/>
    </row>
    <row r="55" spans="1:26" ht="15.75" customHeight="1">
      <c r="A55" s="19" t="s">
        <v>143</v>
      </c>
      <c r="B55" s="26"/>
      <c r="C55" s="27"/>
      <c r="D55" s="27">
        <f t="shared" ref="D55:D57" si="2">-D31</f>
        <v>0</v>
      </c>
      <c r="E55" s="3"/>
      <c r="F55" s="19" t="s">
        <v>143</v>
      </c>
      <c r="G55" s="26"/>
      <c r="H55" s="27"/>
      <c r="I55" s="27">
        <f t="shared" si="1"/>
        <v>0</v>
      </c>
      <c r="J55" s="3"/>
      <c r="K55" s="19" t="s">
        <v>143</v>
      </c>
      <c r="L55" s="26"/>
      <c r="M55" s="27"/>
      <c r="N55" s="27">
        <f t="shared" ref="N55:N60" si="3">I55</f>
        <v>0</v>
      </c>
      <c r="O55" s="3"/>
      <c r="P55" s="19" t="s">
        <v>143</v>
      </c>
      <c r="Q55" s="26"/>
      <c r="R55" s="27"/>
      <c r="S55" s="27">
        <f t="shared" ref="S55:S60" si="4">N55</f>
        <v>0</v>
      </c>
      <c r="T55" s="3"/>
      <c r="U55" s="19" t="s">
        <v>143</v>
      </c>
      <c r="V55" s="26"/>
      <c r="W55" s="27"/>
      <c r="X55" s="27">
        <f t="shared" ref="X55:X64" si="5">S55</f>
        <v>0</v>
      </c>
      <c r="Y55" s="3"/>
      <c r="Z55" s="3"/>
    </row>
    <row r="56" spans="1:26" ht="15.75" customHeight="1">
      <c r="A56" s="19" t="s">
        <v>144</v>
      </c>
      <c r="B56" s="26"/>
      <c r="C56" s="27"/>
      <c r="D56" s="27">
        <f t="shared" si="2"/>
        <v>0</v>
      </c>
      <c r="E56" s="3"/>
      <c r="F56" s="19" t="s">
        <v>144</v>
      </c>
      <c r="G56" s="26"/>
      <c r="H56" s="27"/>
      <c r="I56" s="27">
        <f t="shared" si="1"/>
        <v>0</v>
      </c>
      <c r="J56" s="3"/>
      <c r="K56" s="19" t="s">
        <v>144</v>
      </c>
      <c r="L56" s="26"/>
      <c r="M56" s="27"/>
      <c r="N56" s="27">
        <f t="shared" si="3"/>
        <v>0</v>
      </c>
      <c r="O56" s="3"/>
      <c r="P56" s="19" t="s">
        <v>144</v>
      </c>
      <c r="Q56" s="26"/>
      <c r="R56" s="27"/>
      <c r="S56" s="27">
        <f t="shared" si="4"/>
        <v>0</v>
      </c>
      <c r="T56" s="3"/>
      <c r="U56" s="19" t="s">
        <v>144</v>
      </c>
      <c r="V56" s="26"/>
      <c r="W56" s="27"/>
      <c r="X56" s="27">
        <f t="shared" si="5"/>
        <v>0</v>
      </c>
      <c r="Y56" s="3"/>
      <c r="Z56" s="3"/>
    </row>
    <row r="57" spans="1:26" ht="15.75" customHeight="1">
      <c r="A57" s="19" t="s">
        <v>145</v>
      </c>
      <c r="B57" s="26"/>
      <c r="C57" s="27"/>
      <c r="D57" s="27">
        <f t="shared" si="2"/>
        <v>26</v>
      </c>
      <c r="E57" s="3"/>
      <c r="F57" s="19" t="s">
        <v>145</v>
      </c>
      <c r="G57" s="26"/>
      <c r="H57" s="27"/>
      <c r="I57" s="27">
        <f t="shared" si="1"/>
        <v>26</v>
      </c>
      <c r="J57" s="3"/>
      <c r="K57" s="19" t="s">
        <v>145</v>
      </c>
      <c r="L57" s="26"/>
      <c r="M57" s="27"/>
      <c r="N57" s="27">
        <f t="shared" si="3"/>
        <v>26</v>
      </c>
      <c r="O57" s="3"/>
      <c r="P57" s="19" t="s">
        <v>145</v>
      </c>
      <c r="Q57" s="26"/>
      <c r="R57" s="27"/>
      <c r="S57" s="27">
        <f t="shared" si="4"/>
        <v>26</v>
      </c>
      <c r="T57" s="3"/>
      <c r="U57" s="19" t="s">
        <v>145</v>
      </c>
      <c r="V57" s="26"/>
      <c r="W57" s="27"/>
      <c r="X57" s="27">
        <f t="shared" si="5"/>
        <v>26</v>
      </c>
      <c r="Y57" s="3"/>
      <c r="Z57" s="3"/>
    </row>
    <row r="58" spans="1:26" ht="15.75" customHeight="1">
      <c r="A58" s="19" t="s">
        <v>146</v>
      </c>
      <c r="B58" s="26"/>
      <c r="C58" s="27"/>
      <c r="D58" s="27">
        <f t="shared" ref="D58:D59" si="6">-D29</f>
        <v>0</v>
      </c>
      <c r="E58" s="3"/>
      <c r="F58" s="19" t="s">
        <v>146</v>
      </c>
      <c r="G58" s="26"/>
      <c r="H58" s="27"/>
      <c r="I58" s="27">
        <f t="shared" si="1"/>
        <v>0</v>
      </c>
      <c r="J58" s="3"/>
      <c r="K58" s="19" t="s">
        <v>146</v>
      </c>
      <c r="L58" s="26"/>
      <c r="M58" s="27"/>
      <c r="N58" s="27">
        <f t="shared" si="3"/>
        <v>0</v>
      </c>
      <c r="O58" s="3"/>
      <c r="P58" s="19" t="s">
        <v>146</v>
      </c>
      <c r="Q58" s="26"/>
      <c r="R58" s="27"/>
      <c r="S58" s="27">
        <f t="shared" si="4"/>
        <v>0</v>
      </c>
      <c r="T58" s="3"/>
      <c r="U58" s="19" t="s">
        <v>146</v>
      </c>
      <c r="V58" s="26"/>
      <c r="W58" s="27"/>
      <c r="X58" s="27">
        <f t="shared" si="5"/>
        <v>0</v>
      </c>
      <c r="Y58" s="3"/>
      <c r="Z58" s="3"/>
    </row>
    <row r="59" spans="1:26" ht="15.75" customHeight="1">
      <c r="A59" s="19" t="s">
        <v>147</v>
      </c>
      <c r="B59" s="26"/>
      <c r="C59" s="27"/>
      <c r="D59" s="27">
        <f t="shared" si="6"/>
        <v>0</v>
      </c>
      <c r="E59" s="3"/>
      <c r="F59" s="19" t="s">
        <v>147</v>
      </c>
      <c r="G59" s="26"/>
      <c r="H59" s="27"/>
      <c r="I59" s="27">
        <f t="shared" si="1"/>
        <v>0</v>
      </c>
      <c r="J59" s="3"/>
      <c r="K59" s="19" t="s">
        <v>147</v>
      </c>
      <c r="L59" s="26"/>
      <c r="M59" s="27"/>
      <c r="N59" s="27">
        <f t="shared" si="3"/>
        <v>0</v>
      </c>
      <c r="O59" s="3"/>
      <c r="P59" s="19" t="s">
        <v>147</v>
      </c>
      <c r="Q59" s="26"/>
      <c r="R59" s="27"/>
      <c r="S59" s="27">
        <f t="shared" si="4"/>
        <v>0</v>
      </c>
      <c r="T59" s="3"/>
      <c r="U59" s="19" t="s">
        <v>147</v>
      </c>
      <c r="V59" s="26"/>
      <c r="W59" s="27"/>
      <c r="X59" s="27">
        <f t="shared" si="5"/>
        <v>0</v>
      </c>
      <c r="Y59" s="3"/>
      <c r="Z59" s="3"/>
    </row>
    <row r="60" spans="1:26" ht="15.75" customHeight="1">
      <c r="A60" s="19" t="s">
        <v>148</v>
      </c>
      <c r="B60" s="26"/>
      <c r="C60" s="27"/>
      <c r="D60" s="27">
        <f>-D34</f>
        <v>250</v>
      </c>
      <c r="E60" s="3"/>
      <c r="F60" s="19" t="s">
        <v>148</v>
      </c>
      <c r="G60" s="26"/>
      <c r="H60" s="27"/>
      <c r="I60" s="27">
        <f t="shared" si="1"/>
        <v>250</v>
      </c>
      <c r="J60" s="3"/>
      <c r="K60" s="19" t="s">
        <v>148</v>
      </c>
      <c r="L60" s="26"/>
      <c r="M60" s="27"/>
      <c r="N60" s="27">
        <f t="shared" si="3"/>
        <v>250</v>
      </c>
      <c r="O60" s="3"/>
      <c r="P60" s="19" t="s">
        <v>148</v>
      </c>
      <c r="Q60" s="26"/>
      <c r="R60" s="27"/>
      <c r="S60" s="27">
        <f t="shared" si="4"/>
        <v>250</v>
      </c>
      <c r="T60" s="3"/>
      <c r="U60" s="19" t="s">
        <v>148</v>
      </c>
      <c r="V60" s="26"/>
      <c r="W60" s="27"/>
      <c r="X60" s="27">
        <f t="shared" si="5"/>
        <v>250</v>
      </c>
      <c r="Y60" s="3"/>
      <c r="Z60" s="3"/>
    </row>
    <row r="61" spans="1:26" ht="15.75" customHeight="1">
      <c r="A61" s="71" t="s">
        <v>149</v>
      </c>
      <c r="B61" s="26"/>
      <c r="C61" s="27"/>
      <c r="D61" s="27"/>
      <c r="E61" s="3"/>
      <c r="F61" s="71" t="s">
        <v>149</v>
      </c>
      <c r="G61" s="26"/>
      <c r="H61" s="27"/>
      <c r="I61" s="27"/>
      <c r="J61" s="3"/>
      <c r="K61" s="71" t="s">
        <v>149</v>
      </c>
      <c r="L61" s="26"/>
      <c r="M61" s="27"/>
      <c r="N61" s="27"/>
      <c r="O61" s="3"/>
      <c r="P61" s="71" t="s">
        <v>149</v>
      </c>
      <c r="Q61" s="26"/>
      <c r="R61" s="27"/>
      <c r="S61" s="27"/>
      <c r="T61" s="3"/>
      <c r="U61" s="71" t="s">
        <v>149</v>
      </c>
      <c r="V61" s="26"/>
      <c r="W61" s="27"/>
      <c r="X61" s="27">
        <f t="shared" si="5"/>
        <v>0</v>
      </c>
      <c r="Y61" s="3"/>
      <c r="Z61" s="3"/>
    </row>
    <row r="62" spans="1:26" ht="15.75" customHeight="1">
      <c r="A62" s="19" t="s">
        <v>150</v>
      </c>
      <c r="B62" s="26"/>
      <c r="C62" s="27"/>
      <c r="D62" s="27">
        <f>-D30</f>
        <v>0</v>
      </c>
      <c r="E62" s="3"/>
      <c r="F62" s="19" t="s">
        <v>150</v>
      </c>
      <c r="G62" s="26"/>
      <c r="H62" s="27"/>
      <c r="I62" s="27">
        <f>D62</f>
        <v>0</v>
      </c>
      <c r="J62" s="3"/>
      <c r="K62" s="19" t="s">
        <v>150</v>
      </c>
      <c r="L62" s="26"/>
      <c r="M62" s="27"/>
      <c r="N62" s="27">
        <f>I62</f>
        <v>0</v>
      </c>
      <c r="O62" s="3"/>
      <c r="P62" s="19" t="s">
        <v>150</v>
      </c>
      <c r="Q62" s="26"/>
      <c r="R62" s="27"/>
      <c r="S62" s="27">
        <f>N62</f>
        <v>0</v>
      </c>
      <c r="T62" s="3"/>
      <c r="U62" s="19" t="s">
        <v>150</v>
      </c>
      <c r="V62" s="26"/>
      <c r="W62" s="27"/>
      <c r="X62" s="27">
        <f t="shared" si="5"/>
        <v>0</v>
      </c>
      <c r="Y62" s="3"/>
      <c r="Z62" s="3"/>
    </row>
    <row r="63" spans="1:26" ht="15.75" customHeight="1">
      <c r="A63" s="19" t="s">
        <v>151</v>
      </c>
      <c r="B63" s="26"/>
      <c r="C63" s="27"/>
      <c r="D63" s="27">
        <f>EERR!G12</f>
        <v>58.869701726844589</v>
      </c>
      <c r="E63" s="3"/>
      <c r="F63" s="19" t="s">
        <v>151</v>
      </c>
      <c r="G63" s="26"/>
      <c r="H63" s="27"/>
      <c r="I63" s="27">
        <f>EERR!O12</f>
        <v>47.675495405607862</v>
      </c>
      <c r="J63" s="3"/>
      <c r="K63" s="19" t="s">
        <v>151</v>
      </c>
      <c r="L63" s="26"/>
      <c r="M63" s="27"/>
      <c r="N63" s="27">
        <f>EERR!AA12</f>
        <v>39.551597316747845</v>
      </c>
      <c r="O63" s="3"/>
      <c r="P63" s="19" t="s">
        <v>151</v>
      </c>
      <c r="Q63" s="26"/>
      <c r="R63" s="27"/>
      <c r="S63" s="27">
        <f>EERR!AY12</f>
        <v>29.332208829141003</v>
      </c>
      <c r="T63" s="3"/>
      <c r="U63" s="19" t="s">
        <v>151</v>
      </c>
      <c r="V63" s="26"/>
      <c r="W63" s="27"/>
      <c r="X63" s="27">
        <f t="shared" si="5"/>
        <v>29.332208829141003</v>
      </c>
      <c r="Y63" s="3"/>
      <c r="Z63" s="3"/>
    </row>
    <row r="64" spans="1:26" ht="15.75" customHeight="1">
      <c r="A64" s="19" t="s">
        <v>152</v>
      </c>
      <c r="B64" s="26"/>
      <c r="C64" s="27"/>
      <c r="D64" s="27">
        <f>-D33</f>
        <v>26</v>
      </c>
      <c r="E64" s="3"/>
      <c r="F64" s="19" t="s">
        <v>152</v>
      </c>
      <c r="G64" s="26"/>
      <c r="H64" s="27"/>
      <c r="I64" s="27">
        <f>D64</f>
        <v>26</v>
      </c>
      <c r="J64" s="3"/>
      <c r="K64" s="19" t="s">
        <v>152</v>
      </c>
      <c r="L64" s="26"/>
      <c r="M64" s="27"/>
      <c r="N64" s="27">
        <f>I64</f>
        <v>26</v>
      </c>
      <c r="O64" s="3"/>
      <c r="P64" s="19" t="s">
        <v>152</v>
      </c>
      <c r="Q64" s="26"/>
      <c r="R64" s="27"/>
      <c r="S64" s="27">
        <f>N64</f>
        <v>26</v>
      </c>
      <c r="T64" s="3"/>
      <c r="U64" s="19" t="s">
        <v>152</v>
      </c>
      <c r="V64" s="26"/>
      <c r="W64" s="27"/>
      <c r="X64" s="27">
        <f t="shared" si="5"/>
        <v>26</v>
      </c>
      <c r="Y64" s="3"/>
      <c r="Z64" s="3"/>
    </row>
    <row r="65" spans="1:26" ht="15.75" customHeight="1">
      <c r="A65" s="71" t="s">
        <v>153</v>
      </c>
      <c r="B65" s="95"/>
      <c r="C65" s="27"/>
      <c r="D65" s="27"/>
      <c r="E65" s="3"/>
      <c r="F65" s="71" t="s">
        <v>153</v>
      </c>
      <c r="G65" s="26"/>
      <c r="H65" s="27"/>
      <c r="I65" s="27"/>
      <c r="J65" s="3"/>
      <c r="K65" s="71" t="s">
        <v>153</v>
      </c>
      <c r="L65" s="26"/>
      <c r="M65" s="27"/>
      <c r="N65" s="27"/>
      <c r="O65" s="3"/>
      <c r="P65" s="71" t="s">
        <v>153</v>
      </c>
      <c r="Q65" s="26"/>
      <c r="R65" s="27"/>
      <c r="S65" s="27"/>
      <c r="T65" s="3"/>
      <c r="U65" s="71" t="s">
        <v>153</v>
      </c>
      <c r="V65" s="26"/>
      <c r="W65" s="27"/>
      <c r="X65" s="27"/>
      <c r="Y65" s="3"/>
      <c r="Z65" s="3"/>
    </row>
    <row r="66" spans="1:26" ht="15.75" customHeight="1">
      <c r="A66" s="19" t="s">
        <v>154</v>
      </c>
      <c r="B66" s="26"/>
      <c r="C66" s="27"/>
      <c r="D66" s="27"/>
      <c r="E66" s="3"/>
      <c r="F66" s="19" t="s">
        <v>154</v>
      </c>
      <c r="G66" s="26"/>
      <c r="H66" s="27"/>
      <c r="I66" s="27">
        <v>357</v>
      </c>
      <c r="J66" s="3"/>
      <c r="K66" s="19" t="s">
        <v>154</v>
      </c>
      <c r="L66" s="26"/>
      <c r="M66" s="27"/>
      <c r="N66" s="27">
        <v>460</v>
      </c>
      <c r="O66" s="3"/>
      <c r="P66" s="19" t="s">
        <v>154</v>
      </c>
      <c r="Q66" s="26"/>
      <c r="R66" s="27"/>
      <c r="S66" s="27">
        <v>455</v>
      </c>
      <c r="T66" s="3"/>
      <c r="U66" s="19" t="s">
        <v>154</v>
      </c>
      <c r="V66" s="26"/>
      <c r="W66" s="27"/>
      <c r="X66" s="27">
        <v>451</v>
      </c>
      <c r="Y66" s="3"/>
      <c r="Z66" s="3"/>
    </row>
    <row r="67" spans="1:26" ht="15.75" customHeight="1">
      <c r="A67" s="19" t="s">
        <v>155</v>
      </c>
      <c r="B67" s="26"/>
      <c r="C67" s="27"/>
      <c r="D67" s="27">
        <f>-D24</f>
        <v>300</v>
      </c>
      <c r="E67" s="3"/>
      <c r="F67" s="19" t="s">
        <v>155</v>
      </c>
      <c r="G67" s="26"/>
      <c r="H67" s="27"/>
      <c r="I67" s="27">
        <v>300</v>
      </c>
      <c r="J67" s="3"/>
      <c r="K67" s="19" t="s">
        <v>155</v>
      </c>
      <c r="L67" s="26"/>
      <c r="M67" s="27"/>
      <c r="N67" s="27">
        <f t="shared" ref="N67:N70" si="7">I67</f>
        <v>300</v>
      </c>
      <c r="O67" s="3"/>
      <c r="P67" s="19" t="s">
        <v>155</v>
      </c>
      <c r="Q67" s="26"/>
      <c r="R67" s="27"/>
      <c r="S67" s="27">
        <f t="shared" ref="S67:S70" si="8">N67</f>
        <v>300</v>
      </c>
      <c r="T67" s="3"/>
      <c r="U67" s="19" t="s">
        <v>155</v>
      </c>
      <c r="V67" s="26"/>
      <c r="W67" s="27"/>
      <c r="X67" s="27">
        <f t="shared" ref="X67:X70" si="9">S67</f>
        <v>300</v>
      </c>
      <c r="Y67" s="3"/>
      <c r="Z67" s="3"/>
    </row>
    <row r="68" spans="1:26" ht="15.75" customHeight="1">
      <c r="A68" s="19" t="s">
        <v>156</v>
      </c>
      <c r="B68" s="26"/>
      <c r="C68" s="27"/>
      <c r="D68" s="27">
        <f>-D23</f>
        <v>125</v>
      </c>
      <c r="E68" s="3"/>
      <c r="F68" s="19" t="s">
        <v>156</v>
      </c>
      <c r="G68" s="26"/>
      <c r="H68" s="27"/>
      <c r="I68" s="27">
        <v>125</v>
      </c>
      <c r="J68" s="3"/>
      <c r="K68" s="19" t="s">
        <v>156</v>
      </c>
      <c r="L68" s="26"/>
      <c r="M68" s="27"/>
      <c r="N68" s="27">
        <f t="shared" si="7"/>
        <v>125</v>
      </c>
      <c r="O68" s="3"/>
      <c r="P68" s="19" t="s">
        <v>156</v>
      </c>
      <c r="Q68" s="26"/>
      <c r="R68" s="27"/>
      <c r="S68" s="27">
        <f t="shared" si="8"/>
        <v>125</v>
      </c>
      <c r="T68" s="3"/>
      <c r="U68" s="19" t="s">
        <v>156</v>
      </c>
      <c r="V68" s="26"/>
      <c r="W68" s="27"/>
      <c r="X68" s="27">
        <f t="shared" si="9"/>
        <v>125</v>
      </c>
      <c r="Y68" s="3"/>
      <c r="Z68" s="3"/>
    </row>
    <row r="69" spans="1:26" ht="15.75" customHeight="1">
      <c r="A69" s="19" t="s">
        <v>157</v>
      </c>
      <c r="B69" s="26"/>
      <c r="C69" s="27"/>
      <c r="D69" s="27">
        <f>-D22</f>
        <v>22.4</v>
      </c>
      <c r="E69" s="3"/>
      <c r="F69" s="19" t="s">
        <v>157</v>
      </c>
      <c r="G69" s="26"/>
      <c r="H69" s="27"/>
      <c r="I69" s="27">
        <v>22.4</v>
      </c>
      <c r="J69" s="3"/>
      <c r="K69" s="19" t="s">
        <v>157</v>
      </c>
      <c r="L69" s="26"/>
      <c r="M69" s="27"/>
      <c r="N69" s="27">
        <f t="shared" si="7"/>
        <v>22.4</v>
      </c>
      <c r="O69" s="3"/>
      <c r="P69" s="19" t="s">
        <v>157</v>
      </c>
      <c r="Q69" s="26"/>
      <c r="R69" s="27"/>
      <c r="S69" s="27">
        <f t="shared" si="8"/>
        <v>22.4</v>
      </c>
      <c r="T69" s="3"/>
      <c r="U69" s="19" t="s">
        <v>157</v>
      </c>
      <c r="V69" s="26"/>
      <c r="W69" s="27"/>
      <c r="X69" s="27">
        <f t="shared" si="9"/>
        <v>22.4</v>
      </c>
      <c r="Y69" s="3"/>
      <c r="Z69" s="3"/>
    </row>
    <row r="70" spans="1:26" ht="15.75" customHeight="1">
      <c r="A70" s="19" t="s">
        <v>158</v>
      </c>
      <c r="B70" s="26"/>
      <c r="C70" s="27"/>
      <c r="D70" s="27">
        <f>-D17</f>
        <v>0</v>
      </c>
      <c r="E70" s="3"/>
      <c r="F70" s="19" t="s">
        <v>158</v>
      </c>
      <c r="G70" s="26"/>
      <c r="H70" s="27"/>
      <c r="I70" s="27">
        <v>10</v>
      </c>
      <c r="J70" s="3"/>
      <c r="K70" s="19" t="s">
        <v>158</v>
      </c>
      <c r="L70" s="26"/>
      <c r="M70" s="27"/>
      <c r="N70" s="27">
        <f t="shared" si="7"/>
        <v>10</v>
      </c>
      <c r="O70" s="3"/>
      <c r="P70" s="19" t="s">
        <v>158</v>
      </c>
      <c r="Q70" s="26"/>
      <c r="R70" s="27"/>
      <c r="S70" s="27">
        <f t="shared" si="8"/>
        <v>10</v>
      </c>
      <c r="T70" s="3"/>
      <c r="U70" s="19" t="s">
        <v>158</v>
      </c>
      <c r="V70" s="26"/>
      <c r="W70" s="27"/>
      <c r="X70" s="27">
        <f t="shared" si="9"/>
        <v>10</v>
      </c>
      <c r="Y70" s="3"/>
      <c r="Z70" s="3"/>
    </row>
    <row r="71" spans="1:26" ht="15.75" customHeight="1">
      <c r="A71" s="71" t="s">
        <v>159</v>
      </c>
      <c r="B71" s="26"/>
      <c r="C71" s="27"/>
      <c r="D71" s="27"/>
      <c r="E71" s="3"/>
      <c r="F71" s="71" t="s">
        <v>159</v>
      </c>
      <c r="G71" s="26"/>
      <c r="H71" s="27"/>
      <c r="I71" s="27"/>
      <c r="J71" s="3"/>
      <c r="K71" s="71" t="s">
        <v>159</v>
      </c>
      <c r="L71" s="26"/>
      <c r="M71" s="27"/>
      <c r="N71" s="27"/>
      <c r="O71" s="3"/>
      <c r="P71" s="71" t="s">
        <v>159</v>
      </c>
      <c r="Q71" s="26"/>
      <c r="R71" s="27"/>
      <c r="S71" s="27"/>
      <c r="T71" s="3"/>
      <c r="U71" s="71" t="s">
        <v>159</v>
      </c>
      <c r="V71" s="26"/>
      <c r="W71" s="27"/>
      <c r="X71" s="27"/>
      <c r="Y71" s="3"/>
      <c r="Z71" s="3"/>
    </row>
    <row r="72" spans="1:26" ht="15.75" customHeight="1">
      <c r="A72" s="19" t="s">
        <v>160</v>
      </c>
      <c r="B72" s="26"/>
      <c r="C72" s="27"/>
      <c r="D72" s="27">
        <f>-D20</f>
        <v>0</v>
      </c>
      <c r="E72" s="3"/>
      <c r="F72" s="19" t="s">
        <v>160</v>
      </c>
      <c r="G72" s="26"/>
      <c r="H72" s="27"/>
      <c r="I72" s="27"/>
      <c r="J72" s="3"/>
      <c r="K72" s="19" t="s">
        <v>160</v>
      </c>
      <c r="L72" s="26"/>
      <c r="M72" s="27"/>
      <c r="N72" s="27">
        <v>4.79</v>
      </c>
      <c r="O72" s="3"/>
      <c r="P72" s="19" t="s">
        <v>160</v>
      </c>
      <c r="Q72" s="26"/>
      <c r="R72" s="27"/>
      <c r="S72" s="27">
        <v>4.79</v>
      </c>
      <c r="T72" s="3"/>
      <c r="U72" s="19" t="s">
        <v>160</v>
      </c>
      <c r="V72" s="26"/>
      <c r="W72" s="27"/>
      <c r="X72" s="27">
        <v>4.79</v>
      </c>
      <c r="Y72" s="3"/>
      <c r="Z72" s="3"/>
    </row>
    <row r="73" spans="1:26" ht="15.75" customHeight="1">
      <c r="A73" s="19" t="s">
        <v>161</v>
      </c>
      <c r="B73" s="26"/>
      <c r="C73" s="27"/>
      <c r="D73" s="27">
        <f>-D19</f>
        <v>0</v>
      </c>
      <c r="E73" s="3"/>
      <c r="F73" s="19" t="s">
        <v>161</v>
      </c>
      <c r="G73" s="26"/>
      <c r="H73" s="27"/>
      <c r="I73" s="27"/>
      <c r="J73" s="3"/>
      <c r="K73" s="19" t="s">
        <v>161</v>
      </c>
      <c r="L73" s="26"/>
      <c r="M73" s="27"/>
      <c r="N73" s="27">
        <v>44</v>
      </c>
      <c r="O73" s="3"/>
      <c r="P73" s="19" t="s">
        <v>161</v>
      </c>
      <c r="Q73" s="26"/>
      <c r="R73" s="27"/>
      <c r="S73" s="27">
        <v>44</v>
      </c>
      <c r="T73" s="3"/>
      <c r="U73" s="19" t="s">
        <v>161</v>
      </c>
      <c r="V73" s="26"/>
      <c r="W73" s="27"/>
      <c r="X73" s="27">
        <v>44</v>
      </c>
      <c r="Y73" s="3"/>
      <c r="Z73" s="3"/>
    </row>
    <row r="74" spans="1:26" ht="15.75" customHeight="1">
      <c r="A74" s="19" t="s">
        <v>162</v>
      </c>
      <c r="B74" s="26"/>
      <c r="C74" s="27"/>
      <c r="D74" s="27">
        <f>-D18</f>
        <v>0</v>
      </c>
      <c r="E74" s="3"/>
      <c r="F74" s="19" t="s">
        <v>162</v>
      </c>
      <c r="G74" s="26"/>
      <c r="H74" s="27"/>
      <c r="I74" s="27"/>
      <c r="J74" s="3"/>
      <c r="K74" s="19" t="s">
        <v>162</v>
      </c>
      <c r="L74" s="26"/>
      <c r="M74" s="27"/>
      <c r="N74" s="27">
        <v>44</v>
      </c>
      <c r="O74" s="3"/>
      <c r="P74" s="19" t="s">
        <v>162</v>
      </c>
      <c r="Q74" s="26"/>
      <c r="R74" s="27"/>
      <c r="S74" s="27">
        <v>44</v>
      </c>
      <c r="T74" s="3"/>
      <c r="U74" s="19" t="s">
        <v>162</v>
      </c>
      <c r="V74" s="26"/>
      <c r="W74" s="27"/>
      <c r="X74" s="27">
        <v>44</v>
      </c>
      <c r="Y74" s="3"/>
      <c r="Z74" s="3"/>
    </row>
    <row r="75" spans="1:26" ht="15.75" customHeight="1">
      <c r="A75" s="19" t="s">
        <v>163</v>
      </c>
      <c r="B75" s="26"/>
      <c r="C75" s="27"/>
      <c r="D75" s="27">
        <f>-D17</f>
        <v>0</v>
      </c>
      <c r="E75" s="3"/>
      <c r="F75" s="19" t="s">
        <v>163</v>
      </c>
      <c r="G75" s="26"/>
      <c r="H75" s="27"/>
      <c r="I75" s="27">
        <f>D75</f>
        <v>0</v>
      </c>
      <c r="J75" s="3"/>
      <c r="K75" s="19" t="s">
        <v>163</v>
      </c>
      <c r="L75" s="26"/>
      <c r="M75" s="27"/>
      <c r="N75" s="27">
        <f>I75</f>
        <v>0</v>
      </c>
      <c r="O75" s="3"/>
      <c r="P75" s="19" t="s">
        <v>163</v>
      </c>
      <c r="Q75" s="26"/>
      <c r="R75" s="27"/>
      <c r="S75" s="27">
        <f>N75</f>
        <v>0</v>
      </c>
      <c r="T75" s="3"/>
      <c r="U75" s="19" t="s">
        <v>163</v>
      </c>
      <c r="V75" s="26"/>
      <c r="W75" s="27"/>
      <c r="X75" s="27">
        <f>S75</f>
        <v>0</v>
      </c>
      <c r="Y75" s="3"/>
      <c r="Z75" s="3" t="s">
        <v>164</v>
      </c>
    </row>
    <row r="76" spans="1:26" ht="15.75" customHeight="1">
      <c r="A76" s="24" t="s">
        <v>165</v>
      </c>
      <c r="B76" s="44"/>
      <c r="C76" s="47"/>
      <c r="D76" s="47" t="e">
        <f>SUM(D50:D75)</f>
        <v>#DIV/0!</v>
      </c>
      <c r="E76" s="3"/>
      <c r="F76" s="24" t="s">
        <v>165</v>
      </c>
      <c r="G76" s="24"/>
      <c r="H76" s="47"/>
      <c r="I76" s="47" t="e">
        <f>SUM(I50:I75)</f>
        <v>#DIV/0!</v>
      </c>
      <c r="J76" s="3"/>
      <c r="K76" s="24" t="s">
        <v>165</v>
      </c>
      <c r="L76" s="44"/>
      <c r="M76" s="47"/>
      <c r="N76" s="47" t="e">
        <f>SUM(N50:N75)</f>
        <v>#DIV/0!</v>
      </c>
      <c r="O76" s="3"/>
      <c r="P76" s="24" t="s">
        <v>165</v>
      </c>
      <c r="Q76" s="44"/>
      <c r="R76" s="47"/>
      <c r="S76" s="47" t="e">
        <f>SUM(S50:S75)</f>
        <v>#DIV/0!</v>
      </c>
      <c r="T76" s="3"/>
      <c r="U76" s="24" t="s">
        <v>165</v>
      </c>
      <c r="V76" s="44"/>
      <c r="W76" s="47"/>
      <c r="X76" s="47" t="e">
        <f>SUM(X50:X75)</f>
        <v>#DIV/0!</v>
      </c>
      <c r="Y76" s="3"/>
      <c r="Z76" s="3"/>
    </row>
    <row r="77" spans="1:26" ht="15.75" customHeight="1">
      <c r="A77" s="24" t="s">
        <v>166</v>
      </c>
      <c r="B77" s="24"/>
      <c r="C77" s="47" t="e">
        <f>D77/B45</f>
        <v>#DIV/0!</v>
      </c>
      <c r="D77" s="47" t="e">
        <f>((D76+55000*0.5+0.025*(0+0+0))/(1-(3/PRINCIPAL!B11)))</f>
        <v>#DIV/0!</v>
      </c>
      <c r="E77" s="3"/>
      <c r="F77" s="24" t="s">
        <v>166</v>
      </c>
      <c r="G77" s="24"/>
      <c r="H77" s="47" t="e">
        <f>I77/G45</f>
        <v>#DIV/0!</v>
      </c>
      <c r="I77" s="47" t="e">
        <f>((I76+41250*0.5+0.025*(0+0+0))/(1-(3/PRINCIPAL!B12)))</f>
        <v>#DIV/0!</v>
      </c>
      <c r="J77" s="3"/>
      <c r="K77" s="24" t="s">
        <v>166</v>
      </c>
      <c r="L77" s="44"/>
      <c r="M77" s="47" t="e">
        <f>N77/L45</f>
        <v>#DIV/0!</v>
      </c>
      <c r="N77" s="47" t="e">
        <f>(N76+55000*0.5+0.025*(0+0+0))/(1-(3/PRINCIPAL!B13))</f>
        <v>#DIV/0!</v>
      </c>
      <c r="O77" s="3"/>
      <c r="P77" s="24" t="s">
        <v>166</v>
      </c>
      <c r="Q77" s="44"/>
      <c r="R77" s="47" t="e">
        <f>S77/Q45</f>
        <v>#DIV/0!</v>
      </c>
      <c r="S77" s="47" t="e">
        <f>(S76+55000*0.5+0.025*(0+0+0))/(1-(3/PRINCIPAL!B14))</f>
        <v>#DIV/0!</v>
      </c>
      <c r="T77" s="3"/>
      <c r="U77" s="24" t="s">
        <v>166</v>
      </c>
      <c r="V77" s="44"/>
      <c r="W77" s="47" t="e">
        <f>X77/V45</f>
        <v>#DIV/0!</v>
      </c>
      <c r="X77" s="47" t="e">
        <f>(X76+55000*0.5+0.025*(0+0+0))/(1-(3/PRINCIPAL!B15))</f>
        <v>#DIV/0!</v>
      </c>
      <c r="Y77" s="3"/>
      <c r="Z77" s="3"/>
    </row>
    <row r="78" spans="1:26" ht="15.75" customHeight="1">
      <c r="A78" s="71" t="s">
        <v>167</v>
      </c>
      <c r="B78" s="26"/>
      <c r="C78" s="27"/>
      <c r="D78" s="27">
        <f>-D13</f>
        <v>0</v>
      </c>
      <c r="E78" s="3"/>
      <c r="F78" s="71" t="s">
        <v>167</v>
      </c>
      <c r="G78" s="26"/>
      <c r="H78" s="27"/>
      <c r="I78" s="27">
        <f>D78</f>
        <v>0</v>
      </c>
      <c r="J78" s="3"/>
      <c r="K78" s="71" t="s">
        <v>167</v>
      </c>
      <c r="L78" s="26"/>
      <c r="M78" s="27"/>
      <c r="N78" s="27">
        <f>I78</f>
        <v>0</v>
      </c>
      <c r="O78" s="3"/>
      <c r="P78" s="71" t="s">
        <v>167</v>
      </c>
      <c r="Q78" s="26"/>
      <c r="R78" s="27"/>
      <c r="S78" s="27">
        <f>N78</f>
        <v>0</v>
      </c>
      <c r="T78" s="3"/>
      <c r="U78" s="71" t="s">
        <v>167</v>
      </c>
      <c r="V78" s="26"/>
      <c r="W78" s="27"/>
      <c r="X78" s="27">
        <f>S78</f>
        <v>0</v>
      </c>
      <c r="Y78" s="3"/>
      <c r="Z78" s="3"/>
    </row>
    <row r="79" spans="1:26" ht="15.75" customHeight="1">
      <c r="A79" s="96" t="s">
        <v>51</v>
      </c>
      <c r="B79" s="96"/>
      <c r="C79" s="97" t="e">
        <f>D79/B45</f>
        <v>#DIV/0!</v>
      </c>
      <c r="D79" s="97" t="e">
        <f>D77+D78</f>
        <v>#DIV/0!</v>
      </c>
      <c r="E79" s="3"/>
      <c r="F79" s="97" t="s">
        <v>51</v>
      </c>
      <c r="G79" s="97"/>
      <c r="H79" s="97" t="e">
        <f>I79/G45</f>
        <v>#DIV/0!</v>
      </c>
      <c r="I79" s="97" t="e">
        <f>I77+I78</f>
        <v>#DIV/0!</v>
      </c>
      <c r="J79" s="3"/>
      <c r="K79" s="97" t="s">
        <v>51</v>
      </c>
      <c r="L79" s="97"/>
      <c r="M79" s="97" t="e">
        <f>N79/L45</f>
        <v>#DIV/0!</v>
      </c>
      <c r="N79" s="97" t="e">
        <f>N77+N78</f>
        <v>#DIV/0!</v>
      </c>
      <c r="O79" s="3"/>
      <c r="P79" s="97" t="s">
        <v>51</v>
      </c>
      <c r="Q79" s="97"/>
      <c r="R79" s="97" t="e">
        <f>S79/Q45</f>
        <v>#DIV/0!</v>
      </c>
      <c r="S79" s="97" t="e">
        <f>S78+S77</f>
        <v>#DIV/0!</v>
      </c>
      <c r="T79" s="3"/>
      <c r="U79" s="97" t="s">
        <v>51</v>
      </c>
      <c r="V79" s="97"/>
      <c r="W79" s="97" t="e">
        <f>X79/V45</f>
        <v>#DIV/0!</v>
      </c>
      <c r="X79" s="97" t="e">
        <f>X77+X78</f>
        <v>#DIV/0!</v>
      </c>
      <c r="Y79" s="3"/>
      <c r="Z79" s="3"/>
    </row>
    <row r="80" spans="1:26" ht="15.75" customHeight="1">
      <c r="A80" s="71" t="s">
        <v>168</v>
      </c>
      <c r="B80" s="26"/>
      <c r="C80" s="27"/>
      <c r="D80" s="27">
        <f>-D11</f>
        <v>0</v>
      </c>
      <c r="E80" s="3"/>
      <c r="F80" s="71" t="s">
        <v>168</v>
      </c>
      <c r="G80" s="26"/>
      <c r="H80" s="27"/>
      <c r="I80" s="27">
        <v>235</v>
      </c>
      <c r="J80" s="3"/>
      <c r="K80" s="71" t="s">
        <v>168</v>
      </c>
      <c r="L80" s="26"/>
      <c r="M80" s="27"/>
      <c r="N80" s="27"/>
      <c r="O80" s="3"/>
      <c r="P80" s="71" t="s">
        <v>168</v>
      </c>
      <c r="Q80" s="26"/>
      <c r="R80" s="27"/>
      <c r="S80" s="27"/>
      <c r="T80" s="3"/>
      <c r="U80" s="71" t="s">
        <v>168</v>
      </c>
      <c r="V80" s="26"/>
      <c r="W80" s="27"/>
      <c r="X80" s="27"/>
      <c r="Y80" s="3"/>
      <c r="Z80" s="3"/>
    </row>
    <row r="81" spans="1:26" ht="15.75" customHeight="1">
      <c r="A81" s="24" t="s">
        <v>45</v>
      </c>
      <c r="B81" s="44"/>
      <c r="C81" s="47" t="e">
        <f>D81/B3</f>
        <v>#DIV/0!</v>
      </c>
      <c r="D81" s="47" t="e">
        <f>D79+D80</f>
        <v>#DIV/0!</v>
      </c>
      <c r="E81" s="3"/>
      <c r="F81" s="24" t="s">
        <v>45</v>
      </c>
      <c r="G81" s="44"/>
      <c r="H81" s="47" t="e">
        <f>I81/G45</f>
        <v>#DIV/0!</v>
      </c>
      <c r="I81" s="47" t="e">
        <f>I79+I80</f>
        <v>#DIV/0!</v>
      </c>
      <c r="J81" s="3"/>
      <c r="K81" s="24" t="s">
        <v>45</v>
      </c>
      <c r="L81" s="44"/>
      <c r="M81" s="47" t="e">
        <f>N81/L45</f>
        <v>#DIV/0!</v>
      </c>
      <c r="N81" s="47" t="e">
        <f>N79+N80</f>
        <v>#DIV/0!</v>
      </c>
      <c r="O81" s="3"/>
      <c r="P81" s="24" t="s">
        <v>45</v>
      </c>
      <c r="Q81" s="44"/>
      <c r="R81" s="47" t="e">
        <f>S81/Q45</f>
        <v>#DIV/0!</v>
      </c>
      <c r="S81" s="47" t="e">
        <f>S79+S80</f>
        <v>#DIV/0!</v>
      </c>
      <c r="T81" s="3"/>
      <c r="U81" s="24" t="s">
        <v>45</v>
      </c>
      <c r="V81" s="44"/>
      <c r="W81" s="47" t="e">
        <f>X81/V45</f>
        <v>#DIV/0!</v>
      </c>
      <c r="X81" s="47" t="e">
        <f>X79+X80</f>
        <v>#DIV/0!</v>
      </c>
      <c r="Y81" s="3"/>
      <c r="Z81" s="3"/>
    </row>
    <row r="82" spans="1:26" ht="15.75" customHeight="1">
      <c r="A82" s="19" t="s">
        <v>43</v>
      </c>
      <c r="B82" s="26"/>
      <c r="C82" s="27"/>
      <c r="D82" s="27">
        <f>D9</f>
        <v>0</v>
      </c>
      <c r="E82" s="3"/>
      <c r="F82" s="19" t="s">
        <v>43</v>
      </c>
      <c r="G82" s="26"/>
      <c r="H82" s="27"/>
      <c r="I82" s="27">
        <f>I9</f>
        <v>0</v>
      </c>
      <c r="J82" s="3"/>
      <c r="K82" s="19" t="s">
        <v>43</v>
      </c>
      <c r="L82" s="26"/>
      <c r="M82" s="27"/>
      <c r="N82" s="27">
        <f>N9</f>
        <v>0</v>
      </c>
      <c r="O82" s="3"/>
      <c r="P82" s="19" t="s">
        <v>43</v>
      </c>
      <c r="Q82" s="26"/>
      <c r="R82" s="27"/>
      <c r="S82" s="27">
        <f>S9</f>
        <v>0</v>
      </c>
      <c r="T82" s="3"/>
      <c r="U82" s="19" t="s">
        <v>43</v>
      </c>
      <c r="V82" s="26"/>
      <c r="W82" s="27"/>
      <c r="X82" s="27">
        <f>X9</f>
        <v>0</v>
      </c>
      <c r="Y82" s="3"/>
      <c r="Z82" s="3"/>
    </row>
    <row r="83" spans="1:26" ht="15.75" customHeight="1">
      <c r="A83" s="19" t="s">
        <v>175</v>
      </c>
      <c r="B83" s="26"/>
      <c r="C83" s="27"/>
      <c r="D83" s="27" t="e">
        <f>D81*0.15*0.75</f>
        <v>#DIV/0!</v>
      </c>
      <c r="E83" s="3"/>
      <c r="F83" s="19" t="s">
        <v>175</v>
      </c>
      <c r="G83" s="26"/>
      <c r="H83" s="27"/>
      <c r="I83" s="27" t="e">
        <f>I81*0.15*0.75</f>
        <v>#DIV/0!</v>
      </c>
      <c r="J83" s="3"/>
      <c r="K83" s="19" t="s">
        <v>175</v>
      </c>
      <c r="L83" s="26"/>
      <c r="M83" s="27"/>
      <c r="N83" s="27" t="e">
        <f>N81*0.15*0.75</f>
        <v>#DIV/0!</v>
      </c>
      <c r="O83" s="3"/>
      <c r="P83" s="19" t="s">
        <v>175</v>
      </c>
      <c r="Q83" s="26"/>
      <c r="R83" s="27"/>
      <c r="S83" s="27" t="e">
        <f>S81*0.15*0.75</f>
        <v>#DIV/0!</v>
      </c>
      <c r="T83" s="3"/>
      <c r="U83" s="19" t="s">
        <v>175</v>
      </c>
      <c r="V83" s="26"/>
      <c r="W83" s="27"/>
      <c r="X83" s="27" t="e">
        <f>X81*0.15*0.75</f>
        <v>#DIV/0!</v>
      </c>
      <c r="Y83" s="3"/>
      <c r="Z83" s="3"/>
    </row>
    <row r="84" spans="1:26" ht="15.75" customHeight="1">
      <c r="A84" s="24" t="s">
        <v>38</v>
      </c>
      <c r="B84" s="44"/>
      <c r="C84" s="47" t="e">
        <f>D84/B3</f>
        <v>#DIV/0!</v>
      </c>
      <c r="D84" s="47" t="e">
        <f>D81+D82+D83</f>
        <v>#DIV/0!</v>
      </c>
      <c r="E84" s="3"/>
      <c r="F84" s="24" t="s">
        <v>38</v>
      </c>
      <c r="G84" s="24"/>
      <c r="H84" s="47" t="e">
        <f>I84/G45</f>
        <v>#DIV/0!</v>
      </c>
      <c r="I84" s="47" t="e">
        <f>I81+I82+I83</f>
        <v>#DIV/0!</v>
      </c>
      <c r="J84" s="3"/>
      <c r="K84" s="24" t="s">
        <v>38</v>
      </c>
      <c r="L84" s="44"/>
      <c r="M84" s="47" t="e">
        <f>N84/L45</f>
        <v>#DIV/0!</v>
      </c>
      <c r="N84" s="47" t="e">
        <f>N81+N82+N83</f>
        <v>#DIV/0!</v>
      </c>
      <c r="O84" s="3"/>
      <c r="P84" s="24" t="s">
        <v>38</v>
      </c>
      <c r="Q84" s="44"/>
      <c r="R84" s="47" t="e">
        <f>S84/Q45</f>
        <v>#DIV/0!</v>
      </c>
      <c r="S84" s="47" t="e">
        <f>S81+S82+S83</f>
        <v>#DIV/0!</v>
      </c>
      <c r="T84" s="3"/>
      <c r="U84" s="24" t="s">
        <v>38</v>
      </c>
      <c r="V84" s="44"/>
      <c r="W84" s="47" t="e">
        <f>X84/V45</f>
        <v>#DIV/0!</v>
      </c>
      <c r="X84" s="47" t="e">
        <f>X81+X82+X83</f>
        <v>#DIV/0!</v>
      </c>
      <c r="Y84" s="3"/>
      <c r="Z84" s="3"/>
    </row>
    <row r="85" spans="1:26" ht="15.75" customHeight="1">
      <c r="A85" s="19" t="s">
        <v>194</v>
      </c>
      <c r="B85" s="26"/>
      <c r="C85" s="27"/>
      <c r="D85" s="27" t="e">
        <f>D84*2.3</f>
        <v>#DIV/0!</v>
      </c>
      <c r="E85" s="3"/>
      <c r="F85" s="19" t="s">
        <v>194</v>
      </c>
      <c r="G85" s="26"/>
      <c r="H85" s="27" t="e">
        <f>I85/G45</f>
        <v>#DIV/0!</v>
      </c>
      <c r="I85" s="27" t="e">
        <f>I84*2.3</f>
        <v>#DIV/0!</v>
      </c>
      <c r="J85" s="3"/>
      <c r="K85" s="19" t="s">
        <v>194</v>
      </c>
      <c r="L85" s="26"/>
      <c r="M85" s="27"/>
      <c r="N85" s="27" t="e">
        <f>N84*1.8</f>
        <v>#DIV/0!</v>
      </c>
      <c r="O85" s="3"/>
      <c r="P85" s="19" t="s">
        <v>194</v>
      </c>
      <c r="Q85" s="26"/>
      <c r="R85" s="27"/>
      <c r="S85" s="27" t="e">
        <f>S84*2.3</f>
        <v>#DIV/0!</v>
      </c>
      <c r="T85" s="3"/>
      <c r="U85" s="19" t="s">
        <v>194</v>
      </c>
      <c r="V85" s="26"/>
      <c r="W85" s="27"/>
      <c r="X85" s="27" t="e">
        <f>X84*2.3</f>
        <v>#DIV/0!</v>
      </c>
      <c r="Y85" s="3"/>
      <c r="Z85" s="3"/>
    </row>
    <row r="86" spans="1:26" ht="15.75" customHeight="1">
      <c r="A86" s="19" t="s">
        <v>27</v>
      </c>
      <c r="B86" s="26"/>
      <c r="C86" s="27"/>
      <c r="D86" s="27" t="e">
        <f>D85*1.1</f>
        <v>#DIV/0!</v>
      </c>
      <c r="E86" s="3"/>
      <c r="F86" s="19" t="s">
        <v>27</v>
      </c>
      <c r="G86" s="26"/>
      <c r="H86" s="27" t="e">
        <f>I86/G45</f>
        <v>#DIV/0!</v>
      </c>
      <c r="I86" s="27" t="e">
        <f>I85*1.1</f>
        <v>#DIV/0!</v>
      </c>
      <c r="J86" s="3"/>
      <c r="K86" s="19" t="s">
        <v>27</v>
      </c>
      <c r="L86" s="26"/>
      <c r="M86" s="27"/>
      <c r="N86" s="27" t="e">
        <f>N85*1.1</f>
        <v>#DIV/0!</v>
      </c>
      <c r="O86" s="3"/>
      <c r="P86" s="19" t="s">
        <v>27</v>
      </c>
      <c r="Q86" s="26"/>
      <c r="R86" s="27"/>
      <c r="S86" s="27" t="e">
        <f>S85*1.1</f>
        <v>#DIV/0!</v>
      </c>
      <c r="T86" s="3"/>
      <c r="U86" s="19" t="s">
        <v>27</v>
      </c>
      <c r="V86" s="26"/>
      <c r="W86" s="27"/>
      <c r="X86" s="27" t="e">
        <f>X85*1.1</f>
        <v>#DIV/0!</v>
      </c>
      <c r="Y86" s="3"/>
      <c r="Z86" s="3"/>
    </row>
    <row r="87" spans="1:26" ht="15.75" customHeight="1">
      <c r="A87" s="107" t="s">
        <v>199</v>
      </c>
      <c r="B87" s="108"/>
      <c r="C87" s="109" t="e">
        <f>D87/B3</f>
        <v>#DIV/0!</v>
      </c>
      <c r="D87" s="109" t="e">
        <f>D86</f>
        <v>#DIV/0!</v>
      </c>
      <c r="E87" s="3"/>
      <c r="F87" s="107" t="s">
        <v>199</v>
      </c>
      <c r="G87" s="108"/>
      <c r="H87" s="109" t="e">
        <f>I87/G45</f>
        <v>#DIV/0!</v>
      </c>
      <c r="I87" s="109" t="e">
        <f>I86</f>
        <v>#DIV/0!</v>
      </c>
      <c r="J87" s="3"/>
      <c r="K87" s="107" t="s">
        <v>199</v>
      </c>
      <c r="L87" s="108"/>
      <c r="M87" s="109" t="e">
        <f>N87/L45</f>
        <v>#DIV/0!</v>
      </c>
      <c r="N87" s="109" t="e">
        <f>N86</f>
        <v>#DIV/0!</v>
      </c>
      <c r="O87" s="3"/>
      <c r="P87" s="107" t="s">
        <v>199</v>
      </c>
      <c r="Q87" s="108"/>
      <c r="R87" s="109" t="e">
        <f>S87/Q45</f>
        <v>#DIV/0!</v>
      </c>
      <c r="S87" s="109" t="e">
        <f>S86</f>
        <v>#DIV/0!</v>
      </c>
      <c r="T87" s="3"/>
      <c r="U87" s="107" t="s">
        <v>199</v>
      </c>
      <c r="V87" s="108"/>
      <c r="W87" s="109" t="e">
        <f>X87/V45</f>
        <v>#DIV/0!</v>
      </c>
      <c r="X87" s="109" t="e">
        <f>X86</f>
        <v>#DIV/0!</v>
      </c>
      <c r="Y87" s="3"/>
      <c r="Z87" s="3"/>
    </row>
    <row r="88" spans="1:26" ht="15.75" customHeight="1">
      <c r="Y88" s="3"/>
      <c r="Z88" s="3"/>
    </row>
    <row r="89" spans="1:26" ht="15.75" customHeight="1">
      <c r="A89" s="3"/>
      <c r="B89" s="32"/>
      <c r="C89" s="80"/>
      <c r="D89" s="8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24" t="s">
        <v>51</v>
      </c>
      <c r="B90" s="115" t="s">
        <v>208</v>
      </c>
      <c r="C90" s="80"/>
      <c r="D90" s="8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24" t="s">
        <v>9</v>
      </c>
      <c r="B91" s="117" t="e">
        <f>C79</f>
        <v>#DIV/0!</v>
      </c>
      <c r="C91" s="80"/>
      <c r="D91" s="118"/>
      <c r="E91" s="119"/>
      <c r="F91" s="119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24" t="s">
        <v>23</v>
      </c>
      <c r="B92" s="117" t="e">
        <f>H79</f>
        <v>#DIV/0!</v>
      </c>
      <c r="C92" s="80"/>
      <c r="D92" s="118"/>
      <c r="E92" s="119"/>
      <c r="F92" s="11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24" t="s">
        <v>26</v>
      </c>
      <c r="B93" s="117" t="e">
        <f>M79</f>
        <v>#DIV/0!</v>
      </c>
      <c r="C93" s="80"/>
      <c r="D93" s="118"/>
      <c r="E93" s="119"/>
      <c r="F93" s="11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24" t="s">
        <v>35</v>
      </c>
      <c r="B94" s="117" t="e">
        <f>R79</f>
        <v>#DIV/0!</v>
      </c>
      <c r="C94" s="80"/>
      <c r="D94" s="118"/>
      <c r="E94" s="119"/>
      <c r="F94" s="11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24" t="s">
        <v>42</v>
      </c>
      <c r="B95" s="117" t="e">
        <f>W79</f>
        <v>#DIV/0!</v>
      </c>
      <c r="C95" s="80"/>
      <c r="D95" s="118"/>
      <c r="E95" s="119"/>
      <c r="F95" s="11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2"/>
      <c r="C96" s="80"/>
      <c r="D96" s="118"/>
      <c r="E96" s="119"/>
      <c r="F96" s="11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2"/>
      <c r="C97" s="80"/>
      <c r="D97" s="8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2"/>
      <c r="C98" s="80"/>
      <c r="D98" s="8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2"/>
      <c r="C99" s="80"/>
      <c r="D99" s="8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2"/>
      <c r="C100" s="80"/>
      <c r="D100" s="8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2"/>
      <c r="C101" s="80"/>
      <c r="D101" s="8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2"/>
      <c r="C102" s="80"/>
      <c r="D102" s="8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2"/>
      <c r="C103" s="80"/>
      <c r="D103" s="8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2"/>
      <c r="C104" s="80"/>
      <c r="D104" s="8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2"/>
      <c r="C105" s="80"/>
      <c r="D105" s="8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2"/>
      <c r="C106" s="80"/>
      <c r="D106" s="8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2"/>
      <c r="C107" s="80"/>
      <c r="D107" s="8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2"/>
      <c r="C108" s="80"/>
      <c r="D108" s="8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2"/>
      <c r="C109" s="80"/>
      <c r="D109" s="8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2"/>
      <c r="C110" s="80"/>
      <c r="D110" s="8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2"/>
      <c r="C111" s="80"/>
      <c r="D111" s="8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2"/>
      <c r="C112" s="80"/>
      <c r="D112" s="8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2"/>
      <c r="C113" s="80"/>
      <c r="D113" s="8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2"/>
      <c r="C114" s="80"/>
      <c r="D114" s="8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2"/>
      <c r="C115" s="80"/>
      <c r="D115" s="8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2"/>
      <c r="C116" s="80"/>
      <c r="D116" s="8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2"/>
      <c r="C117" s="80"/>
      <c r="D117" s="8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2"/>
      <c r="C118" s="80"/>
      <c r="D118" s="8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2"/>
      <c r="C119" s="80"/>
      <c r="D119" s="8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2"/>
      <c r="C120" s="80"/>
      <c r="D120" s="8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2"/>
      <c r="C121" s="80"/>
      <c r="D121" s="8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2"/>
      <c r="C122" s="80"/>
      <c r="D122" s="8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2"/>
      <c r="C123" s="80"/>
      <c r="D123" s="8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2"/>
      <c r="C124" s="80"/>
      <c r="D124" s="8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2"/>
      <c r="C125" s="80"/>
      <c r="D125" s="8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2"/>
      <c r="C126" s="80"/>
      <c r="D126" s="8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2"/>
      <c r="C127" s="80"/>
      <c r="D127" s="8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2"/>
      <c r="C128" s="80"/>
      <c r="D128" s="8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2"/>
      <c r="C129" s="80"/>
      <c r="D129" s="8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2"/>
      <c r="C130" s="80"/>
      <c r="D130" s="8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2"/>
      <c r="C131" s="80"/>
      <c r="D131" s="8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2"/>
      <c r="C132" s="80"/>
      <c r="D132" s="8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2"/>
      <c r="C133" s="80"/>
      <c r="D133" s="8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2"/>
      <c r="C134" s="80"/>
      <c r="D134" s="8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2"/>
      <c r="C135" s="80"/>
      <c r="D135" s="8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2"/>
      <c r="C136" s="80"/>
      <c r="D136" s="8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2"/>
      <c r="C137" s="80"/>
      <c r="D137" s="8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2"/>
      <c r="C138" s="80"/>
      <c r="D138" s="8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2"/>
      <c r="C139" s="80"/>
      <c r="D139" s="8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2"/>
      <c r="C140" s="80"/>
      <c r="D140" s="8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2"/>
      <c r="C141" s="80"/>
      <c r="D141" s="8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2"/>
      <c r="C142" s="80"/>
      <c r="D142" s="8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2"/>
      <c r="C143" s="80"/>
      <c r="D143" s="8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2"/>
      <c r="C144" s="80"/>
      <c r="D144" s="8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2"/>
      <c r="C145" s="80"/>
      <c r="D145" s="8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2"/>
      <c r="C146" s="80"/>
      <c r="D146" s="8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2"/>
      <c r="C147" s="80"/>
      <c r="D147" s="8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2"/>
      <c r="C148" s="80"/>
      <c r="D148" s="8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2"/>
      <c r="C149" s="80"/>
      <c r="D149" s="8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2"/>
      <c r="C150" s="80"/>
      <c r="D150" s="8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2"/>
      <c r="C151" s="80"/>
      <c r="D151" s="8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2"/>
      <c r="C152" s="80"/>
      <c r="D152" s="8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2"/>
      <c r="C153" s="80"/>
      <c r="D153" s="8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2"/>
      <c r="C154" s="80"/>
      <c r="D154" s="8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2"/>
      <c r="C155" s="80"/>
      <c r="D155" s="8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2"/>
      <c r="C156" s="80"/>
      <c r="D156" s="8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2"/>
      <c r="C157" s="80"/>
      <c r="D157" s="8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2"/>
      <c r="C158" s="80"/>
      <c r="D158" s="8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2"/>
      <c r="C159" s="80"/>
      <c r="D159" s="8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2"/>
      <c r="C160" s="80"/>
      <c r="D160" s="8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2"/>
      <c r="C161" s="80"/>
      <c r="D161" s="8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2"/>
      <c r="C162" s="80"/>
      <c r="D162" s="8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2"/>
      <c r="C163" s="80"/>
      <c r="D163" s="8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2"/>
      <c r="C164" s="80"/>
      <c r="D164" s="8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2"/>
      <c r="C165" s="80"/>
      <c r="D165" s="8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2"/>
      <c r="C166" s="80"/>
      <c r="D166" s="8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2"/>
      <c r="C167" s="80"/>
      <c r="D167" s="8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2"/>
      <c r="C168" s="80"/>
      <c r="D168" s="8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2"/>
      <c r="C169" s="80"/>
      <c r="D169" s="8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2"/>
      <c r="C170" s="80"/>
      <c r="D170" s="8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2"/>
      <c r="C171" s="80"/>
      <c r="D171" s="8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2"/>
      <c r="C172" s="80"/>
      <c r="D172" s="8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2"/>
      <c r="C173" s="80"/>
      <c r="D173" s="8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2"/>
      <c r="C174" s="80"/>
      <c r="D174" s="8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2"/>
      <c r="C175" s="80"/>
      <c r="D175" s="8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2"/>
      <c r="C176" s="80"/>
      <c r="D176" s="8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2"/>
      <c r="C177" s="80"/>
      <c r="D177" s="8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2"/>
      <c r="C178" s="80"/>
      <c r="D178" s="8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2"/>
      <c r="C179" s="80"/>
      <c r="D179" s="8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2"/>
      <c r="C180" s="80"/>
      <c r="D180" s="8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2"/>
      <c r="C181" s="80"/>
      <c r="D181" s="8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2"/>
      <c r="C182" s="80"/>
      <c r="D182" s="8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2"/>
      <c r="C183" s="80"/>
      <c r="D183" s="8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2"/>
      <c r="C184" s="80"/>
      <c r="D184" s="8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2"/>
      <c r="C185" s="80"/>
      <c r="D185" s="8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2"/>
      <c r="C186" s="80"/>
      <c r="D186" s="8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2"/>
      <c r="C187" s="80"/>
      <c r="D187" s="8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2"/>
      <c r="C188" s="80"/>
      <c r="D188" s="8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2"/>
      <c r="C189" s="80"/>
      <c r="D189" s="8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2"/>
      <c r="C190" s="80"/>
      <c r="D190" s="8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2"/>
      <c r="C191" s="80"/>
      <c r="D191" s="8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2"/>
      <c r="C192" s="80"/>
      <c r="D192" s="8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2"/>
      <c r="C193" s="80"/>
      <c r="D193" s="8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2"/>
      <c r="C194" s="80"/>
      <c r="D194" s="8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2"/>
      <c r="C195" s="80"/>
      <c r="D195" s="8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2"/>
      <c r="C196" s="80"/>
      <c r="D196" s="8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2"/>
      <c r="C197" s="80"/>
      <c r="D197" s="8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2"/>
      <c r="C198" s="80"/>
      <c r="D198" s="8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2"/>
      <c r="C199" s="80"/>
      <c r="D199" s="8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2"/>
      <c r="C200" s="80"/>
      <c r="D200" s="8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2"/>
      <c r="C201" s="80"/>
      <c r="D201" s="8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2"/>
      <c r="C202" s="80"/>
      <c r="D202" s="8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2"/>
      <c r="C203" s="80"/>
      <c r="D203" s="8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2"/>
      <c r="C204" s="80"/>
      <c r="D204" s="8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2"/>
      <c r="C205" s="80"/>
      <c r="D205" s="8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2"/>
      <c r="C206" s="80"/>
      <c r="D206" s="8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2"/>
      <c r="C207" s="80"/>
      <c r="D207" s="8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2"/>
      <c r="C208" s="80"/>
      <c r="D208" s="8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2"/>
      <c r="C209" s="80"/>
      <c r="D209" s="8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2"/>
      <c r="C210" s="80"/>
      <c r="D210" s="8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2"/>
      <c r="C211" s="80"/>
      <c r="D211" s="8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2"/>
      <c r="C212" s="80"/>
      <c r="D212" s="8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2"/>
      <c r="C213" s="80"/>
      <c r="D213" s="8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2"/>
      <c r="C214" s="80"/>
      <c r="D214" s="8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2"/>
      <c r="C215" s="80"/>
      <c r="D215" s="8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2"/>
      <c r="C216" s="80"/>
      <c r="D216" s="8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2"/>
      <c r="C217" s="80"/>
      <c r="D217" s="8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2"/>
      <c r="C218" s="80"/>
      <c r="D218" s="8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2"/>
      <c r="C219" s="80"/>
      <c r="D219" s="8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2"/>
      <c r="C220" s="80"/>
      <c r="D220" s="8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2"/>
      <c r="C221" s="80"/>
      <c r="D221" s="8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2"/>
      <c r="C222" s="80"/>
      <c r="D222" s="8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2"/>
      <c r="C223" s="80"/>
      <c r="D223" s="8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2"/>
      <c r="C224" s="80"/>
      <c r="D224" s="8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2"/>
      <c r="C225" s="80"/>
      <c r="D225" s="8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2"/>
      <c r="C226" s="80"/>
      <c r="D226" s="8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2"/>
      <c r="C227" s="80"/>
      <c r="D227" s="8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2"/>
      <c r="C228" s="80"/>
      <c r="D228" s="8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2"/>
      <c r="C229" s="80"/>
      <c r="D229" s="8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2"/>
      <c r="C230" s="80"/>
      <c r="D230" s="8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2"/>
      <c r="C231" s="80"/>
      <c r="D231" s="8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2"/>
      <c r="C232" s="80"/>
      <c r="D232" s="8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2"/>
      <c r="C233" s="80"/>
      <c r="D233" s="8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2"/>
      <c r="C234" s="80"/>
      <c r="D234" s="8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2"/>
      <c r="C235" s="80"/>
      <c r="D235" s="8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2"/>
      <c r="C236" s="80"/>
      <c r="D236" s="8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2"/>
      <c r="C237" s="80"/>
      <c r="D237" s="8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2"/>
      <c r="C238" s="80"/>
      <c r="D238" s="8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2"/>
      <c r="C239" s="80"/>
      <c r="D239" s="8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2"/>
      <c r="C240" s="80"/>
      <c r="D240" s="8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2"/>
      <c r="C241" s="80"/>
      <c r="D241" s="8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2"/>
      <c r="C242" s="80"/>
      <c r="D242" s="8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2"/>
      <c r="C243" s="80"/>
      <c r="D243" s="8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2"/>
      <c r="C244" s="80"/>
      <c r="D244" s="8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2"/>
      <c r="C245" s="80"/>
      <c r="D245" s="8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2"/>
      <c r="C246" s="80"/>
      <c r="D246" s="8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2"/>
      <c r="C247" s="80"/>
      <c r="D247" s="8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2"/>
      <c r="C248" s="80"/>
      <c r="D248" s="8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2"/>
      <c r="C249" s="80"/>
      <c r="D249" s="8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2"/>
      <c r="C250" s="80"/>
      <c r="D250" s="8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2"/>
      <c r="C251" s="80"/>
      <c r="D251" s="8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2"/>
      <c r="C252" s="80"/>
      <c r="D252" s="8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2"/>
      <c r="C253" s="80"/>
      <c r="D253" s="8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2"/>
      <c r="C254" s="80"/>
      <c r="D254" s="8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2"/>
      <c r="C255" s="80"/>
      <c r="D255" s="8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2"/>
      <c r="C256" s="80"/>
      <c r="D256" s="8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2"/>
      <c r="C257" s="80"/>
      <c r="D257" s="8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2"/>
      <c r="C258" s="80"/>
      <c r="D258" s="8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2"/>
      <c r="C259" s="80"/>
      <c r="D259" s="8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2"/>
      <c r="C260" s="80"/>
      <c r="D260" s="8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2"/>
      <c r="C261" s="80"/>
      <c r="D261" s="8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2"/>
      <c r="C262" s="80"/>
      <c r="D262" s="8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2"/>
      <c r="C263" s="80"/>
      <c r="D263" s="8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2"/>
      <c r="C264" s="80"/>
      <c r="D264" s="8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2"/>
      <c r="C265" s="80"/>
      <c r="D265" s="8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2"/>
      <c r="C266" s="80"/>
      <c r="D266" s="8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2"/>
      <c r="C267" s="80"/>
      <c r="D267" s="8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2"/>
      <c r="C268" s="80"/>
      <c r="D268" s="8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2"/>
      <c r="C269" s="80"/>
      <c r="D269" s="8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2"/>
      <c r="C270" s="80"/>
      <c r="D270" s="8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2"/>
      <c r="C271" s="80"/>
      <c r="D271" s="8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2"/>
      <c r="C272" s="80"/>
      <c r="D272" s="8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2"/>
      <c r="C273" s="80"/>
      <c r="D273" s="8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2"/>
      <c r="C274" s="80"/>
      <c r="D274" s="8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2"/>
      <c r="C275" s="80"/>
      <c r="D275" s="8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2"/>
      <c r="C276" s="80"/>
      <c r="D276" s="8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2"/>
      <c r="C277" s="80"/>
      <c r="D277" s="8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2"/>
      <c r="C278" s="80"/>
      <c r="D278" s="8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2"/>
      <c r="C279" s="80"/>
      <c r="D279" s="8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2"/>
      <c r="C280" s="80"/>
      <c r="D280" s="8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2"/>
      <c r="C281" s="80"/>
      <c r="D281" s="8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2"/>
      <c r="C282" s="80"/>
      <c r="D282" s="8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2"/>
      <c r="C283" s="80"/>
      <c r="D283" s="8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2"/>
      <c r="C284" s="80"/>
      <c r="D284" s="8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2"/>
      <c r="C285" s="80"/>
      <c r="D285" s="8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2"/>
      <c r="C286" s="80"/>
      <c r="D286" s="8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2"/>
      <c r="C287" s="80"/>
      <c r="D287" s="8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43:D43"/>
    <mergeCell ref="F43:I43"/>
    <mergeCell ref="K43:N43"/>
    <mergeCell ref="P43:S43"/>
    <mergeCell ref="U43:X43"/>
  </mergeCell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1000"/>
  <sheetViews>
    <sheetView showGridLines="0" workbookViewId="0">
      <selection sqref="A1:F1"/>
    </sheetView>
  </sheetViews>
  <sheetFormatPr baseColWidth="10" defaultColWidth="14.5" defaultRowHeight="15" customHeight="1" x14ac:dyDescent="0"/>
  <cols>
    <col min="1" max="1" width="17" customWidth="1"/>
    <col min="2" max="2" width="17.83203125" customWidth="1"/>
    <col min="3" max="4" width="16.1640625" customWidth="1"/>
    <col min="5" max="6" width="17.83203125" customWidth="1"/>
    <col min="7" max="7" width="10" customWidth="1"/>
  </cols>
  <sheetData>
    <row r="1" spans="1:25" ht="15.75" customHeight="1">
      <c r="A1" s="251" t="s">
        <v>69</v>
      </c>
      <c r="B1" s="250"/>
      <c r="C1" s="250"/>
      <c r="D1" s="250"/>
      <c r="E1" s="250"/>
      <c r="F1" s="24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4">
        <v>1</v>
      </c>
      <c r="B2" s="14">
        <v>2</v>
      </c>
      <c r="C2" s="14">
        <v>3</v>
      </c>
      <c r="D2" s="14">
        <v>4</v>
      </c>
      <c r="E2" s="14">
        <v>5</v>
      </c>
      <c r="F2" s="14" t="s">
        <v>78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4">
        <f>'PricingCostos embarques'!B3*4</f>
        <v>0</v>
      </c>
      <c r="B3" s="69">
        <f>'Demanda '!C3</f>
        <v>265</v>
      </c>
      <c r="C3" s="69">
        <f>'Demanda '!D3</f>
        <v>281</v>
      </c>
      <c r="D3" s="69">
        <f>'Demanda '!E3</f>
        <v>298</v>
      </c>
      <c r="E3" s="69">
        <f>'Demanda '!F3</f>
        <v>316</v>
      </c>
      <c r="F3" s="73">
        <f>SUM(A3:E3)</f>
        <v>1160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251" t="s">
        <v>96</v>
      </c>
      <c r="B6" s="250"/>
      <c r="C6" s="250"/>
      <c r="D6" s="250"/>
      <c r="E6" s="250"/>
      <c r="F6" s="24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76" t="e">
        <f>EERR!C52+EERR!C53+EERR!C48+EERR!C40+EERR!C46+EERR!C45+EERR!C51</f>
        <v>#DIV/0!</v>
      </c>
      <c r="B8" s="76" t="e">
        <f>EERR!D52+EERR!D53+EERR!D48+EERR!D40+EERR!D46+EERR!D45+EERR!D51</f>
        <v>#DIV/0!</v>
      </c>
      <c r="C8" s="76" t="e">
        <f>EERR!E52+EERR!E53+EERR!E48+EERR!E40+EERR!E46+EERR!E45+EERR!E51</f>
        <v>#DIV/0!</v>
      </c>
      <c r="D8" s="76" t="e">
        <f>EERR!F52+EERR!F53+EERR!F48+EERR!F40+EERR!F46+EERR!F45+EERR!F51</f>
        <v>#DIV/0!</v>
      </c>
      <c r="E8" s="76" t="e">
        <f>EERR!G52+EERR!G53+EERR!G48+EERR!G40+EERR!G46+EERR!G45+EERR!G51</f>
        <v>#DIV/0!</v>
      </c>
      <c r="F8" s="76" t="e">
        <f>SUM(A8:E8)</f>
        <v>#DIV/0!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251" t="s">
        <v>107</v>
      </c>
      <c r="B10" s="250"/>
      <c r="C10" s="250"/>
      <c r="D10" s="250"/>
      <c r="E10" s="250"/>
      <c r="F10" s="24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14">
        <v>1</v>
      </c>
      <c r="B11" s="14">
        <v>2</v>
      </c>
      <c r="C11" s="14">
        <v>3</v>
      </c>
      <c r="D11" s="14">
        <v>4</v>
      </c>
      <c r="E11" s="14">
        <v>5</v>
      </c>
      <c r="F11" s="14" t="s">
        <v>78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76" t="e">
        <f>EERR!C50+EERR!C49</f>
        <v>#DIV/0!</v>
      </c>
      <c r="B12" s="76" t="e">
        <f>EERR!D50+EERR!D49</f>
        <v>#DIV/0!</v>
      </c>
      <c r="C12" s="76" t="e">
        <f>EERR!E50+EERR!E49</f>
        <v>#DIV/0!</v>
      </c>
      <c r="D12" s="76" t="e">
        <f>EERR!F50+EERR!F49</f>
        <v>#DIV/0!</v>
      </c>
      <c r="E12" s="76" t="e">
        <f>EERR!G50+EERR!G49</f>
        <v>#DIV/0!</v>
      </c>
      <c r="F12" s="76" t="e">
        <f>SUM(A12:E12)</f>
        <v>#DIV/0!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251" t="s">
        <v>117</v>
      </c>
      <c r="B14" s="250"/>
      <c r="C14" s="250"/>
      <c r="D14" s="250"/>
      <c r="E14" s="250"/>
      <c r="F14" s="24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14">
        <v>1</v>
      </c>
      <c r="B15" s="14">
        <v>2</v>
      </c>
      <c r="C15" s="14">
        <v>3</v>
      </c>
      <c r="D15" s="14">
        <v>4</v>
      </c>
      <c r="E15" s="14">
        <v>5</v>
      </c>
      <c r="F15" s="14" t="s">
        <v>78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76" t="e">
        <f>EERR!C33</f>
        <v>#DIV/0!</v>
      </c>
      <c r="B16" s="76" t="e">
        <f>EERR!D33</f>
        <v>#DIV/0!</v>
      </c>
      <c r="C16" s="76" t="e">
        <f>EERR!E33</f>
        <v>#DIV/0!</v>
      </c>
      <c r="D16" s="76" t="e">
        <f>EERR!F33</f>
        <v>#DIV/0!</v>
      </c>
      <c r="E16" s="76" t="e">
        <f>EERR!G33</f>
        <v>#DIV/0!</v>
      </c>
      <c r="F16" s="76" t="e">
        <f>SUM(A16:E16)</f>
        <v>#DIV/0!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3"/>
      <c r="B18" s="3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252" t="s">
        <v>118</v>
      </c>
      <c r="B19" s="243"/>
      <c r="C19" s="3"/>
      <c r="D19" s="3"/>
      <c r="E19" s="251" t="s">
        <v>121</v>
      </c>
      <c r="F19" s="250"/>
      <c r="G19" s="24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19" t="s">
        <v>123</v>
      </c>
      <c r="B20" s="88" t="e">
        <f>F8/G23</f>
        <v>#DIV/0!</v>
      </c>
      <c r="C20" s="89"/>
      <c r="D20" s="3"/>
      <c r="E20" s="90" t="s">
        <v>126</v>
      </c>
      <c r="F20" s="91"/>
      <c r="G20" s="92">
        <f>(A3+B3+C3+D3+E3)/5</f>
        <v>232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19" t="s">
        <v>130</v>
      </c>
      <c r="B21" s="27" t="e">
        <f>F8/(1-(F12/F16))</f>
        <v>#DIV/0!</v>
      </c>
      <c r="C21" s="89"/>
      <c r="D21" s="3"/>
      <c r="E21" s="90" t="s">
        <v>133</v>
      </c>
      <c r="F21" s="91"/>
      <c r="G21" s="27" t="e">
        <f>(A12/A3+B12/B3+C12/C3+D12/D3+E12/E3)/5</f>
        <v>#DIV/0!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19" t="s">
        <v>134</v>
      </c>
      <c r="B22" s="19" t="e">
        <f>((F12+F8)*100)/F16</f>
        <v>#DIV/0!</v>
      </c>
      <c r="C22" s="3"/>
      <c r="D22" s="3"/>
      <c r="E22" s="90" t="s">
        <v>135</v>
      </c>
      <c r="F22" s="91"/>
      <c r="G22" s="27" t="e">
        <f>PRINCIPAL!E10</f>
        <v>#DIV/0!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3"/>
      <c r="B23" s="3"/>
      <c r="C23" s="3"/>
      <c r="D23" s="3"/>
      <c r="E23" s="94" t="s">
        <v>121</v>
      </c>
      <c r="F23" s="38"/>
      <c r="G23" s="27" t="e">
        <f>G22-G21</f>
        <v>#DIV/0!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F1"/>
    <mergeCell ref="A6:F6"/>
    <mergeCell ref="A10:F10"/>
    <mergeCell ref="A14:F14"/>
    <mergeCell ref="E19:G19"/>
    <mergeCell ref="A19:B19"/>
  </mergeCell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J1000"/>
  <sheetViews>
    <sheetView showGridLines="0" workbookViewId="0">
      <selection activeCell="B11" sqref="B11"/>
    </sheetView>
  </sheetViews>
  <sheetFormatPr baseColWidth="10" defaultColWidth="14.5" defaultRowHeight="15" customHeight="1" x14ac:dyDescent="0"/>
  <cols>
    <col min="1" max="1" width="39" customWidth="1"/>
    <col min="2" max="2" width="16.5" customWidth="1"/>
    <col min="3" max="3" width="21.6640625" customWidth="1"/>
    <col min="4" max="4" width="17.33203125" customWidth="1"/>
    <col min="5" max="6" width="16.83203125" customWidth="1"/>
    <col min="7" max="7" width="17.1640625" customWidth="1"/>
    <col min="8" max="8" width="13.83203125" customWidth="1"/>
    <col min="9" max="22" width="15" customWidth="1"/>
    <col min="23" max="62" width="16.5" customWidth="1"/>
  </cols>
  <sheetData>
    <row r="1" spans="1:62" ht="15.75" customHeight="1">
      <c r="A1" s="253"/>
      <c r="B1" s="243"/>
      <c r="C1" s="258" t="s">
        <v>171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43"/>
      <c r="O1" s="254" t="s">
        <v>174</v>
      </c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43"/>
      <c r="AA1" s="255" t="s">
        <v>176</v>
      </c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43"/>
      <c r="AM1" s="256" t="s">
        <v>177</v>
      </c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43"/>
      <c r="AY1" s="257" t="s">
        <v>178</v>
      </c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43"/>
    </row>
    <row r="2" spans="1:62" ht="15.75" customHeight="1">
      <c r="A2" s="40"/>
      <c r="B2" s="40" t="s">
        <v>180</v>
      </c>
      <c r="C2" s="40" t="s">
        <v>181</v>
      </c>
      <c r="D2" s="40" t="s">
        <v>182</v>
      </c>
      <c r="E2" s="40" t="s">
        <v>183</v>
      </c>
      <c r="F2" s="40" t="s">
        <v>184</v>
      </c>
      <c r="G2" s="40" t="s">
        <v>185</v>
      </c>
      <c r="H2" s="40" t="s">
        <v>186</v>
      </c>
      <c r="I2" s="40" t="s">
        <v>187</v>
      </c>
      <c r="J2" s="40" t="s">
        <v>188</v>
      </c>
      <c r="K2" s="40" t="s">
        <v>189</v>
      </c>
      <c r="L2" s="40" t="s">
        <v>190</v>
      </c>
      <c r="M2" s="40" t="s">
        <v>191</v>
      </c>
      <c r="N2" s="40" t="s">
        <v>192</v>
      </c>
      <c r="O2" s="40" t="s">
        <v>181</v>
      </c>
      <c r="P2" s="40" t="s">
        <v>182</v>
      </c>
      <c r="Q2" s="40" t="s">
        <v>183</v>
      </c>
      <c r="R2" s="40" t="s">
        <v>184</v>
      </c>
      <c r="S2" s="40" t="s">
        <v>185</v>
      </c>
      <c r="T2" s="40" t="s">
        <v>186</v>
      </c>
      <c r="U2" s="40" t="s">
        <v>187</v>
      </c>
      <c r="V2" s="40" t="s">
        <v>188</v>
      </c>
      <c r="W2" s="40" t="s">
        <v>189</v>
      </c>
      <c r="X2" s="40" t="s">
        <v>190</v>
      </c>
      <c r="Y2" s="40" t="s">
        <v>191</v>
      </c>
      <c r="Z2" s="40" t="s">
        <v>192</v>
      </c>
      <c r="AA2" s="40" t="s">
        <v>181</v>
      </c>
      <c r="AB2" s="40" t="s">
        <v>182</v>
      </c>
      <c r="AC2" s="40" t="s">
        <v>183</v>
      </c>
      <c r="AD2" s="40" t="s">
        <v>184</v>
      </c>
      <c r="AE2" s="40" t="s">
        <v>185</v>
      </c>
      <c r="AF2" s="40" t="s">
        <v>186</v>
      </c>
      <c r="AG2" s="40" t="s">
        <v>187</v>
      </c>
      <c r="AH2" s="40" t="s">
        <v>188</v>
      </c>
      <c r="AI2" s="40" t="s">
        <v>189</v>
      </c>
      <c r="AJ2" s="40" t="s">
        <v>190</v>
      </c>
      <c r="AK2" s="40" t="s">
        <v>191</v>
      </c>
      <c r="AL2" s="40" t="s">
        <v>192</v>
      </c>
      <c r="AM2" s="40" t="s">
        <v>181</v>
      </c>
      <c r="AN2" s="40" t="s">
        <v>182</v>
      </c>
      <c r="AO2" s="40" t="s">
        <v>183</v>
      </c>
      <c r="AP2" s="40" t="s">
        <v>184</v>
      </c>
      <c r="AQ2" s="40" t="s">
        <v>185</v>
      </c>
      <c r="AR2" s="40" t="s">
        <v>186</v>
      </c>
      <c r="AS2" s="40" t="s">
        <v>187</v>
      </c>
      <c r="AT2" s="40" t="s">
        <v>188</v>
      </c>
      <c r="AU2" s="40" t="s">
        <v>189</v>
      </c>
      <c r="AV2" s="40" t="s">
        <v>190</v>
      </c>
      <c r="AW2" s="40" t="s">
        <v>191</v>
      </c>
      <c r="AX2" s="40" t="s">
        <v>192</v>
      </c>
      <c r="AY2" s="40" t="s">
        <v>181</v>
      </c>
      <c r="AZ2" s="40" t="s">
        <v>182</v>
      </c>
      <c r="BA2" s="40" t="s">
        <v>183</v>
      </c>
      <c r="BB2" s="40" t="s">
        <v>184</v>
      </c>
      <c r="BC2" s="40" t="s">
        <v>185</v>
      </c>
      <c r="BD2" s="40" t="s">
        <v>186</v>
      </c>
      <c r="BE2" s="40" t="s">
        <v>187</v>
      </c>
      <c r="BF2" s="40" t="s">
        <v>188</v>
      </c>
      <c r="BG2" s="40" t="s">
        <v>189</v>
      </c>
      <c r="BH2" s="40" t="s">
        <v>190</v>
      </c>
      <c r="BI2" s="40" t="s">
        <v>191</v>
      </c>
      <c r="BJ2" s="40" t="s">
        <v>192</v>
      </c>
    </row>
    <row r="3" spans="1:62" ht="15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</row>
    <row r="4" spans="1:62" ht="15.75" customHeight="1">
      <c r="A4" s="104" t="s">
        <v>196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</row>
    <row r="5" spans="1:62" ht="15.75" customHeight="1">
      <c r="A5" s="28" t="s">
        <v>130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 t="e">
        <f>'Demanda '!B4*2*PRINCIPAL!E10</f>
        <v>#DIV/0!</v>
      </c>
      <c r="H5" s="28">
        <v>0</v>
      </c>
      <c r="I5" s="28" t="e">
        <f>'Demanda '!B4*2*PRINCIPAL!E10</f>
        <v>#DIV/0!</v>
      </c>
      <c r="J5" s="28">
        <v>0</v>
      </c>
      <c r="K5" s="28" t="e">
        <f>'Demanda '!B4*2*PRINCIPAL!E10</f>
        <v>#DIV/0!</v>
      </c>
      <c r="L5" s="28">
        <v>0</v>
      </c>
      <c r="M5" s="28" t="e">
        <f>'Demanda '!B4*2*PRINCIPAL!E10</f>
        <v>#DIV/0!</v>
      </c>
      <c r="N5" s="28"/>
      <c r="O5" s="28" t="e">
        <f>'Demanda '!$C$4*PRINCIPAL!$E$10</f>
        <v>#DIV/0!</v>
      </c>
      <c r="P5" s="28" t="e">
        <f>'Demanda '!$C$4*PRINCIPAL!$E$10</f>
        <v>#DIV/0!</v>
      </c>
      <c r="Q5" s="28" t="e">
        <f>'Demanda '!$C$4*PRINCIPAL!$E$10</f>
        <v>#DIV/0!</v>
      </c>
      <c r="R5" s="28" t="e">
        <f>'Demanda '!$C$4*PRINCIPAL!$E$10</f>
        <v>#DIV/0!</v>
      </c>
      <c r="S5" s="28" t="e">
        <f>'Demanda '!$C$4*PRINCIPAL!$E$10</f>
        <v>#DIV/0!</v>
      </c>
      <c r="T5" s="28" t="e">
        <f>'Demanda '!$C$4*PRINCIPAL!$E$10</f>
        <v>#DIV/0!</v>
      </c>
      <c r="U5" s="28" t="e">
        <f>'Demanda '!$C$4*PRINCIPAL!$E$10</f>
        <v>#DIV/0!</v>
      </c>
      <c r="V5" s="28" t="e">
        <f>'Demanda '!$C$4*PRINCIPAL!$E$10</f>
        <v>#DIV/0!</v>
      </c>
      <c r="W5" s="28" t="e">
        <f>'Demanda '!$C$4*PRINCIPAL!$E$10</f>
        <v>#DIV/0!</v>
      </c>
      <c r="X5" s="28" t="e">
        <f>'Demanda '!$C$4*PRINCIPAL!$E$10</f>
        <v>#DIV/0!</v>
      </c>
      <c r="Y5" s="28" t="e">
        <f>'Demanda '!$C$4*PRINCIPAL!$E$10</f>
        <v>#DIV/0!</v>
      </c>
      <c r="Z5" s="28" t="e">
        <f>'Demanda '!$C$4*PRINCIPAL!$E$10</f>
        <v>#DIV/0!</v>
      </c>
      <c r="AA5" s="28" t="e">
        <f>'Demanda '!$D$4*PRINCIPAL!$E$10</f>
        <v>#DIV/0!</v>
      </c>
      <c r="AB5" s="28" t="e">
        <f>'Demanda '!$D$4*PRINCIPAL!$E$10</f>
        <v>#DIV/0!</v>
      </c>
      <c r="AC5" s="28" t="e">
        <f>'Demanda '!$D$4*PRINCIPAL!$E$10</f>
        <v>#DIV/0!</v>
      </c>
      <c r="AD5" s="28" t="e">
        <f>'Demanda '!$D$4*PRINCIPAL!$E$10</f>
        <v>#DIV/0!</v>
      </c>
      <c r="AE5" s="28" t="e">
        <f>'Demanda '!$D$4*PRINCIPAL!$E$10</f>
        <v>#DIV/0!</v>
      </c>
      <c r="AF5" s="28" t="e">
        <f>'Demanda '!$D$4*PRINCIPAL!$E$10</f>
        <v>#DIV/0!</v>
      </c>
      <c r="AG5" s="28" t="e">
        <f>'Demanda '!$D$4*PRINCIPAL!$E$10</f>
        <v>#DIV/0!</v>
      </c>
      <c r="AH5" s="28" t="e">
        <f>'Demanda '!$D$4*PRINCIPAL!$E$10</f>
        <v>#DIV/0!</v>
      </c>
      <c r="AI5" s="28" t="e">
        <f>'Demanda '!$D$4*PRINCIPAL!$E$10</f>
        <v>#DIV/0!</v>
      </c>
      <c r="AJ5" s="28" t="e">
        <f>'Demanda '!$D$4*PRINCIPAL!$E$10</f>
        <v>#DIV/0!</v>
      </c>
      <c r="AK5" s="28" t="e">
        <f>'Demanda '!$D$4*PRINCIPAL!$E$10</f>
        <v>#DIV/0!</v>
      </c>
      <c r="AL5" s="28" t="e">
        <f>'Demanda '!$D$4*PRINCIPAL!$E$10</f>
        <v>#DIV/0!</v>
      </c>
      <c r="AM5" s="28" t="e">
        <f>'Demanda '!$D$4*PRINCIPAL!$E$10</f>
        <v>#DIV/0!</v>
      </c>
      <c r="AN5" s="28" t="e">
        <f>'Demanda '!$D$4*PRINCIPAL!$E$10</f>
        <v>#DIV/0!</v>
      </c>
      <c r="AO5" s="28" t="e">
        <f>'Demanda '!$D$4*PRINCIPAL!$E$10</f>
        <v>#DIV/0!</v>
      </c>
      <c r="AP5" s="28" t="e">
        <f>'Demanda '!$D$4*PRINCIPAL!$E$10</f>
        <v>#DIV/0!</v>
      </c>
      <c r="AQ5" s="28" t="e">
        <f>'Demanda '!$D$4*PRINCIPAL!$E$10</f>
        <v>#DIV/0!</v>
      </c>
      <c r="AR5" s="28" t="e">
        <f>'Demanda '!$D$4*PRINCIPAL!$E$10</f>
        <v>#DIV/0!</v>
      </c>
      <c r="AS5" s="28" t="e">
        <f>'Demanda '!$D$4*PRINCIPAL!$E$10</f>
        <v>#DIV/0!</v>
      </c>
      <c r="AT5" s="28" t="e">
        <f>'Demanda '!$D$4*PRINCIPAL!$E$10</f>
        <v>#DIV/0!</v>
      </c>
      <c r="AU5" s="28" t="e">
        <f>'Demanda '!$D$4*PRINCIPAL!$E$10</f>
        <v>#DIV/0!</v>
      </c>
      <c r="AV5" s="28" t="e">
        <f>'Demanda '!$D$4*PRINCIPAL!$E$10</f>
        <v>#DIV/0!</v>
      </c>
      <c r="AW5" s="28" t="e">
        <f>'Demanda '!$D$4*PRINCIPAL!$E$10</f>
        <v>#DIV/0!</v>
      </c>
      <c r="AX5" s="28" t="e">
        <f>'Demanda '!$D$4*PRINCIPAL!$E$10</f>
        <v>#DIV/0!</v>
      </c>
      <c r="AY5" s="28" t="e">
        <f>'Demanda '!$D$4*PRINCIPAL!$E$10</f>
        <v>#DIV/0!</v>
      </c>
      <c r="AZ5" s="28" t="e">
        <f>'Demanda '!$D$4*PRINCIPAL!$E$10</f>
        <v>#DIV/0!</v>
      </c>
      <c r="BA5" s="28" t="e">
        <f>'Demanda '!$D$4*PRINCIPAL!$E$10</f>
        <v>#DIV/0!</v>
      </c>
      <c r="BB5" s="28" t="e">
        <f>'Demanda '!$D$4*PRINCIPAL!$E$10</f>
        <v>#DIV/0!</v>
      </c>
      <c r="BC5" s="28" t="e">
        <f>'Demanda '!$D$4*PRINCIPAL!$E$10</f>
        <v>#DIV/0!</v>
      </c>
      <c r="BD5" s="28" t="e">
        <f>'Demanda '!$D$4*PRINCIPAL!$E$10</f>
        <v>#DIV/0!</v>
      </c>
      <c r="BE5" s="28" t="e">
        <f>'Demanda '!$D$4*PRINCIPAL!$E$10</f>
        <v>#DIV/0!</v>
      </c>
      <c r="BF5" s="28" t="e">
        <f>'Demanda '!$D$4*PRINCIPAL!$E$10</f>
        <v>#DIV/0!</v>
      </c>
      <c r="BG5" s="28" t="e">
        <f>'Demanda '!$D$4*PRINCIPAL!$E$10</f>
        <v>#DIV/0!</v>
      </c>
      <c r="BH5" s="28" t="e">
        <f>'Demanda '!$D$4*PRINCIPAL!$E$10</f>
        <v>#DIV/0!</v>
      </c>
      <c r="BI5" s="28" t="e">
        <f>'Demanda '!$D$4*PRINCIPAL!$E$10</f>
        <v>#DIV/0!</v>
      </c>
      <c r="BJ5" s="28" t="e">
        <f>'Demanda '!$D$4*PRINCIPAL!$E$10</f>
        <v>#DIV/0!</v>
      </c>
    </row>
    <row r="6" spans="1:62" ht="15.75" customHeight="1">
      <c r="A6" s="28" t="s">
        <v>212</v>
      </c>
      <c r="B6" s="28">
        <f>F.INV.AF!H5</f>
        <v>21590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8">
        <v>0</v>
      </c>
      <c r="AY6" s="28">
        <v>0</v>
      </c>
      <c r="AZ6" s="28">
        <v>0</v>
      </c>
      <c r="BA6" s="28">
        <v>0</v>
      </c>
      <c r="BB6" s="28">
        <v>0</v>
      </c>
      <c r="BC6" s="28">
        <v>0</v>
      </c>
      <c r="BD6" s="28">
        <v>0</v>
      </c>
      <c r="BE6" s="28">
        <v>0</v>
      </c>
      <c r="BF6" s="28">
        <v>0</v>
      </c>
      <c r="BG6" s="28">
        <v>0</v>
      </c>
      <c r="BH6" s="28">
        <v>0</v>
      </c>
      <c r="BI6" s="28">
        <v>0</v>
      </c>
      <c r="BJ6" s="28">
        <v>0</v>
      </c>
    </row>
    <row r="7" spans="1:62" ht="15.75" customHeight="1">
      <c r="A7" s="104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</row>
    <row r="8" spans="1:62" ht="15.75" customHeight="1">
      <c r="A8" s="104" t="s">
        <v>213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</row>
    <row r="9" spans="1:62" ht="15.75" customHeight="1">
      <c r="A9" s="28" t="s">
        <v>215</v>
      </c>
      <c r="B9" s="28">
        <v>0</v>
      </c>
      <c r="C9" s="28" t="e">
        <f>'Inversion Inicial '!D22*3</f>
        <v>#DIV/0!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 t="e">
        <f>'Inversion Inicial '!D23*3</f>
        <v>#DIV/0!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 t="e">
        <f>'Inversion Inicial '!D24*3</f>
        <v>#DIV/0!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 t="e">
        <f>'Inversion Inicial '!D25*3</f>
        <v>#DIV/0!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8">
        <v>0</v>
      </c>
      <c r="AY9" s="28" t="e">
        <f>'Inversion Inicial '!D26*3</f>
        <v>#DIV/0!</v>
      </c>
      <c r="AZ9" s="28">
        <v>0</v>
      </c>
      <c r="BA9" s="28">
        <v>0</v>
      </c>
      <c r="BB9" s="28">
        <v>0</v>
      </c>
      <c r="BC9" s="28">
        <v>0</v>
      </c>
      <c r="BD9" s="28">
        <v>0</v>
      </c>
      <c r="BE9" s="28">
        <v>0</v>
      </c>
      <c r="BF9" s="28">
        <v>0</v>
      </c>
      <c r="BG9" s="28">
        <v>0</v>
      </c>
      <c r="BH9" s="28">
        <v>0</v>
      </c>
      <c r="BI9" s="28">
        <v>0</v>
      </c>
      <c r="BJ9" s="28">
        <v>0</v>
      </c>
    </row>
    <row r="10" spans="1:62" ht="15.75" customHeight="1">
      <c r="A10" s="28" t="s">
        <v>220</v>
      </c>
      <c r="B10" s="28">
        <v>0</v>
      </c>
      <c r="C10" s="28">
        <f>'Inversion Inicial '!$C$54</f>
        <v>793.99142578903025</v>
      </c>
      <c r="D10" s="28">
        <f>'Inversion Inicial '!$C$54</f>
        <v>793.99142578903025</v>
      </c>
      <c r="E10" s="28">
        <f>'Inversion Inicial '!$C$54</f>
        <v>793.99142578903025</v>
      </c>
      <c r="F10" s="28">
        <f>'Inversion Inicial '!$C$54</f>
        <v>793.99142578903025</v>
      </c>
      <c r="G10" s="28">
        <f>'Inversion Inicial '!$C$54</f>
        <v>793.99142578903025</v>
      </c>
      <c r="H10" s="28">
        <f>'Inversion Inicial '!$C$54</f>
        <v>793.99142578903025</v>
      </c>
      <c r="I10" s="28">
        <f>'Inversion Inicial '!$C$54</f>
        <v>793.99142578903025</v>
      </c>
      <c r="J10" s="28">
        <f>'Inversion Inicial '!$C$54</f>
        <v>793.99142578903025</v>
      </c>
      <c r="K10" s="28">
        <f>'Inversion Inicial '!$C$54</f>
        <v>793.99142578903025</v>
      </c>
      <c r="L10" s="28">
        <f>'Inversion Inicial '!$C$54</f>
        <v>793.99142578903025</v>
      </c>
      <c r="M10" s="28">
        <f>'Inversion Inicial '!$C$54</f>
        <v>793.99142578903025</v>
      </c>
      <c r="N10" s="28">
        <f>'Inversion Inicial '!$C$54</f>
        <v>793.99142578903025</v>
      </c>
      <c r="O10" s="28">
        <f>'Inversion Inicial '!$C$54</f>
        <v>793.99142578903025</v>
      </c>
      <c r="P10" s="28">
        <f>'Inversion Inicial '!$C$54</f>
        <v>793.99142578903025</v>
      </c>
      <c r="Q10" s="28">
        <f>'Inversion Inicial '!$C$54</f>
        <v>793.99142578903025</v>
      </c>
      <c r="R10" s="28">
        <f>'Inversion Inicial '!$C$54</f>
        <v>793.99142578903025</v>
      </c>
      <c r="S10" s="28">
        <f>'Inversion Inicial '!$C$54</f>
        <v>793.99142578903025</v>
      </c>
      <c r="T10" s="28">
        <f>'Inversion Inicial '!$C$54</f>
        <v>793.99142578903025</v>
      </c>
      <c r="U10" s="28">
        <f>'Inversion Inicial '!$C$54</f>
        <v>793.99142578903025</v>
      </c>
      <c r="V10" s="28">
        <f>'Inversion Inicial '!$C$54</f>
        <v>793.99142578903025</v>
      </c>
      <c r="W10" s="28">
        <f>'Inversion Inicial '!$C$54</f>
        <v>793.99142578903025</v>
      </c>
      <c r="X10" s="28">
        <f>'Inversion Inicial '!$C$54</f>
        <v>793.99142578903025</v>
      </c>
      <c r="Y10" s="28">
        <f>'Inversion Inicial '!$C$54</f>
        <v>793.99142578903025</v>
      </c>
      <c r="Z10" s="28">
        <f>'Inversion Inicial '!$C$54</f>
        <v>793.99142578903025</v>
      </c>
      <c r="AA10" s="28">
        <f>'Inversion Inicial '!$C$54</f>
        <v>793.99142578903025</v>
      </c>
      <c r="AB10" s="28">
        <f>'Inversion Inicial '!$C$54</f>
        <v>793.99142578903025</v>
      </c>
      <c r="AC10" s="28">
        <f>'Inversion Inicial '!$C$54</f>
        <v>793.99142578903025</v>
      </c>
      <c r="AD10" s="28">
        <f>'Inversion Inicial '!$C$54</f>
        <v>793.99142578903025</v>
      </c>
      <c r="AE10" s="28">
        <f>'Inversion Inicial '!$C$54</f>
        <v>793.99142578903025</v>
      </c>
      <c r="AF10" s="28">
        <f>'Inversion Inicial '!$C$54</f>
        <v>793.99142578903025</v>
      </c>
      <c r="AG10" s="28">
        <f>'Inversion Inicial '!$C$54</f>
        <v>793.99142578903025</v>
      </c>
      <c r="AH10" s="28">
        <f>'Inversion Inicial '!$C$54</f>
        <v>793.99142578903025</v>
      </c>
      <c r="AI10" s="28">
        <f>'Inversion Inicial '!$C$54</f>
        <v>793.99142578903025</v>
      </c>
      <c r="AJ10" s="28">
        <f>'Inversion Inicial '!$C$54</f>
        <v>793.99142578903025</v>
      </c>
      <c r="AK10" s="28">
        <f>'Inversion Inicial '!$C$54</f>
        <v>793.99142578903025</v>
      </c>
      <c r="AL10" s="28">
        <f>'Inversion Inicial '!$C$54</f>
        <v>793.99142578903025</v>
      </c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</row>
    <row r="11" spans="1:62" ht="15.75" customHeight="1">
      <c r="A11" s="28" t="s">
        <v>224</v>
      </c>
      <c r="B11" s="28">
        <f>Costos!C6</f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8">
        <v>0</v>
      </c>
    </row>
    <row r="12" spans="1:62" ht="15.75" customHeight="1">
      <c r="A12" s="28" t="s">
        <v>225</v>
      </c>
      <c r="B12" s="28">
        <f>(14300/PRINCIPAL!B10)+(3500/PRINCIPAL!B10)</f>
        <v>273.84615384615387</v>
      </c>
      <c r="C12" s="28">
        <v>0</v>
      </c>
      <c r="D12" s="28">
        <v>0</v>
      </c>
      <c r="E12" s="28">
        <v>0</v>
      </c>
      <c r="F12" s="28">
        <v>0</v>
      </c>
      <c r="G12" s="28">
        <f>(3250*(1+PRINCIPAL!$E$3)/PRINCIPAL!$B$11)+(500*(1+PRINCIPAL!$E$3)/PRINCIPAL!$B$11)</f>
        <v>58.869701726844589</v>
      </c>
      <c r="H12" s="28">
        <v>0</v>
      </c>
      <c r="I12" s="28">
        <f>(3250*(1+PRINCIPAL!$E$3)/PRINCIPAL!$B$11)+(500*(1+PRINCIPAL!$E$3)/PRINCIPAL!$B$11)</f>
        <v>58.869701726844589</v>
      </c>
      <c r="J12" s="28">
        <v>0</v>
      </c>
      <c r="K12" s="28">
        <f>I12</f>
        <v>58.869701726844589</v>
      </c>
      <c r="L12" s="28">
        <v>0</v>
      </c>
      <c r="M12" s="28">
        <f>K12</f>
        <v>58.869701726844589</v>
      </c>
      <c r="N12" s="28">
        <v>0</v>
      </c>
      <c r="O12" s="28">
        <f>(3250*(1+PRINCIPAL!$E$4)/PRINCIPAL!$B$12)+(500*(1+PRINCIPAL!$E$4)/PRINCIPAL!$B$12)</f>
        <v>47.675495405607862</v>
      </c>
      <c r="P12" s="28">
        <f t="shared" ref="P12:Z12" si="0">O12</f>
        <v>47.675495405607862</v>
      </c>
      <c r="Q12" s="28">
        <f t="shared" si="0"/>
        <v>47.675495405607862</v>
      </c>
      <c r="R12" s="28">
        <f t="shared" si="0"/>
        <v>47.675495405607862</v>
      </c>
      <c r="S12" s="28">
        <f t="shared" si="0"/>
        <v>47.675495405607862</v>
      </c>
      <c r="T12" s="28">
        <f t="shared" si="0"/>
        <v>47.675495405607862</v>
      </c>
      <c r="U12" s="28">
        <f t="shared" si="0"/>
        <v>47.675495405607862</v>
      </c>
      <c r="V12" s="28">
        <f t="shared" si="0"/>
        <v>47.675495405607862</v>
      </c>
      <c r="W12" s="28">
        <f t="shared" si="0"/>
        <v>47.675495405607862</v>
      </c>
      <c r="X12" s="28">
        <f t="shared" si="0"/>
        <v>47.675495405607862</v>
      </c>
      <c r="Y12" s="28">
        <f t="shared" si="0"/>
        <v>47.675495405607862</v>
      </c>
      <c r="Z12" s="28">
        <f t="shared" si="0"/>
        <v>47.675495405607862</v>
      </c>
      <c r="AA12" s="28">
        <f>(3250*(1+PRINCIPAL!$E$5)/PRINCIPAL!$B$13)+(500*(1+PRINCIPAL!$E$5)/PRINCIPAL!$B$13)</f>
        <v>39.551597316747845</v>
      </c>
      <c r="AB12" s="28">
        <f t="shared" ref="AB12:AL12" si="1">AA12</f>
        <v>39.551597316747845</v>
      </c>
      <c r="AC12" s="28">
        <f t="shared" si="1"/>
        <v>39.551597316747845</v>
      </c>
      <c r="AD12" s="28">
        <f t="shared" si="1"/>
        <v>39.551597316747845</v>
      </c>
      <c r="AE12" s="28">
        <f t="shared" si="1"/>
        <v>39.551597316747845</v>
      </c>
      <c r="AF12" s="28">
        <f t="shared" si="1"/>
        <v>39.551597316747845</v>
      </c>
      <c r="AG12" s="28">
        <f t="shared" si="1"/>
        <v>39.551597316747845</v>
      </c>
      <c r="AH12" s="28">
        <f t="shared" si="1"/>
        <v>39.551597316747845</v>
      </c>
      <c r="AI12" s="28">
        <f t="shared" si="1"/>
        <v>39.551597316747845</v>
      </c>
      <c r="AJ12" s="28">
        <f t="shared" si="1"/>
        <v>39.551597316747845</v>
      </c>
      <c r="AK12" s="28">
        <f t="shared" si="1"/>
        <v>39.551597316747845</v>
      </c>
      <c r="AL12" s="28">
        <f t="shared" si="1"/>
        <v>39.551597316747845</v>
      </c>
      <c r="AM12" s="28">
        <f>(3250*(1+PRINCIPAL!$E$6)/PRINCIPAL!$B$14)+500*(1+PRINCIPAL!$E$6)/PRINCIPAL!$B$14</f>
        <v>33.632310643493071</v>
      </c>
      <c r="AN12" s="28">
        <f t="shared" ref="AN12:AX12" si="2">AM12</f>
        <v>33.632310643493071</v>
      </c>
      <c r="AO12" s="28">
        <f t="shared" si="2"/>
        <v>33.632310643493071</v>
      </c>
      <c r="AP12" s="28">
        <f t="shared" si="2"/>
        <v>33.632310643493071</v>
      </c>
      <c r="AQ12" s="28">
        <f t="shared" si="2"/>
        <v>33.632310643493071</v>
      </c>
      <c r="AR12" s="28">
        <f t="shared" si="2"/>
        <v>33.632310643493071</v>
      </c>
      <c r="AS12" s="28">
        <f t="shared" si="2"/>
        <v>33.632310643493071</v>
      </c>
      <c r="AT12" s="28">
        <f t="shared" si="2"/>
        <v>33.632310643493071</v>
      </c>
      <c r="AU12" s="28">
        <f t="shared" si="2"/>
        <v>33.632310643493071</v>
      </c>
      <c r="AV12" s="28">
        <f t="shared" si="2"/>
        <v>33.632310643493071</v>
      </c>
      <c r="AW12" s="28">
        <f t="shared" si="2"/>
        <v>33.632310643493071</v>
      </c>
      <c r="AX12" s="28">
        <f t="shared" si="2"/>
        <v>33.632310643493071</v>
      </c>
      <c r="AY12" s="28">
        <f>(3250*(1+PRINCIPAL!$E$7)/PRINCIPAL!$B$15)+(500*(1+PRINCIPAL!$E$7)/PRINCIPAL!$B$15)</f>
        <v>29.332208829141003</v>
      </c>
      <c r="AZ12" s="28">
        <f t="shared" ref="AZ12:BJ12" si="3">AY12</f>
        <v>29.332208829141003</v>
      </c>
      <c r="BA12" s="28">
        <f t="shared" si="3"/>
        <v>29.332208829141003</v>
      </c>
      <c r="BB12" s="28">
        <f t="shared" si="3"/>
        <v>29.332208829141003</v>
      </c>
      <c r="BC12" s="28">
        <f t="shared" si="3"/>
        <v>29.332208829141003</v>
      </c>
      <c r="BD12" s="28">
        <f t="shared" si="3"/>
        <v>29.332208829141003</v>
      </c>
      <c r="BE12" s="28">
        <f t="shared" si="3"/>
        <v>29.332208829141003</v>
      </c>
      <c r="BF12" s="28">
        <f t="shared" si="3"/>
        <v>29.332208829141003</v>
      </c>
      <c r="BG12" s="28">
        <f t="shared" si="3"/>
        <v>29.332208829141003</v>
      </c>
      <c r="BH12" s="28">
        <f t="shared" si="3"/>
        <v>29.332208829141003</v>
      </c>
      <c r="BI12" s="28">
        <f t="shared" si="3"/>
        <v>29.332208829141003</v>
      </c>
      <c r="BJ12" s="28">
        <f t="shared" si="3"/>
        <v>29.332208829141003</v>
      </c>
    </row>
    <row r="13" spans="1:62" ht="15.75" customHeight="1">
      <c r="A13" s="28" t="s">
        <v>235</v>
      </c>
      <c r="B13" s="28">
        <f>SUM('Inversion Inicial '!D3:D6)</f>
        <v>754.61538461538464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</row>
    <row r="14" spans="1:62" ht="15.75" customHeight="1">
      <c r="A14" s="28" t="s">
        <v>237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</row>
    <row r="15" spans="1:62" ht="15.75" customHeight="1">
      <c r="A15" s="28" t="s">
        <v>238</v>
      </c>
      <c r="B15" s="28">
        <f>'Inversion Inicial '!D7</f>
        <v>102.27692307692308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</row>
    <row r="16" spans="1:62" ht="15.75" customHeight="1">
      <c r="A16" s="28" t="s">
        <v>240</v>
      </c>
      <c r="B16" s="28">
        <f>'Inversion Inicial '!D18</f>
        <v>27352.814668330233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</row>
    <row r="17" spans="1:62" ht="15.75" customHeight="1">
      <c r="A17" s="28" t="s">
        <v>242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>
        <f>F.INV.AF!D9</f>
        <v>2735.2814668330234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>
        <f>F.INV.AF!D9</f>
        <v>2735.2814668330234</v>
      </c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>
        <f>F.INV.AF!D9</f>
        <v>2735.2814668330234</v>
      </c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>
        <f>F.INV.AF!D9</f>
        <v>2735.2814668330234</v>
      </c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>
        <f>F.INV.AF!D9</f>
        <v>2735.2814668330234</v>
      </c>
    </row>
    <row r="18" spans="1:62" ht="15.75" customHeight="1">
      <c r="A18" s="28" t="s">
        <v>248</v>
      </c>
      <c r="B18" s="28"/>
      <c r="C18" s="28"/>
      <c r="D18" s="28">
        <f>'Inversion Inicial '!$D$50</f>
        <v>100</v>
      </c>
      <c r="E18" s="28"/>
      <c r="F18" s="28"/>
      <c r="G18" s="28"/>
      <c r="H18" s="28"/>
      <c r="I18" s="28"/>
      <c r="J18" s="28"/>
      <c r="K18" s="28">
        <f>'Inversion Inicial '!$D$43</f>
        <v>0</v>
      </c>
      <c r="L18" s="28"/>
      <c r="M18" s="28"/>
      <c r="N18" s="28"/>
      <c r="O18" s="28"/>
      <c r="P18" s="28">
        <f>'Inversion Inicial '!$D$50</f>
        <v>100</v>
      </c>
      <c r="Q18" s="28"/>
      <c r="R18" s="28"/>
      <c r="S18" s="28"/>
      <c r="T18" s="28"/>
      <c r="U18" s="28"/>
      <c r="V18" s="28"/>
      <c r="W18" s="28">
        <f>'Inversion Inicial '!$D$43</f>
        <v>0</v>
      </c>
      <c r="X18" s="28"/>
      <c r="Y18" s="28"/>
      <c r="Z18" s="28"/>
      <c r="AA18" s="28"/>
      <c r="AB18" s="28">
        <f>'Inversion Inicial '!$D$50</f>
        <v>100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>
        <f>'Inversion Inicial '!$D$50</f>
        <v>100</v>
      </c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>
        <f>'Inversion Inicial '!$D$50</f>
        <v>100</v>
      </c>
      <c r="BA18" s="28"/>
      <c r="BB18" s="28"/>
      <c r="BC18" s="28"/>
      <c r="BD18" s="28"/>
      <c r="BE18" s="28"/>
      <c r="BF18" s="28"/>
      <c r="BG18" s="28"/>
      <c r="BH18" s="28"/>
      <c r="BI18" s="28"/>
      <c r="BJ18" s="28"/>
    </row>
    <row r="19" spans="1:62" ht="15.75" customHeight="1">
      <c r="A19" s="28" t="s">
        <v>259</v>
      </c>
      <c r="B19" s="28">
        <v>166</v>
      </c>
      <c r="C19" s="28"/>
      <c r="D19" s="28"/>
      <c r="E19" s="28"/>
      <c r="F19" s="28"/>
      <c r="G19" s="28"/>
      <c r="H19" s="28"/>
      <c r="I19" s="28"/>
      <c r="J19" s="28"/>
      <c r="K19" s="150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</row>
    <row r="20" spans="1:62" ht="15.75" customHeight="1">
      <c r="A20" s="28" t="s">
        <v>266</v>
      </c>
      <c r="B20" s="28"/>
      <c r="C20" s="28">
        <f>Costos!$D$11/12</f>
        <v>37.676609105180532</v>
      </c>
      <c r="D20" s="28">
        <f>Costos!$D$11/12</f>
        <v>37.676609105180532</v>
      </c>
      <c r="E20" s="28">
        <f>Costos!$D$11/12</f>
        <v>37.676609105180532</v>
      </c>
      <c r="F20" s="28">
        <f>Costos!$D$11/12</f>
        <v>37.676609105180532</v>
      </c>
      <c r="G20" s="28">
        <f>Costos!$D$11/12</f>
        <v>37.676609105180532</v>
      </c>
      <c r="H20" s="28">
        <f>Costos!$D$11/12+(Costos!D12/2)</f>
        <v>75.353218210361064</v>
      </c>
      <c r="I20" s="28">
        <f>Costos!$D$11/12</f>
        <v>37.676609105180532</v>
      </c>
      <c r="J20" s="28">
        <f>Costos!$D$11/12</f>
        <v>37.676609105180532</v>
      </c>
      <c r="K20" s="28">
        <f>Costos!$D$11/12</f>
        <v>37.676609105180532</v>
      </c>
      <c r="L20" s="28">
        <f>Costos!$D$11/12</f>
        <v>37.676609105180532</v>
      </c>
      <c r="M20" s="28">
        <f>Costos!$D$11/12</f>
        <v>37.676609105180532</v>
      </c>
      <c r="N20" s="28">
        <f>Costos!$D$11/12+(Costos!D12/2)</f>
        <v>75.353218210361064</v>
      </c>
      <c r="O20" s="28">
        <f>Costos!$E$11/12</f>
        <v>30.512317059589027</v>
      </c>
      <c r="P20" s="28">
        <f>Costos!$E$11/12</f>
        <v>30.512317059589027</v>
      </c>
      <c r="Q20" s="28">
        <f>Costos!$E$11/12</f>
        <v>30.512317059589027</v>
      </c>
      <c r="R20" s="28">
        <f>Costos!$E$11/12</f>
        <v>30.512317059589027</v>
      </c>
      <c r="S20" s="28">
        <f>Costos!$E$11/12</f>
        <v>30.512317059589027</v>
      </c>
      <c r="T20" s="28">
        <f>Costos!$E$11/12+(Costos!E12/2)</f>
        <v>61.024634119178053</v>
      </c>
      <c r="U20" s="28">
        <f>Costos!$E$11/12</f>
        <v>30.512317059589027</v>
      </c>
      <c r="V20" s="28">
        <f>Costos!$E$11/12</f>
        <v>30.512317059589027</v>
      </c>
      <c r="W20" s="28">
        <f>Costos!$E$11/12</f>
        <v>30.512317059589027</v>
      </c>
      <c r="X20" s="28">
        <f>Costos!$E$11/12</f>
        <v>30.512317059589027</v>
      </c>
      <c r="Y20" s="28">
        <f>Costos!$E$11/12</f>
        <v>30.512317059589027</v>
      </c>
      <c r="Z20" s="28">
        <f>Costos!$E$11/12+(Costos!E12/2)</f>
        <v>61.024634119178053</v>
      </c>
      <c r="AA20" s="28">
        <f>Costos!$F$11/12</f>
        <v>25.313022282718624</v>
      </c>
      <c r="AB20" s="28">
        <f>Costos!$F$11/12</f>
        <v>25.313022282718624</v>
      </c>
      <c r="AC20" s="28">
        <f>Costos!$F$11/12</f>
        <v>25.313022282718624</v>
      </c>
      <c r="AD20" s="28">
        <f>Costos!$F$11/12</f>
        <v>25.313022282718624</v>
      </c>
      <c r="AE20" s="28">
        <f>Costos!$F$11/12</f>
        <v>25.313022282718624</v>
      </c>
      <c r="AF20" s="28">
        <f>Costos!$F$11/12+(Costos!F12/2)</f>
        <v>50.626044565437248</v>
      </c>
      <c r="AG20" s="28">
        <f>Costos!$F$11/12</f>
        <v>25.313022282718624</v>
      </c>
      <c r="AH20" s="28">
        <f>Costos!$F$11/12</f>
        <v>25.313022282718624</v>
      </c>
      <c r="AI20" s="28">
        <f>Costos!$F$11/12</f>
        <v>25.313022282718624</v>
      </c>
      <c r="AJ20" s="28">
        <f>Costos!$F$11/12</f>
        <v>25.313022282718624</v>
      </c>
      <c r="AK20" s="28">
        <f>Costos!$F$11/12</f>
        <v>25.313022282718624</v>
      </c>
      <c r="AL20" s="28">
        <f>Costos!$F$11/12+(Costos!F12/2)</f>
        <v>50.626044565437248</v>
      </c>
      <c r="AM20" s="28">
        <f>Costos!$G$11/12</f>
        <v>21.524678811835567</v>
      </c>
      <c r="AN20" s="28">
        <f>Costos!$G$11/12</f>
        <v>21.524678811835567</v>
      </c>
      <c r="AO20" s="28">
        <f>Costos!$G$11/12</f>
        <v>21.524678811835567</v>
      </c>
      <c r="AP20" s="28">
        <f>Costos!$G$11/12</f>
        <v>21.524678811835567</v>
      </c>
      <c r="AQ20" s="28">
        <f>Costos!$G$11/12</f>
        <v>21.524678811835567</v>
      </c>
      <c r="AR20" s="28">
        <f>Costos!$G$11/12+(Costos!G12/2)</f>
        <v>43.049357623671135</v>
      </c>
      <c r="AS20" s="28">
        <f>Costos!$G$11/12</f>
        <v>21.524678811835567</v>
      </c>
      <c r="AT20" s="28">
        <f>Costos!$G$11/12</f>
        <v>21.524678811835567</v>
      </c>
      <c r="AU20" s="28">
        <f>Costos!$G$11/12</f>
        <v>21.524678811835567</v>
      </c>
      <c r="AV20" s="28">
        <f>Costos!$G$11/12</f>
        <v>21.524678811835567</v>
      </c>
      <c r="AW20" s="28">
        <f>Costos!$G$11/12</f>
        <v>21.524678811835567</v>
      </c>
      <c r="AX20" s="28">
        <f>Costos!$G$11/12+(Costos!G12/2)</f>
        <v>43.049357623671135</v>
      </c>
      <c r="AY20" s="28">
        <f>Costos!$H$11/12</f>
        <v>18.772613650650243</v>
      </c>
      <c r="AZ20" s="28">
        <f>Costos!$H$11/12</f>
        <v>18.772613650650243</v>
      </c>
      <c r="BA20" s="28">
        <f>Costos!$H$11/12</f>
        <v>18.772613650650243</v>
      </c>
      <c r="BB20" s="28">
        <f>Costos!$H$11/12</f>
        <v>18.772613650650243</v>
      </c>
      <c r="BC20" s="28">
        <f>Costos!$H$11/12</f>
        <v>18.772613650650243</v>
      </c>
      <c r="BD20" s="28">
        <f>Costos!$H$11/12+(Costos!H12/2)</f>
        <v>37.545227301300486</v>
      </c>
      <c r="BE20" s="28">
        <f>Costos!$H$11/12</f>
        <v>18.772613650650243</v>
      </c>
      <c r="BF20" s="28">
        <f>Costos!$H$11/12</f>
        <v>18.772613650650243</v>
      </c>
      <c r="BG20" s="28">
        <f>Costos!$H$11/12</f>
        <v>18.772613650650243</v>
      </c>
      <c r="BH20" s="28">
        <f>Costos!$H$11/12</f>
        <v>18.772613650650243</v>
      </c>
      <c r="BI20" s="28">
        <f>Costos!$H$11/12</f>
        <v>18.772613650650243</v>
      </c>
      <c r="BJ20" s="28">
        <f>Costos!$H$11/12+(Costos!H12/2)</f>
        <v>37.545227301300486</v>
      </c>
    </row>
    <row r="21" spans="1:62" ht="15.75" customHeight="1">
      <c r="A21" s="28" t="s">
        <v>288</v>
      </c>
      <c r="B21" s="28"/>
      <c r="C21" s="28" t="e">
        <f>'Costo Produccion '!$K$6*'Demanda '!$B$4</f>
        <v>#DIV/0!</v>
      </c>
      <c r="D21" s="28" t="e">
        <f>'Costo Produccion '!$K$6*'Demanda '!$B$4</f>
        <v>#DIV/0!</v>
      </c>
      <c r="E21" s="28" t="e">
        <f>'Costo Produccion '!$K$6*'Demanda '!$B$4</f>
        <v>#DIV/0!</v>
      </c>
      <c r="F21" s="28" t="e">
        <f>'Costo Produccion '!$K$6*'Demanda '!$B$4</f>
        <v>#DIV/0!</v>
      </c>
      <c r="G21" s="28" t="e">
        <f>'Costo Produccion '!$K$6*'Demanda '!$B$4</f>
        <v>#DIV/0!</v>
      </c>
      <c r="H21" s="28" t="e">
        <f>'Costo Produccion '!$K$6*'Demanda '!$B$4</f>
        <v>#DIV/0!</v>
      </c>
      <c r="I21" s="28" t="e">
        <f>'Costo Produccion '!$K$6*'Demanda '!$B$4</f>
        <v>#DIV/0!</v>
      </c>
      <c r="J21" s="28" t="e">
        <f>'Costo Produccion '!$K$6*'Demanda '!$B$4</f>
        <v>#DIV/0!</v>
      </c>
      <c r="K21" s="28" t="e">
        <f>'Costo Produccion '!$K$7*'Demanda '!$C$4</f>
        <v>#DIV/0!</v>
      </c>
      <c r="L21" s="28" t="e">
        <f>'Costo Produccion '!$K$7*'Demanda '!$C$4</f>
        <v>#DIV/0!</v>
      </c>
      <c r="M21" s="28" t="e">
        <f>'Costo Produccion '!$K$7*'Demanda '!$C$4</f>
        <v>#DIV/0!</v>
      </c>
      <c r="N21" s="28" t="e">
        <f>'Costo Produccion '!$K$7*'Demanda '!$C$4</f>
        <v>#DIV/0!</v>
      </c>
      <c r="O21" s="28" t="e">
        <f>'Costo Produccion '!$K$7*'Demanda '!$C$4</f>
        <v>#DIV/0!</v>
      </c>
      <c r="P21" s="28" t="e">
        <f>'Costo Produccion '!$K$7*'Demanda '!$C$4</f>
        <v>#DIV/0!</v>
      </c>
      <c r="Q21" s="28" t="e">
        <f>'Costo Produccion '!$K$7*'Demanda '!$C$4</f>
        <v>#DIV/0!</v>
      </c>
      <c r="R21" s="28" t="e">
        <f>'Costo Produccion '!$K$7*'Demanda '!$C$4</f>
        <v>#DIV/0!</v>
      </c>
      <c r="S21" s="28" t="e">
        <f>'Costo Produccion '!$K$7*'Demanda '!$C$4</f>
        <v>#DIV/0!</v>
      </c>
      <c r="T21" s="28" t="e">
        <f>'Costo Produccion '!$K$7*'Demanda '!$C$4</f>
        <v>#DIV/0!</v>
      </c>
      <c r="U21" s="28" t="e">
        <f>'Costo Produccion '!$K$7*'Demanda '!$C$4</f>
        <v>#DIV/0!</v>
      </c>
      <c r="V21" s="28" t="e">
        <f>'Costo Produccion '!$K$7*'Demanda '!$C$4</f>
        <v>#DIV/0!</v>
      </c>
      <c r="W21" s="28" t="e">
        <f>'Costo Produccion '!$K$8*'Demanda '!$D$4</f>
        <v>#DIV/0!</v>
      </c>
      <c r="X21" s="28" t="e">
        <f>'Costo Produccion '!$K$8*'Demanda '!$D$4</f>
        <v>#DIV/0!</v>
      </c>
      <c r="Y21" s="28" t="e">
        <f>'Costo Produccion '!$K$8*'Demanda '!$D$4</f>
        <v>#DIV/0!</v>
      </c>
      <c r="Z21" s="28" t="e">
        <f>'Costo Produccion '!$K$8*'Demanda '!$D$4</f>
        <v>#DIV/0!</v>
      </c>
      <c r="AA21" s="28" t="e">
        <f>'Costo Produccion '!$K$8*'Demanda '!$D$4</f>
        <v>#DIV/0!</v>
      </c>
      <c r="AB21" s="28" t="e">
        <f>'Costo Produccion '!$K$8*'Demanda '!$D$4</f>
        <v>#DIV/0!</v>
      </c>
      <c r="AC21" s="28" t="e">
        <f>'Costo Produccion '!$K$8*'Demanda '!$D$4</f>
        <v>#DIV/0!</v>
      </c>
      <c r="AD21" s="28" t="e">
        <f>'Costo Produccion '!$K$8*'Demanda '!$D$4</f>
        <v>#DIV/0!</v>
      </c>
      <c r="AE21" s="28" t="e">
        <f>'Costo Produccion '!$K$8*'Demanda '!$D$4</f>
        <v>#DIV/0!</v>
      </c>
      <c r="AF21" s="28" t="e">
        <f>'Costo Produccion '!$K$8*'Demanda '!$D$4</f>
        <v>#DIV/0!</v>
      </c>
      <c r="AG21" s="28" t="e">
        <f>'Costo Produccion '!$K$8*'Demanda '!$D$4</f>
        <v>#DIV/0!</v>
      </c>
      <c r="AH21" s="28" t="e">
        <f>'Costo Produccion '!$K$8*'Demanda '!$D$4</f>
        <v>#DIV/0!</v>
      </c>
      <c r="AI21" s="28" t="e">
        <f>'Costo Produccion '!$K$9*'Demanda '!$E$4</f>
        <v>#DIV/0!</v>
      </c>
      <c r="AJ21" s="28" t="e">
        <f>'Costo Produccion '!$K$9*'Demanda '!$E$4</f>
        <v>#DIV/0!</v>
      </c>
      <c r="AK21" s="28" t="e">
        <f>'Costo Produccion '!$K$9*'Demanda '!$E$4</f>
        <v>#DIV/0!</v>
      </c>
      <c r="AL21" s="28" t="e">
        <f>'Costo Produccion '!$K$9*'Demanda '!$E$4</f>
        <v>#DIV/0!</v>
      </c>
      <c r="AM21" s="28" t="e">
        <f>'Costo Produccion '!$K$9*'Demanda '!$E$4</f>
        <v>#DIV/0!</v>
      </c>
      <c r="AN21" s="28" t="e">
        <f>'Costo Produccion '!$K$9*'Demanda '!$E$4</f>
        <v>#DIV/0!</v>
      </c>
      <c r="AO21" s="28" t="e">
        <f>'Costo Produccion '!$K$9*'Demanda '!$E$4</f>
        <v>#DIV/0!</v>
      </c>
      <c r="AP21" s="28" t="e">
        <f>'Costo Produccion '!$K$9*'Demanda '!$E$4</f>
        <v>#DIV/0!</v>
      </c>
      <c r="AQ21" s="28" t="e">
        <f>'Costo Produccion '!$K$9*'Demanda '!$E$4</f>
        <v>#DIV/0!</v>
      </c>
      <c r="AR21" s="28" t="e">
        <f>'Costo Produccion '!$K$9*'Demanda '!$E$4</f>
        <v>#DIV/0!</v>
      </c>
      <c r="AS21" s="28" t="e">
        <f>'Costo Produccion '!$K$9*'Demanda '!$E$4</f>
        <v>#DIV/0!</v>
      </c>
      <c r="AT21" s="28" t="e">
        <f>'Costo Produccion '!$K$9*'Demanda '!$E$4</f>
        <v>#DIV/0!</v>
      </c>
      <c r="AU21" s="28" t="e">
        <f>'Costo Produccion '!$K$10*'Demanda '!$F$4</f>
        <v>#DIV/0!</v>
      </c>
      <c r="AV21" s="28" t="e">
        <f>'Costo Produccion '!$K$10*'Demanda '!$F$4</f>
        <v>#DIV/0!</v>
      </c>
      <c r="AW21" s="28" t="e">
        <f>'Costo Produccion '!$K$10*'Demanda '!$F$4</f>
        <v>#DIV/0!</v>
      </c>
      <c r="AX21" s="28" t="e">
        <f>'Costo Produccion '!$K$10*'Demanda '!$F$4</f>
        <v>#DIV/0!</v>
      </c>
      <c r="AY21" s="28" t="e">
        <f>'Costo Produccion '!$K$10*'Demanda '!$F$4</f>
        <v>#DIV/0!</v>
      </c>
      <c r="AZ21" s="28" t="e">
        <f>'Costo Produccion '!$K$10*'Demanda '!$F$4</f>
        <v>#DIV/0!</v>
      </c>
      <c r="BA21" s="28" t="e">
        <f>'Costo Produccion '!$K$10*'Demanda '!$F$4</f>
        <v>#DIV/0!</v>
      </c>
      <c r="BB21" s="28" t="e">
        <f>'Costo Produccion '!$K$10*'Demanda '!$F$4</f>
        <v>#DIV/0!</v>
      </c>
      <c r="BC21" s="28" t="e">
        <f>'Costo Produccion '!$K$10*'Demanda '!$F$4</f>
        <v>#DIV/0!</v>
      </c>
      <c r="BD21" s="28" t="e">
        <f>'Costo Produccion '!$K$10*'Demanda '!$F$4</f>
        <v>#DIV/0!</v>
      </c>
      <c r="BE21" s="28" t="e">
        <f>'Costo Produccion '!$K$10*'Demanda '!$F$4</f>
        <v>#DIV/0!</v>
      </c>
      <c r="BF21" s="28" t="e">
        <f>'Costo Produccion '!$K$10*'Demanda '!$F$4</f>
        <v>#DIV/0!</v>
      </c>
      <c r="BG21" s="28">
        <v>0</v>
      </c>
      <c r="BH21" s="28">
        <v>0</v>
      </c>
      <c r="BI21" s="28">
        <v>0</v>
      </c>
      <c r="BJ21" s="28">
        <v>0</v>
      </c>
    </row>
    <row r="22" spans="1:62" ht="15.75" customHeight="1">
      <c r="A22" s="28" t="s">
        <v>305</v>
      </c>
      <c r="B22" s="28"/>
      <c r="C22" s="28"/>
      <c r="D22" s="28"/>
      <c r="E22" s="28"/>
      <c r="F22" s="28"/>
      <c r="G22" s="28">
        <f>'PricingCostos embarques'!$D$47+'PricingCostos embarques'!$D$48+'PricingCostos embarques'!$D$49</f>
        <v>515.28013401941973</v>
      </c>
      <c r="H22" s="28"/>
      <c r="I22" s="28">
        <f>'PricingCostos embarques'!$D$47+'PricingCostos embarques'!$D$48+'PricingCostos embarques'!$D$49</f>
        <v>515.28013401941973</v>
      </c>
      <c r="J22" s="28"/>
      <c r="K22" s="28">
        <f>'PricingCostos embarques'!$D$47+'PricingCostos embarques'!$D$48+'PricingCostos embarques'!$D$49</f>
        <v>515.28013401941973</v>
      </c>
      <c r="L22" s="28"/>
      <c r="M22" s="28">
        <f>'PricingCostos embarques'!$D$47+'PricingCostos embarques'!$D$48+'PricingCostos embarques'!$D$49</f>
        <v>515.28013401941973</v>
      </c>
      <c r="N22" s="28"/>
      <c r="O22" s="28">
        <f>'PricingCostos embarques'!$I$47+'PricingCostos embarques'!$I$48+'PricingCostos embarques'!$I$49</f>
        <v>4.4635896698943984</v>
      </c>
      <c r="P22" s="28">
        <f>'PricingCostos embarques'!$I$47+'PricingCostos embarques'!$I$48+'PricingCostos embarques'!$I$49</f>
        <v>4.4635896698943984</v>
      </c>
      <c r="Q22" s="28">
        <f>'PricingCostos embarques'!$I$47+'PricingCostos embarques'!$I$48+'PricingCostos embarques'!$I$49</f>
        <v>4.4635896698943984</v>
      </c>
      <c r="R22" s="28">
        <f>'PricingCostos embarques'!$I$47+'PricingCostos embarques'!$I$48+'PricingCostos embarques'!$I$49</f>
        <v>4.4635896698943984</v>
      </c>
      <c r="S22" s="28">
        <f>'PricingCostos embarques'!$I$47+'PricingCostos embarques'!$I$48+'PricingCostos embarques'!$I$49</f>
        <v>4.4635896698943984</v>
      </c>
      <c r="T22" s="28">
        <f>'PricingCostos embarques'!$I$47+'PricingCostos embarques'!$I$48+'PricingCostos embarques'!$I$49</f>
        <v>4.4635896698943984</v>
      </c>
      <c r="U22" s="28">
        <f>'PricingCostos embarques'!$I$47+'PricingCostos embarques'!$I$48+'PricingCostos embarques'!$I$49</f>
        <v>4.4635896698943984</v>
      </c>
      <c r="V22" s="28">
        <f>'PricingCostos embarques'!$I$47+'PricingCostos embarques'!$I$48+'PricingCostos embarques'!$I$49</f>
        <v>4.4635896698943984</v>
      </c>
      <c r="W22" s="28">
        <f>'PricingCostos embarques'!$I$47+'PricingCostos embarques'!$I$48+'PricingCostos embarques'!$I$49</f>
        <v>4.4635896698943984</v>
      </c>
      <c r="X22" s="28">
        <f>'PricingCostos embarques'!$I$47+'PricingCostos embarques'!$I$48+'PricingCostos embarques'!$I$49</f>
        <v>4.4635896698943984</v>
      </c>
      <c r="Y22" s="28">
        <f>'PricingCostos embarques'!$I$47+'PricingCostos embarques'!$I$48+'PricingCostos embarques'!$I$49</f>
        <v>4.4635896698943984</v>
      </c>
      <c r="Z22" s="28">
        <f>'PricingCostos embarques'!$I$47+'PricingCostos embarques'!$I$48+'PricingCostos embarques'!$I$49</f>
        <v>4.4635896698943984</v>
      </c>
      <c r="AA22" s="28">
        <f>'PricingCostos embarques'!$N$47+'PricingCostos embarques'!$N$48+'PricingCostos embarques'!$N$49</f>
        <v>3.8630689747928173</v>
      </c>
      <c r="AB22" s="28">
        <f>'PricingCostos embarques'!$N$47+'PricingCostos embarques'!$N$48+'PricingCostos embarques'!$N$49</f>
        <v>3.8630689747928173</v>
      </c>
      <c r="AC22" s="28">
        <f>'PricingCostos embarques'!$N$47+'PricingCostos embarques'!$N$48+'PricingCostos embarques'!$N$49</f>
        <v>3.8630689747928173</v>
      </c>
      <c r="AD22" s="28">
        <f>'PricingCostos embarques'!$N$47+'PricingCostos embarques'!$N$48+'PricingCostos embarques'!$N$49</f>
        <v>3.8630689747928173</v>
      </c>
      <c r="AE22" s="28">
        <f>'PricingCostos embarques'!$N$47+'PricingCostos embarques'!$N$48+'PricingCostos embarques'!$N$49</f>
        <v>3.8630689747928173</v>
      </c>
      <c r="AF22" s="28">
        <f>'PricingCostos embarques'!$N$47+'PricingCostos embarques'!$N$48+'PricingCostos embarques'!$N$49</f>
        <v>3.8630689747928173</v>
      </c>
      <c r="AG22" s="28">
        <f>'PricingCostos embarques'!$N$47+'PricingCostos embarques'!$N$48+'PricingCostos embarques'!$N$49</f>
        <v>3.8630689747928173</v>
      </c>
      <c r="AH22" s="28">
        <f>'PricingCostos embarques'!$N$47+'PricingCostos embarques'!$N$48+'PricingCostos embarques'!$N$49</f>
        <v>3.8630689747928173</v>
      </c>
      <c r="AI22" s="28">
        <f>'PricingCostos embarques'!$N$47+'PricingCostos embarques'!$N$48+'PricingCostos embarques'!$N$49</f>
        <v>3.8630689747928173</v>
      </c>
      <c r="AJ22" s="28">
        <f>'PricingCostos embarques'!$N$47+'PricingCostos embarques'!$N$48+'PricingCostos embarques'!$N$49</f>
        <v>3.8630689747928173</v>
      </c>
      <c r="AK22" s="28">
        <f>'PricingCostos embarques'!$N$47+'PricingCostos embarques'!$N$48+'PricingCostos embarques'!$N$49</f>
        <v>3.8630689747928173</v>
      </c>
      <c r="AL22" s="28">
        <f>'PricingCostos embarques'!$N$47+'PricingCostos embarques'!$N$48+'PricingCostos embarques'!$N$49</f>
        <v>3.8630689747928173</v>
      </c>
      <c r="AM22" s="28">
        <f>'PricingCostos embarques'!$S$47+'PricingCostos embarques'!$S$48+'PricingCostos embarques'!$S$49</f>
        <v>3.4149173227093743</v>
      </c>
      <c r="AN22" s="28">
        <f>'PricingCostos embarques'!$S$47+'PricingCostos embarques'!$S$48+'PricingCostos embarques'!$S$49</f>
        <v>3.4149173227093743</v>
      </c>
      <c r="AO22" s="28">
        <f>'PricingCostos embarques'!$S$47+'PricingCostos embarques'!$S$48+'PricingCostos embarques'!$S$49</f>
        <v>3.4149173227093743</v>
      </c>
      <c r="AP22" s="28">
        <f>'PricingCostos embarques'!$S$47+'PricingCostos embarques'!$S$48+'PricingCostos embarques'!$S$49</f>
        <v>3.4149173227093743</v>
      </c>
      <c r="AQ22" s="28">
        <f>'PricingCostos embarques'!$S$47+'PricingCostos embarques'!$S$48+'PricingCostos embarques'!$S$49</f>
        <v>3.4149173227093743</v>
      </c>
      <c r="AR22" s="28">
        <f>'PricingCostos embarques'!$S$47+'PricingCostos embarques'!$S$48+'PricingCostos embarques'!$S$49</f>
        <v>3.4149173227093743</v>
      </c>
      <c r="AS22" s="28">
        <f>'PricingCostos embarques'!$S$47+'PricingCostos embarques'!$S$48+'PricingCostos embarques'!$S$49</f>
        <v>3.4149173227093743</v>
      </c>
      <c r="AT22" s="28">
        <f>'PricingCostos embarques'!$S$47+'PricingCostos embarques'!$S$48+'PricingCostos embarques'!$S$49</f>
        <v>3.4149173227093743</v>
      </c>
      <c r="AU22" s="28">
        <f>'PricingCostos embarques'!$S$47+'PricingCostos embarques'!$S$48+'PricingCostos embarques'!$S$49</f>
        <v>3.4149173227093743</v>
      </c>
      <c r="AV22" s="28">
        <f>'PricingCostos embarques'!$S$47+'PricingCostos embarques'!$S$48+'PricingCostos embarques'!$S$49</f>
        <v>3.4149173227093743</v>
      </c>
      <c r="AW22" s="28">
        <f>'PricingCostos embarques'!$S$47+'PricingCostos embarques'!$S$48+'PricingCostos embarques'!$S$49</f>
        <v>3.4149173227093743</v>
      </c>
      <c r="AX22" s="28">
        <f>'PricingCostos embarques'!$S$47+'PricingCostos embarques'!$S$48+'PricingCostos embarques'!$S$49</f>
        <v>3.4149173227093743</v>
      </c>
      <c r="AY22" s="28">
        <f>'PricingCostos embarques'!$X$47+'PricingCostos embarques'!$X$48+'PricingCostos embarques'!$X$49</f>
        <v>3.0934676242939618</v>
      </c>
      <c r="AZ22" s="28">
        <f>'PricingCostos embarques'!$X$47+'PricingCostos embarques'!$X$48+'PricingCostos embarques'!$X$49</f>
        <v>3.0934676242939618</v>
      </c>
      <c r="BA22" s="28">
        <f>'PricingCostos embarques'!$X$47+'PricingCostos embarques'!$X$48+'PricingCostos embarques'!$X$49</f>
        <v>3.0934676242939618</v>
      </c>
      <c r="BB22" s="28">
        <f>'PricingCostos embarques'!$X$47+'PricingCostos embarques'!$X$48+'PricingCostos embarques'!$X$49</f>
        <v>3.0934676242939618</v>
      </c>
      <c r="BC22" s="28">
        <f>'PricingCostos embarques'!$X$47+'PricingCostos embarques'!$X$48+'PricingCostos embarques'!$X$49</f>
        <v>3.0934676242939618</v>
      </c>
      <c r="BD22" s="28">
        <f>'PricingCostos embarques'!$X$47+'PricingCostos embarques'!$X$48+'PricingCostos embarques'!$X$49</f>
        <v>3.0934676242939618</v>
      </c>
      <c r="BE22" s="28">
        <f>'PricingCostos embarques'!$X$47+'PricingCostos embarques'!$X$48+'PricingCostos embarques'!$X$49</f>
        <v>3.0934676242939618</v>
      </c>
      <c r="BF22" s="28">
        <f>'PricingCostos embarques'!$X$47+'PricingCostos embarques'!$X$48+'PricingCostos embarques'!$X$49</f>
        <v>3.0934676242939618</v>
      </c>
      <c r="BG22" s="28">
        <f>'PricingCostos embarques'!$X$47+'PricingCostos embarques'!$X$48+'PricingCostos embarques'!$X$49</f>
        <v>3.0934676242939618</v>
      </c>
      <c r="BH22" s="28">
        <f>'PricingCostos embarques'!$X$47+'PricingCostos embarques'!$X$48+'PricingCostos embarques'!$X$49</f>
        <v>3.0934676242939618</v>
      </c>
      <c r="BI22" s="28">
        <f>'PricingCostos embarques'!$X$47+'PricingCostos embarques'!$X$48+'PricingCostos embarques'!$X$49</f>
        <v>3.0934676242939618</v>
      </c>
      <c r="BJ22" s="28">
        <f>'PricingCostos embarques'!$X$47+'PricingCostos embarques'!$X$48+'PricingCostos embarques'!$X$49</f>
        <v>3.0934676242939618</v>
      </c>
    </row>
    <row r="23" spans="1:62" ht="15.75" customHeight="1">
      <c r="A23" s="28" t="s">
        <v>380</v>
      </c>
      <c r="B23" s="28"/>
      <c r="C23" s="28"/>
      <c r="D23" s="28"/>
      <c r="E23" s="28"/>
      <c r="F23" s="28"/>
      <c r="G23" s="28" t="e">
        <f>'PricingCostos embarques'!D79-('PricingCostos embarques'!B45/2)-'PricingCostos embarques'!D50</f>
        <v>#DIV/0!</v>
      </c>
      <c r="H23" s="28"/>
      <c r="I23" s="28" t="e">
        <f>G23</f>
        <v>#DIV/0!</v>
      </c>
      <c r="J23" s="28"/>
      <c r="K23" s="28" t="e">
        <f>G23</f>
        <v>#DIV/0!</v>
      </c>
      <c r="L23" s="28"/>
      <c r="M23" s="28" t="e">
        <f>K23</f>
        <v>#DIV/0!</v>
      </c>
      <c r="N23" s="28"/>
      <c r="O23" s="28" t="e">
        <f>'PricingCostos embarques'!I79-('PricingCostos embarques'!G45/2)-'PricingCostos embarques'!I50</f>
        <v>#DIV/0!</v>
      </c>
      <c r="P23" s="28" t="e">
        <f t="shared" ref="P23:Z23" si="4">O23</f>
        <v>#DIV/0!</v>
      </c>
      <c r="Q23" s="28" t="e">
        <f t="shared" si="4"/>
        <v>#DIV/0!</v>
      </c>
      <c r="R23" s="28" t="e">
        <f t="shared" si="4"/>
        <v>#DIV/0!</v>
      </c>
      <c r="S23" s="28" t="e">
        <f t="shared" si="4"/>
        <v>#DIV/0!</v>
      </c>
      <c r="T23" s="28" t="e">
        <f t="shared" si="4"/>
        <v>#DIV/0!</v>
      </c>
      <c r="U23" s="28" t="e">
        <f t="shared" si="4"/>
        <v>#DIV/0!</v>
      </c>
      <c r="V23" s="28" t="e">
        <f t="shared" si="4"/>
        <v>#DIV/0!</v>
      </c>
      <c r="W23" s="28" t="e">
        <f t="shared" si="4"/>
        <v>#DIV/0!</v>
      </c>
      <c r="X23" s="28" t="e">
        <f t="shared" si="4"/>
        <v>#DIV/0!</v>
      </c>
      <c r="Y23" s="28" t="e">
        <f t="shared" si="4"/>
        <v>#DIV/0!</v>
      </c>
      <c r="Z23" s="28" t="e">
        <f t="shared" si="4"/>
        <v>#DIV/0!</v>
      </c>
      <c r="AA23" s="28" t="e">
        <f>'PricingCostos embarques'!N79-('PricingCostos embarques'!L45/2)-'PricingCostos embarques'!N50</f>
        <v>#DIV/0!</v>
      </c>
      <c r="AB23" s="28" t="e">
        <f t="shared" ref="AB23:AL23" si="5">AA23</f>
        <v>#DIV/0!</v>
      </c>
      <c r="AC23" s="28" t="e">
        <f t="shared" si="5"/>
        <v>#DIV/0!</v>
      </c>
      <c r="AD23" s="28" t="e">
        <f t="shared" si="5"/>
        <v>#DIV/0!</v>
      </c>
      <c r="AE23" s="28" t="e">
        <f t="shared" si="5"/>
        <v>#DIV/0!</v>
      </c>
      <c r="AF23" s="28" t="e">
        <f t="shared" si="5"/>
        <v>#DIV/0!</v>
      </c>
      <c r="AG23" s="28" t="e">
        <f t="shared" si="5"/>
        <v>#DIV/0!</v>
      </c>
      <c r="AH23" s="28" t="e">
        <f t="shared" si="5"/>
        <v>#DIV/0!</v>
      </c>
      <c r="AI23" s="28" t="e">
        <f t="shared" si="5"/>
        <v>#DIV/0!</v>
      </c>
      <c r="AJ23" s="28" t="e">
        <f t="shared" si="5"/>
        <v>#DIV/0!</v>
      </c>
      <c r="AK23" s="28" t="e">
        <f t="shared" si="5"/>
        <v>#DIV/0!</v>
      </c>
      <c r="AL23" s="28" t="e">
        <f t="shared" si="5"/>
        <v>#DIV/0!</v>
      </c>
      <c r="AM23" s="28" t="e">
        <f>'PricingCostos embarques'!S79-('PricingCostos embarques'!Q45/2)-'PricingCostos embarques'!S50</f>
        <v>#DIV/0!</v>
      </c>
      <c r="AN23" s="28" t="e">
        <f t="shared" ref="AN23:AX23" si="6">AM23</f>
        <v>#DIV/0!</v>
      </c>
      <c r="AO23" s="28" t="e">
        <f t="shared" si="6"/>
        <v>#DIV/0!</v>
      </c>
      <c r="AP23" s="28" t="e">
        <f t="shared" si="6"/>
        <v>#DIV/0!</v>
      </c>
      <c r="AQ23" s="28" t="e">
        <f t="shared" si="6"/>
        <v>#DIV/0!</v>
      </c>
      <c r="AR23" s="28" t="e">
        <f t="shared" si="6"/>
        <v>#DIV/0!</v>
      </c>
      <c r="AS23" s="28" t="e">
        <f t="shared" si="6"/>
        <v>#DIV/0!</v>
      </c>
      <c r="AT23" s="28" t="e">
        <f t="shared" si="6"/>
        <v>#DIV/0!</v>
      </c>
      <c r="AU23" s="28" t="e">
        <f t="shared" si="6"/>
        <v>#DIV/0!</v>
      </c>
      <c r="AV23" s="28" t="e">
        <f t="shared" si="6"/>
        <v>#DIV/0!</v>
      </c>
      <c r="AW23" s="28" t="e">
        <f t="shared" si="6"/>
        <v>#DIV/0!</v>
      </c>
      <c r="AX23" s="28" t="e">
        <f t="shared" si="6"/>
        <v>#DIV/0!</v>
      </c>
      <c r="AY23" s="28" t="e">
        <f>'PricingCostos embarques'!X79-('PricingCostos embarques'!V45/2)-'PricingCostos embarques'!X50</f>
        <v>#DIV/0!</v>
      </c>
      <c r="AZ23" s="28" t="e">
        <f t="shared" ref="AZ23:BJ23" si="7">AY23</f>
        <v>#DIV/0!</v>
      </c>
      <c r="BA23" s="28" t="e">
        <f t="shared" si="7"/>
        <v>#DIV/0!</v>
      </c>
      <c r="BB23" s="28" t="e">
        <f t="shared" si="7"/>
        <v>#DIV/0!</v>
      </c>
      <c r="BC23" s="28" t="e">
        <f t="shared" si="7"/>
        <v>#DIV/0!</v>
      </c>
      <c r="BD23" s="28" t="e">
        <f t="shared" si="7"/>
        <v>#DIV/0!</v>
      </c>
      <c r="BE23" s="28" t="e">
        <f t="shared" si="7"/>
        <v>#DIV/0!</v>
      </c>
      <c r="BF23" s="28" t="e">
        <f t="shared" si="7"/>
        <v>#DIV/0!</v>
      </c>
      <c r="BG23" s="28" t="e">
        <f t="shared" si="7"/>
        <v>#DIV/0!</v>
      </c>
      <c r="BH23" s="28" t="e">
        <f t="shared" si="7"/>
        <v>#DIV/0!</v>
      </c>
      <c r="BI23" s="28" t="e">
        <f t="shared" si="7"/>
        <v>#DIV/0!</v>
      </c>
      <c r="BJ23" s="28" t="e">
        <f t="shared" si="7"/>
        <v>#DIV/0!</v>
      </c>
    </row>
    <row r="24" spans="1:62" ht="15.75" customHeight="1">
      <c r="A24" s="28" t="s">
        <v>401</v>
      </c>
      <c r="B24" s="28"/>
      <c r="C24" s="28">
        <f>Costos!$C$5</f>
        <v>1800</v>
      </c>
      <c r="D24" s="28">
        <f>Costos!$C$5</f>
        <v>1800</v>
      </c>
      <c r="E24" s="28">
        <f>Costos!$C$5</f>
        <v>1800</v>
      </c>
      <c r="F24" s="28">
        <f>Costos!$C$5</f>
        <v>1800</v>
      </c>
      <c r="G24" s="28">
        <f>Costos!$C$5</f>
        <v>1800</v>
      </c>
      <c r="H24" s="28">
        <f>Costos!$C$5</f>
        <v>1800</v>
      </c>
      <c r="I24" s="28">
        <f>Costos!$C$5</f>
        <v>1800</v>
      </c>
      <c r="J24" s="28">
        <f>Costos!$C$5</f>
        <v>1800</v>
      </c>
      <c r="K24" s="28">
        <f>Costos!$C$5</f>
        <v>1800</v>
      </c>
      <c r="L24" s="28">
        <f>Costos!$C$5</f>
        <v>1800</v>
      </c>
      <c r="M24" s="28">
        <f>Costos!$C$5</f>
        <v>1800</v>
      </c>
      <c r="N24" s="28">
        <f>Costos!$C$5</f>
        <v>1800</v>
      </c>
      <c r="O24" s="28">
        <f>Costos!$C$5</f>
        <v>1800</v>
      </c>
      <c r="P24" s="28">
        <f>Costos!$C$5</f>
        <v>1800</v>
      </c>
      <c r="Q24" s="28">
        <f>Costos!$C$5</f>
        <v>1800</v>
      </c>
      <c r="R24" s="28">
        <f>Costos!$C$5</f>
        <v>1800</v>
      </c>
      <c r="S24" s="28">
        <f>Costos!$C$5</f>
        <v>1800</v>
      </c>
      <c r="T24" s="28">
        <f>Costos!$C$5</f>
        <v>1800</v>
      </c>
      <c r="U24" s="28">
        <f>Costos!$C$5</f>
        <v>1800</v>
      </c>
      <c r="V24" s="28">
        <f>Costos!$C$5</f>
        <v>1800</v>
      </c>
      <c r="W24" s="28">
        <f>Costos!$C$5</f>
        <v>1800</v>
      </c>
      <c r="X24" s="28">
        <f>Costos!$C$5</f>
        <v>1800</v>
      </c>
      <c r="Y24" s="28">
        <f>Costos!$C$5</f>
        <v>1800</v>
      </c>
      <c r="Z24" s="28">
        <f>Costos!$C$5</f>
        <v>1800</v>
      </c>
      <c r="AA24" s="28">
        <f>Costos!$C$5</f>
        <v>1800</v>
      </c>
      <c r="AB24" s="28">
        <f>Costos!$C$5</f>
        <v>1800</v>
      </c>
      <c r="AC24" s="28">
        <f>Costos!$C$5</f>
        <v>1800</v>
      </c>
      <c r="AD24" s="28">
        <f>Costos!$C$5</f>
        <v>1800</v>
      </c>
      <c r="AE24" s="28">
        <f>Costos!$C$5</f>
        <v>1800</v>
      </c>
      <c r="AF24" s="28">
        <f>Costos!$C$5</f>
        <v>1800</v>
      </c>
      <c r="AG24" s="28">
        <f>Costos!$C$5</f>
        <v>1800</v>
      </c>
      <c r="AH24" s="28">
        <f>Costos!$C$5</f>
        <v>1800</v>
      </c>
      <c r="AI24" s="28">
        <f>Costos!$C$5</f>
        <v>1800</v>
      </c>
      <c r="AJ24" s="28">
        <f>Costos!$C$5</f>
        <v>1800</v>
      </c>
      <c r="AK24" s="28">
        <f>Costos!$C$5</f>
        <v>1800</v>
      </c>
      <c r="AL24" s="28">
        <f>Costos!$C$5</f>
        <v>1800</v>
      </c>
      <c r="AM24" s="28">
        <f>Costos!$C$5</f>
        <v>1800</v>
      </c>
      <c r="AN24" s="28">
        <f>Costos!$C$5</f>
        <v>1800</v>
      </c>
      <c r="AO24" s="28">
        <f>Costos!$C$5</f>
        <v>1800</v>
      </c>
      <c r="AP24" s="28">
        <f>Costos!$C$5</f>
        <v>1800</v>
      </c>
      <c r="AQ24" s="28">
        <f>Costos!$C$5</f>
        <v>1800</v>
      </c>
      <c r="AR24" s="28">
        <f>Costos!$C$5</f>
        <v>1800</v>
      </c>
      <c r="AS24" s="28">
        <f>Costos!$C$5</f>
        <v>1800</v>
      </c>
      <c r="AT24" s="28">
        <f>Costos!$C$5</f>
        <v>1800</v>
      </c>
      <c r="AU24" s="28">
        <f>Costos!$C$5</f>
        <v>1800</v>
      </c>
      <c r="AV24" s="28">
        <f>Costos!$C$5</f>
        <v>1800</v>
      </c>
      <c r="AW24" s="28">
        <f>Costos!$C$5</f>
        <v>1800</v>
      </c>
      <c r="AX24" s="28">
        <f>Costos!$C$5</f>
        <v>1800</v>
      </c>
      <c r="AY24" s="28">
        <f>Costos!$C$5</f>
        <v>1800</v>
      </c>
      <c r="AZ24" s="28">
        <f>Costos!$C$5</f>
        <v>1800</v>
      </c>
      <c r="BA24" s="28">
        <f>Costos!$C$5</f>
        <v>1800</v>
      </c>
      <c r="BB24" s="28">
        <f>Costos!$C$5</f>
        <v>1800</v>
      </c>
      <c r="BC24" s="28">
        <f>Costos!$C$5</f>
        <v>1800</v>
      </c>
      <c r="BD24" s="28">
        <f>Costos!$C$5</f>
        <v>1800</v>
      </c>
      <c r="BE24" s="28">
        <f>Costos!$C$5</f>
        <v>1800</v>
      </c>
      <c r="BF24" s="28">
        <f>Costos!$C$5</f>
        <v>1800</v>
      </c>
      <c r="BG24" s="28">
        <f>Costos!$C$5</f>
        <v>1800</v>
      </c>
      <c r="BH24" s="28">
        <f>Costos!$C$5</f>
        <v>1800</v>
      </c>
      <c r="BI24" s="28">
        <f>Costos!$C$5</f>
        <v>1800</v>
      </c>
      <c r="BJ24" s="28">
        <f>Costos!$C$5</f>
        <v>1800</v>
      </c>
    </row>
    <row r="25" spans="1:62" ht="15.75" customHeight="1">
      <c r="A25" s="28" t="s">
        <v>411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</row>
    <row r="26" spans="1:62" ht="15.75" customHeight="1">
      <c r="A26" s="104" t="s">
        <v>412</v>
      </c>
      <c r="B26" s="28">
        <f>(B5+B6)-(SUM(B9:B23))</f>
        <v>-7059.5531298686947</v>
      </c>
      <c r="C26" s="28" t="e">
        <f t="shared" ref="C26:BJ26" si="8">(C5+C6)-(SUM(C9:C25))</f>
        <v>#DIV/0!</v>
      </c>
      <c r="D26" s="28" t="e">
        <f t="shared" si="8"/>
        <v>#DIV/0!</v>
      </c>
      <c r="E26" s="28" t="e">
        <f t="shared" si="8"/>
        <v>#DIV/0!</v>
      </c>
      <c r="F26" s="28" t="e">
        <f t="shared" si="8"/>
        <v>#DIV/0!</v>
      </c>
      <c r="G26" s="28" t="e">
        <f t="shared" si="8"/>
        <v>#DIV/0!</v>
      </c>
      <c r="H26" s="28" t="e">
        <f t="shared" si="8"/>
        <v>#DIV/0!</v>
      </c>
      <c r="I26" s="28" t="e">
        <f t="shared" si="8"/>
        <v>#DIV/0!</v>
      </c>
      <c r="J26" s="28" t="e">
        <f t="shared" si="8"/>
        <v>#DIV/0!</v>
      </c>
      <c r="K26" s="28" t="e">
        <f t="shared" si="8"/>
        <v>#DIV/0!</v>
      </c>
      <c r="L26" s="28" t="e">
        <f t="shared" si="8"/>
        <v>#DIV/0!</v>
      </c>
      <c r="M26" s="28" t="e">
        <f t="shared" si="8"/>
        <v>#DIV/0!</v>
      </c>
      <c r="N26" s="28" t="e">
        <f t="shared" si="8"/>
        <v>#DIV/0!</v>
      </c>
      <c r="O26" s="28" t="e">
        <f t="shared" si="8"/>
        <v>#DIV/0!</v>
      </c>
      <c r="P26" s="28" t="e">
        <f t="shared" si="8"/>
        <v>#DIV/0!</v>
      </c>
      <c r="Q26" s="28" t="e">
        <f t="shared" si="8"/>
        <v>#DIV/0!</v>
      </c>
      <c r="R26" s="28" t="e">
        <f t="shared" si="8"/>
        <v>#DIV/0!</v>
      </c>
      <c r="S26" s="28" t="e">
        <f t="shared" si="8"/>
        <v>#DIV/0!</v>
      </c>
      <c r="T26" s="28" t="e">
        <f t="shared" si="8"/>
        <v>#DIV/0!</v>
      </c>
      <c r="U26" s="28" t="e">
        <f t="shared" si="8"/>
        <v>#DIV/0!</v>
      </c>
      <c r="V26" s="28" t="e">
        <f t="shared" si="8"/>
        <v>#DIV/0!</v>
      </c>
      <c r="W26" s="28" t="e">
        <f t="shared" si="8"/>
        <v>#DIV/0!</v>
      </c>
      <c r="X26" s="28" t="e">
        <f t="shared" si="8"/>
        <v>#DIV/0!</v>
      </c>
      <c r="Y26" s="28" t="e">
        <f t="shared" si="8"/>
        <v>#DIV/0!</v>
      </c>
      <c r="Z26" s="28" t="e">
        <f t="shared" si="8"/>
        <v>#DIV/0!</v>
      </c>
      <c r="AA26" s="28" t="e">
        <f t="shared" si="8"/>
        <v>#DIV/0!</v>
      </c>
      <c r="AB26" s="28" t="e">
        <f t="shared" si="8"/>
        <v>#DIV/0!</v>
      </c>
      <c r="AC26" s="28" t="e">
        <f t="shared" si="8"/>
        <v>#DIV/0!</v>
      </c>
      <c r="AD26" s="28" t="e">
        <f t="shared" si="8"/>
        <v>#DIV/0!</v>
      </c>
      <c r="AE26" s="28" t="e">
        <f t="shared" si="8"/>
        <v>#DIV/0!</v>
      </c>
      <c r="AF26" s="28" t="e">
        <f t="shared" si="8"/>
        <v>#DIV/0!</v>
      </c>
      <c r="AG26" s="28" t="e">
        <f t="shared" si="8"/>
        <v>#DIV/0!</v>
      </c>
      <c r="AH26" s="28" t="e">
        <f t="shared" si="8"/>
        <v>#DIV/0!</v>
      </c>
      <c r="AI26" s="28" t="e">
        <f t="shared" si="8"/>
        <v>#DIV/0!</v>
      </c>
      <c r="AJ26" s="28" t="e">
        <f t="shared" si="8"/>
        <v>#DIV/0!</v>
      </c>
      <c r="AK26" s="28" t="e">
        <f t="shared" si="8"/>
        <v>#DIV/0!</v>
      </c>
      <c r="AL26" s="28" t="e">
        <f t="shared" si="8"/>
        <v>#DIV/0!</v>
      </c>
      <c r="AM26" s="28" t="e">
        <f t="shared" si="8"/>
        <v>#DIV/0!</v>
      </c>
      <c r="AN26" s="28" t="e">
        <f t="shared" si="8"/>
        <v>#DIV/0!</v>
      </c>
      <c r="AO26" s="28" t="e">
        <f t="shared" si="8"/>
        <v>#DIV/0!</v>
      </c>
      <c r="AP26" s="28" t="e">
        <f t="shared" si="8"/>
        <v>#DIV/0!</v>
      </c>
      <c r="AQ26" s="28" t="e">
        <f t="shared" si="8"/>
        <v>#DIV/0!</v>
      </c>
      <c r="AR26" s="28" t="e">
        <f t="shared" si="8"/>
        <v>#DIV/0!</v>
      </c>
      <c r="AS26" s="28" t="e">
        <f t="shared" si="8"/>
        <v>#DIV/0!</v>
      </c>
      <c r="AT26" s="28" t="e">
        <f t="shared" si="8"/>
        <v>#DIV/0!</v>
      </c>
      <c r="AU26" s="28" t="e">
        <f t="shared" si="8"/>
        <v>#DIV/0!</v>
      </c>
      <c r="AV26" s="28" t="e">
        <f t="shared" si="8"/>
        <v>#DIV/0!</v>
      </c>
      <c r="AW26" s="28" t="e">
        <f t="shared" si="8"/>
        <v>#DIV/0!</v>
      </c>
      <c r="AX26" s="28" t="e">
        <f t="shared" si="8"/>
        <v>#DIV/0!</v>
      </c>
      <c r="AY26" s="28" t="e">
        <f t="shared" si="8"/>
        <v>#DIV/0!</v>
      </c>
      <c r="AZ26" s="28" t="e">
        <f t="shared" si="8"/>
        <v>#DIV/0!</v>
      </c>
      <c r="BA26" s="28" t="e">
        <f t="shared" si="8"/>
        <v>#DIV/0!</v>
      </c>
      <c r="BB26" s="28" t="e">
        <f t="shared" si="8"/>
        <v>#DIV/0!</v>
      </c>
      <c r="BC26" s="28" t="e">
        <f t="shared" si="8"/>
        <v>#DIV/0!</v>
      </c>
      <c r="BD26" s="28" t="e">
        <f t="shared" si="8"/>
        <v>#DIV/0!</v>
      </c>
      <c r="BE26" s="28" t="e">
        <f t="shared" si="8"/>
        <v>#DIV/0!</v>
      </c>
      <c r="BF26" s="28" t="e">
        <f t="shared" si="8"/>
        <v>#DIV/0!</v>
      </c>
      <c r="BG26" s="28" t="e">
        <f t="shared" si="8"/>
        <v>#DIV/0!</v>
      </c>
      <c r="BH26" s="28" t="e">
        <f t="shared" si="8"/>
        <v>#DIV/0!</v>
      </c>
      <c r="BI26" s="28" t="e">
        <f t="shared" si="8"/>
        <v>#DIV/0!</v>
      </c>
      <c r="BJ26" s="28" t="e">
        <f t="shared" si="8"/>
        <v>#DIV/0!</v>
      </c>
    </row>
    <row r="27" spans="1:62" ht="15.75" customHeight="1">
      <c r="A27" s="104" t="s">
        <v>413</v>
      </c>
      <c r="B27" s="28">
        <f>B26</f>
        <v>-7059.5531298686947</v>
      </c>
      <c r="C27" s="28" t="e">
        <f t="shared" ref="C27:BJ27" si="9">B27+C26</f>
        <v>#DIV/0!</v>
      </c>
      <c r="D27" s="28" t="e">
        <f t="shared" si="9"/>
        <v>#DIV/0!</v>
      </c>
      <c r="E27" s="28" t="e">
        <f t="shared" si="9"/>
        <v>#DIV/0!</v>
      </c>
      <c r="F27" s="28" t="e">
        <f t="shared" si="9"/>
        <v>#DIV/0!</v>
      </c>
      <c r="G27" s="28" t="e">
        <f t="shared" si="9"/>
        <v>#DIV/0!</v>
      </c>
      <c r="H27" s="28" t="e">
        <f t="shared" si="9"/>
        <v>#DIV/0!</v>
      </c>
      <c r="I27" s="28" t="e">
        <f t="shared" si="9"/>
        <v>#DIV/0!</v>
      </c>
      <c r="J27" s="28" t="e">
        <f t="shared" si="9"/>
        <v>#DIV/0!</v>
      </c>
      <c r="K27" s="28" t="e">
        <f t="shared" si="9"/>
        <v>#DIV/0!</v>
      </c>
      <c r="L27" s="28" t="e">
        <f t="shared" si="9"/>
        <v>#DIV/0!</v>
      </c>
      <c r="M27" s="28" t="e">
        <f t="shared" si="9"/>
        <v>#DIV/0!</v>
      </c>
      <c r="N27" s="28" t="e">
        <f t="shared" si="9"/>
        <v>#DIV/0!</v>
      </c>
      <c r="O27" s="28" t="e">
        <f t="shared" si="9"/>
        <v>#DIV/0!</v>
      </c>
      <c r="P27" s="28" t="e">
        <f t="shared" si="9"/>
        <v>#DIV/0!</v>
      </c>
      <c r="Q27" s="28" t="e">
        <f t="shared" si="9"/>
        <v>#DIV/0!</v>
      </c>
      <c r="R27" s="28" t="e">
        <f t="shared" si="9"/>
        <v>#DIV/0!</v>
      </c>
      <c r="S27" s="28" t="e">
        <f t="shared" si="9"/>
        <v>#DIV/0!</v>
      </c>
      <c r="T27" s="28" t="e">
        <f t="shared" si="9"/>
        <v>#DIV/0!</v>
      </c>
      <c r="U27" s="28" t="e">
        <f t="shared" si="9"/>
        <v>#DIV/0!</v>
      </c>
      <c r="V27" s="28" t="e">
        <f t="shared" si="9"/>
        <v>#DIV/0!</v>
      </c>
      <c r="W27" s="28" t="e">
        <f t="shared" si="9"/>
        <v>#DIV/0!</v>
      </c>
      <c r="X27" s="28" t="e">
        <f t="shared" si="9"/>
        <v>#DIV/0!</v>
      </c>
      <c r="Y27" s="28" t="e">
        <f t="shared" si="9"/>
        <v>#DIV/0!</v>
      </c>
      <c r="Z27" s="28" t="e">
        <f t="shared" si="9"/>
        <v>#DIV/0!</v>
      </c>
      <c r="AA27" s="28" t="e">
        <f t="shared" si="9"/>
        <v>#DIV/0!</v>
      </c>
      <c r="AB27" s="28" t="e">
        <f t="shared" si="9"/>
        <v>#DIV/0!</v>
      </c>
      <c r="AC27" s="28" t="e">
        <f t="shared" si="9"/>
        <v>#DIV/0!</v>
      </c>
      <c r="AD27" s="28" t="e">
        <f t="shared" si="9"/>
        <v>#DIV/0!</v>
      </c>
      <c r="AE27" s="28" t="e">
        <f t="shared" si="9"/>
        <v>#DIV/0!</v>
      </c>
      <c r="AF27" s="28" t="e">
        <f t="shared" si="9"/>
        <v>#DIV/0!</v>
      </c>
      <c r="AG27" s="28" t="e">
        <f t="shared" si="9"/>
        <v>#DIV/0!</v>
      </c>
      <c r="AH27" s="28" t="e">
        <f t="shared" si="9"/>
        <v>#DIV/0!</v>
      </c>
      <c r="AI27" s="28" t="e">
        <f t="shared" si="9"/>
        <v>#DIV/0!</v>
      </c>
      <c r="AJ27" s="28" t="e">
        <f t="shared" si="9"/>
        <v>#DIV/0!</v>
      </c>
      <c r="AK27" s="28" t="e">
        <f t="shared" si="9"/>
        <v>#DIV/0!</v>
      </c>
      <c r="AL27" s="28" t="e">
        <f t="shared" si="9"/>
        <v>#DIV/0!</v>
      </c>
      <c r="AM27" s="28" t="e">
        <f t="shared" si="9"/>
        <v>#DIV/0!</v>
      </c>
      <c r="AN27" s="28" t="e">
        <f t="shared" si="9"/>
        <v>#DIV/0!</v>
      </c>
      <c r="AO27" s="28" t="e">
        <f t="shared" si="9"/>
        <v>#DIV/0!</v>
      </c>
      <c r="AP27" s="28" t="e">
        <f t="shared" si="9"/>
        <v>#DIV/0!</v>
      </c>
      <c r="AQ27" s="28" t="e">
        <f t="shared" si="9"/>
        <v>#DIV/0!</v>
      </c>
      <c r="AR27" s="28" t="e">
        <f t="shared" si="9"/>
        <v>#DIV/0!</v>
      </c>
      <c r="AS27" s="28" t="e">
        <f t="shared" si="9"/>
        <v>#DIV/0!</v>
      </c>
      <c r="AT27" s="28" t="e">
        <f t="shared" si="9"/>
        <v>#DIV/0!</v>
      </c>
      <c r="AU27" s="28" t="e">
        <f t="shared" si="9"/>
        <v>#DIV/0!</v>
      </c>
      <c r="AV27" s="28" t="e">
        <f t="shared" si="9"/>
        <v>#DIV/0!</v>
      </c>
      <c r="AW27" s="28" t="e">
        <f t="shared" si="9"/>
        <v>#DIV/0!</v>
      </c>
      <c r="AX27" s="28" t="e">
        <f t="shared" si="9"/>
        <v>#DIV/0!</v>
      </c>
      <c r="AY27" s="28" t="e">
        <f t="shared" si="9"/>
        <v>#DIV/0!</v>
      </c>
      <c r="AZ27" s="28" t="e">
        <f t="shared" si="9"/>
        <v>#DIV/0!</v>
      </c>
      <c r="BA27" s="28" t="e">
        <f t="shared" si="9"/>
        <v>#DIV/0!</v>
      </c>
      <c r="BB27" s="28" t="e">
        <f t="shared" si="9"/>
        <v>#DIV/0!</v>
      </c>
      <c r="BC27" s="28" t="e">
        <f t="shared" si="9"/>
        <v>#DIV/0!</v>
      </c>
      <c r="BD27" s="28" t="e">
        <f t="shared" si="9"/>
        <v>#DIV/0!</v>
      </c>
      <c r="BE27" s="28" t="e">
        <f t="shared" si="9"/>
        <v>#DIV/0!</v>
      </c>
      <c r="BF27" s="28" t="e">
        <f t="shared" si="9"/>
        <v>#DIV/0!</v>
      </c>
      <c r="BG27" s="28" t="e">
        <f t="shared" si="9"/>
        <v>#DIV/0!</v>
      </c>
      <c r="BH27" s="28" t="e">
        <f t="shared" si="9"/>
        <v>#DIV/0!</v>
      </c>
      <c r="BI27" s="28" t="e">
        <f t="shared" si="9"/>
        <v>#DIV/0!</v>
      </c>
      <c r="BJ27" s="28" t="e">
        <f t="shared" si="9"/>
        <v>#DIV/0!</v>
      </c>
    </row>
    <row r="28" spans="1:62" ht="15.7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</row>
    <row r="29" spans="1:62" ht="15.7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</row>
    <row r="30" spans="1:62" ht="15.75" customHeight="1">
      <c r="A30" s="225"/>
      <c r="B30" s="225" t="s">
        <v>180</v>
      </c>
      <c r="C30" s="225" t="s">
        <v>414</v>
      </c>
      <c r="D30" s="225" t="s">
        <v>415</v>
      </c>
      <c r="E30" s="225" t="s">
        <v>416</v>
      </c>
      <c r="F30" s="225" t="s">
        <v>417</v>
      </c>
      <c r="G30" s="225" t="s">
        <v>418</v>
      </c>
      <c r="H30" s="226"/>
    </row>
    <row r="31" spans="1:62" ht="15.75" customHeight="1">
      <c r="A31" s="224"/>
      <c r="B31" s="224"/>
      <c r="C31" s="224"/>
      <c r="D31" s="224"/>
      <c r="E31" s="224"/>
      <c r="F31" s="224"/>
      <c r="G31" s="224"/>
      <c r="H31" s="226"/>
    </row>
    <row r="32" spans="1:62" ht="15.75" customHeight="1">
      <c r="A32" s="104" t="s">
        <v>419</v>
      </c>
      <c r="B32" s="224"/>
      <c r="C32" s="224"/>
      <c r="D32" s="224"/>
      <c r="E32" s="224"/>
      <c r="F32" s="81"/>
      <c r="G32" s="81"/>
      <c r="H32" s="226"/>
    </row>
    <row r="33" spans="1:9" ht="15.75" customHeight="1">
      <c r="A33" s="28" t="s">
        <v>130</v>
      </c>
      <c r="B33" s="224">
        <v>0</v>
      </c>
      <c r="C33" s="224" t="e">
        <f>SUM(C5:N5)</f>
        <v>#DIV/0!</v>
      </c>
      <c r="D33" s="224" t="e">
        <f>SUM(O5:Z5)</f>
        <v>#DIV/0!</v>
      </c>
      <c r="E33" s="224" t="e">
        <f>SUM(AA5:AL5)</f>
        <v>#DIV/0!</v>
      </c>
      <c r="F33" s="81" t="e">
        <f>SUM(AM5:AX5)</f>
        <v>#DIV/0!</v>
      </c>
      <c r="G33" s="81" t="e">
        <f>SUM(AY5:BJ5)</f>
        <v>#DIV/0!</v>
      </c>
      <c r="H33" s="226"/>
    </row>
    <row r="34" spans="1:9" ht="15.75" customHeight="1">
      <c r="A34" s="28" t="s">
        <v>212</v>
      </c>
      <c r="B34" s="224">
        <f>B6</f>
        <v>21590</v>
      </c>
      <c r="C34" s="224"/>
      <c r="D34" s="224"/>
      <c r="E34" s="224"/>
      <c r="F34" s="224"/>
      <c r="G34" s="224"/>
      <c r="H34" s="226"/>
    </row>
    <row r="35" spans="1:9" ht="15.75" customHeight="1">
      <c r="A35" s="104"/>
      <c r="B35" s="224"/>
      <c r="C35" s="224"/>
      <c r="D35" s="224"/>
      <c r="E35" s="224"/>
      <c r="F35" s="224"/>
      <c r="G35" s="224"/>
      <c r="H35" s="226"/>
    </row>
    <row r="36" spans="1:9" ht="15.75" customHeight="1">
      <c r="A36" s="104" t="s">
        <v>420</v>
      </c>
      <c r="B36" s="227"/>
      <c r="C36" s="227"/>
      <c r="D36" s="227"/>
      <c r="E36" s="227"/>
      <c r="F36" s="227"/>
      <c r="G36" s="227"/>
      <c r="H36" s="226"/>
    </row>
    <row r="37" spans="1:9" ht="15.75" customHeight="1">
      <c r="A37" s="28" t="s">
        <v>215</v>
      </c>
      <c r="B37" s="224">
        <f t="shared" ref="B37:C37" si="10">B9</f>
        <v>0</v>
      </c>
      <c r="C37" s="224" t="e">
        <f t="shared" si="10"/>
        <v>#DIV/0!</v>
      </c>
      <c r="D37" s="224" t="e">
        <f>O9</f>
        <v>#DIV/0!</v>
      </c>
      <c r="E37" s="224" t="e">
        <f>AA9</f>
        <v>#DIV/0!</v>
      </c>
      <c r="F37" s="224" t="e">
        <f>AM9</f>
        <v>#DIV/0!</v>
      </c>
      <c r="G37" s="224" t="e">
        <f>AY9</f>
        <v>#DIV/0!</v>
      </c>
      <c r="H37" s="226"/>
    </row>
    <row r="38" spans="1:9" ht="15.75" customHeight="1">
      <c r="A38" s="28" t="s">
        <v>220</v>
      </c>
      <c r="B38" s="224">
        <f t="shared" ref="B38:B52" si="11">B10</f>
        <v>0</v>
      </c>
      <c r="C38" s="224">
        <f>'Inversion Inicial '!C55</f>
        <v>9527.897109468362</v>
      </c>
      <c r="D38" s="224">
        <f>'Inversion Inicial '!$C56</f>
        <v>9527.897109468362</v>
      </c>
      <c r="E38" s="224">
        <f>'Inversion Inicial '!C57</f>
        <v>9527.897109468362</v>
      </c>
      <c r="F38" s="224">
        <f>'Inversion Inicial '!C58</f>
        <v>0</v>
      </c>
      <c r="G38" s="224">
        <f>'Inversion Inicial '!C59</f>
        <v>0</v>
      </c>
      <c r="H38" s="226"/>
      <c r="I38" s="143"/>
    </row>
    <row r="39" spans="1:9" ht="15.75" customHeight="1">
      <c r="A39" s="28" t="s">
        <v>421</v>
      </c>
      <c r="B39" s="224">
        <f t="shared" si="11"/>
        <v>0</v>
      </c>
      <c r="C39" s="224"/>
      <c r="D39" s="224"/>
      <c r="E39" s="224"/>
      <c r="F39" s="224"/>
      <c r="G39" s="224"/>
      <c r="H39" s="226"/>
      <c r="I39" s="143"/>
    </row>
    <row r="40" spans="1:9" ht="15.75" customHeight="1">
      <c r="A40" s="28" t="s">
        <v>225</v>
      </c>
      <c r="B40" s="224">
        <f t="shared" si="11"/>
        <v>273.84615384615387</v>
      </c>
      <c r="C40" s="224">
        <f t="shared" ref="C40:C44" si="12">SUM(C12:N12)</f>
        <v>235.47880690737836</v>
      </c>
      <c r="D40" s="224">
        <f t="shared" ref="D40:D44" si="13">SUM(O12:Z12)</f>
        <v>572.1059448672944</v>
      </c>
      <c r="E40" s="224">
        <f t="shared" ref="E40:E44" si="14">SUM(AA12:AL12)</f>
        <v>474.61916780097425</v>
      </c>
      <c r="F40" s="224">
        <f t="shared" ref="F40:F44" si="15">SUM(AM12:AX12)</f>
        <v>403.58772772191674</v>
      </c>
      <c r="G40" s="224"/>
      <c r="H40" s="226"/>
      <c r="I40" s="143"/>
    </row>
    <row r="41" spans="1:9" ht="15.75" customHeight="1">
      <c r="A41" s="28" t="s">
        <v>235</v>
      </c>
      <c r="B41" s="224">
        <f t="shared" si="11"/>
        <v>754.61538461538464</v>
      </c>
      <c r="C41" s="224">
        <f t="shared" si="12"/>
        <v>0</v>
      </c>
      <c r="D41" s="224">
        <f t="shared" si="13"/>
        <v>0</v>
      </c>
      <c r="E41" s="224">
        <f t="shared" si="14"/>
        <v>0</v>
      </c>
      <c r="F41" s="224">
        <f t="shared" si="15"/>
        <v>0</v>
      </c>
      <c r="G41" s="224">
        <f t="shared" ref="G41:G44" si="16">SUM(AY13:BJ13)</f>
        <v>0</v>
      </c>
      <c r="H41" s="226"/>
      <c r="I41" s="143"/>
    </row>
    <row r="42" spans="1:9" ht="15.75" customHeight="1">
      <c r="A42" s="28" t="s">
        <v>237</v>
      </c>
      <c r="B42" s="224">
        <f t="shared" si="11"/>
        <v>0</v>
      </c>
      <c r="C42" s="224">
        <f t="shared" si="12"/>
        <v>0</v>
      </c>
      <c r="D42" s="224">
        <f t="shared" si="13"/>
        <v>0</v>
      </c>
      <c r="E42" s="224">
        <f t="shared" si="14"/>
        <v>0</v>
      </c>
      <c r="F42" s="224">
        <f t="shared" si="15"/>
        <v>0</v>
      </c>
      <c r="G42" s="224">
        <f t="shared" si="16"/>
        <v>0</v>
      </c>
      <c r="H42" s="226"/>
      <c r="I42" s="143"/>
    </row>
    <row r="43" spans="1:9" ht="15.75" customHeight="1">
      <c r="A43" s="28" t="s">
        <v>238</v>
      </c>
      <c r="B43" s="224">
        <f t="shared" si="11"/>
        <v>102.27692307692308</v>
      </c>
      <c r="C43" s="224">
        <f t="shared" si="12"/>
        <v>0</v>
      </c>
      <c r="D43" s="224">
        <f t="shared" si="13"/>
        <v>0</v>
      </c>
      <c r="E43" s="224">
        <f t="shared" si="14"/>
        <v>0</v>
      </c>
      <c r="F43" s="224">
        <f t="shared" si="15"/>
        <v>0</v>
      </c>
      <c r="G43" s="224">
        <f t="shared" si="16"/>
        <v>0</v>
      </c>
      <c r="H43" s="226"/>
      <c r="I43" s="143"/>
    </row>
    <row r="44" spans="1:9" ht="15.75" customHeight="1">
      <c r="A44" s="28" t="s">
        <v>240</v>
      </c>
      <c r="B44" s="224">
        <f t="shared" si="11"/>
        <v>27352.814668330233</v>
      </c>
      <c r="C44" s="224">
        <f t="shared" si="12"/>
        <v>0</v>
      </c>
      <c r="D44" s="224">
        <f t="shared" si="13"/>
        <v>0</v>
      </c>
      <c r="E44" s="224">
        <f t="shared" si="14"/>
        <v>0</v>
      </c>
      <c r="F44" s="224">
        <f t="shared" si="15"/>
        <v>0</v>
      </c>
      <c r="G44" s="224">
        <f t="shared" si="16"/>
        <v>0</v>
      </c>
      <c r="H44" s="226"/>
      <c r="I44" s="143"/>
    </row>
    <row r="45" spans="1:9" ht="15.75" customHeight="1">
      <c r="A45" s="28" t="s">
        <v>242</v>
      </c>
      <c r="B45" s="224">
        <f t="shared" si="11"/>
        <v>0</v>
      </c>
      <c r="C45" s="224">
        <f>N17</f>
        <v>2735.2814668330234</v>
      </c>
      <c r="D45" s="224">
        <f>Z17</f>
        <v>2735.2814668330234</v>
      </c>
      <c r="E45" s="224">
        <f>AL17</f>
        <v>2735.2814668330234</v>
      </c>
      <c r="F45" s="224">
        <f>AX17</f>
        <v>2735.2814668330234</v>
      </c>
      <c r="G45" s="224">
        <f>BJ17</f>
        <v>2735.2814668330234</v>
      </c>
      <c r="H45" s="226"/>
      <c r="I45" s="143"/>
    </row>
    <row r="46" spans="1:9" ht="15.75" customHeight="1">
      <c r="A46" s="28" t="s">
        <v>248</v>
      </c>
      <c r="B46" s="224">
        <f t="shared" si="11"/>
        <v>0</v>
      </c>
      <c r="C46" s="224">
        <f t="shared" ref="C46:C50" si="17">SUM(C18:N18)</f>
        <v>100</v>
      </c>
      <c r="D46" s="224">
        <f t="shared" ref="D46:D52" si="18">SUM(O18:Z18)</f>
        <v>100</v>
      </c>
      <c r="E46" s="224">
        <f t="shared" ref="E46:E52" si="19">SUM(AA18:AL18)</f>
        <v>100</v>
      </c>
      <c r="F46" s="224">
        <f t="shared" ref="F46:F52" si="20">SUM(AM18:AX18)</f>
        <v>100</v>
      </c>
      <c r="G46" s="224">
        <f t="shared" ref="G46:G52" si="21">SUM(AY18:BJ18)</f>
        <v>100</v>
      </c>
      <c r="H46" s="226"/>
      <c r="I46" s="143"/>
    </row>
    <row r="47" spans="1:9" ht="15.75" customHeight="1">
      <c r="A47" s="28" t="s">
        <v>259</v>
      </c>
      <c r="B47" s="224">
        <f t="shared" si="11"/>
        <v>166</v>
      </c>
      <c r="C47" s="224">
        <f t="shared" si="17"/>
        <v>0</v>
      </c>
      <c r="D47" s="224">
        <f t="shared" si="18"/>
        <v>0</v>
      </c>
      <c r="E47" s="224">
        <f t="shared" si="19"/>
        <v>0</v>
      </c>
      <c r="F47" s="224">
        <f t="shared" si="20"/>
        <v>0</v>
      </c>
      <c r="G47" s="224">
        <f t="shared" si="21"/>
        <v>0</v>
      </c>
      <c r="H47" s="226"/>
      <c r="I47" s="143"/>
    </row>
    <row r="48" spans="1:9" ht="15.75" customHeight="1">
      <c r="A48" s="28" t="s">
        <v>266</v>
      </c>
      <c r="B48" s="224">
        <f t="shared" si="11"/>
        <v>0</v>
      </c>
      <c r="C48" s="224">
        <f t="shared" si="17"/>
        <v>527.47252747252753</v>
      </c>
      <c r="D48" s="224">
        <f t="shared" si="18"/>
        <v>427.17243883424635</v>
      </c>
      <c r="E48" s="224">
        <f t="shared" si="19"/>
        <v>354.38231195806077</v>
      </c>
      <c r="F48" s="224">
        <f t="shared" si="20"/>
        <v>301.34550336569794</v>
      </c>
      <c r="G48" s="224">
        <f t="shared" si="21"/>
        <v>262.8165911091034</v>
      </c>
      <c r="H48" s="226"/>
      <c r="I48" s="143"/>
    </row>
    <row r="49" spans="1:62" ht="15.75" customHeight="1">
      <c r="A49" s="28" t="s">
        <v>288</v>
      </c>
      <c r="B49" s="224">
        <f t="shared" si="11"/>
        <v>0</v>
      </c>
      <c r="C49" s="224" t="e">
        <f t="shared" si="17"/>
        <v>#DIV/0!</v>
      </c>
      <c r="D49" s="224" t="e">
        <f t="shared" si="18"/>
        <v>#DIV/0!</v>
      </c>
      <c r="E49" s="224" t="e">
        <f t="shared" si="19"/>
        <v>#DIV/0!</v>
      </c>
      <c r="F49" s="81" t="e">
        <f t="shared" si="20"/>
        <v>#DIV/0!</v>
      </c>
      <c r="G49" s="224" t="e">
        <f t="shared" si="21"/>
        <v>#DIV/0!</v>
      </c>
      <c r="H49" s="226"/>
      <c r="I49" s="143"/>
    </row>
    <row r="50" spans="1:62" ht="15.75" customHeight="1">
      <c r="A50" s="28" t="s">
        <v>305</v>
      </c>
      <c r="B50" s="224">
        <f t="shared" si="11"/>
        <v>0</v>
      </c>
      <c r="C50" s="224">
        <f t="shared" si="17"/>
        <v>2061.1205360776789</v>
      </c>
      <c r="D50" s="224">
        <f t="shared" si="18"/>
        <v>53.563076038732767</v>
      </c>
      <c r="E50" s="224">
        <f t="shared" si="19"/>
        <v>46.356827697513808</v>
      </c>
      <c r="F50" s="224">
        <f t="shared" si="20"/>
        <v>40.979007872512483</v>
      </c>
      <c r="G50" s="224">
        <f t="shared" si="21"/>
        <v>37.121611491527538</v>
      </c>
      <c r="H50" s="228"/>
      <c r="I50" s="143"/>
      <c r="S50" s="143"/>
    </row>
    <row r="51" spans="1:62" ht="15.75" customHeight="1">
      <c r="A51" s="28" t="s">
        <v>380</v>
      </c>
      <c r="B51" s="224">
        <f t="shared" si="11"/>
        <v>0</v>
      </c>
      <c r="C51" s="224" t="e">
        <f>SUM(G23:M23)</f>
        <v>#DIV/0!</v>
      </c>
      <c r="D51" s="224" t="e">
        <f t="shared" si="18"/>
        <v>#DIV/0!</v>
      </c>
      <c r="E51" s="224" t="e">
        <f t="shared" si="19"/>
        <v>#DIV/0!</v>
      </c>
      <c r="F51" s="224" t="e">
        <f t="shared" si="20"/>
        <v>#DIV/0!</v>
      </c>
      <c r="G51" s="224" t="e">
        <f t="shared" si="21"/>
        <v>#DIV/0!</v>
      </c>
      <c r="H51" s="228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</row>
    <row r="52" spans="1:62" ht="15.75" customHeight="1">
      <c r="A52" s="28" t="s">
        <v>401</v>
      </c>
      <c r="B52" s="224">
        <f t="shared" si="11"/>
        <v>0</v>
      </c>
      <c r="C52" s="224">
        <f>SUM(C24:N24)</f>
        <v>21600</v>
      </c>
      <c r="D52" s="224">
        <f t="shared" si="18"/>
        <v>21600</v>
      </c>
      <c r="E52" s="224">
        <f t="shared" si="19"/>
        <v>21600</v>
      </c>
      <c r="F52" s="224">
        <f t="shared" si="20"/>
        <v>21600</v>
      </c>
      <c r="G52" s="224">
        <f t="shared" si="21"/>
        <v>21600</v>
      </c>
      <c r="H52" s="228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</row>
    <row r="53" spans="1:62" ht="15.75" customHeight="1">
      <c r="A53" s="28" t="s">
        <v>411</v>
      </c>
      <c r="B53" s="224"/>
      <c r="C53" s="224">
        <f t="shared" ref="C53:G53" si="22">400*12</f>
        <v>4800</v>
      </c>
      <c r="D53" s="224">
        <f t="shared" si="22"/>
        <v>4800</v>
      </c>
      <c r="E53" s="224">
        <f t="shared" si="22"/>
        <v>4800</v>
      </c>
      <c r="F53" s="224">
        <f t="shared" si="22"/>
        <v>4800</v>
      </c>
      <c r="G53" s="224">
        <f t="shared" si="22"/>
        <v>4800</v>
      </c>
      <c r="H53" s="228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</row>
    <row r="54" spans="1:62" ht="15.75" customHeight="1">
      <c r="A54" s="104" t="s">
        <v>422</v>
      </c>
      <c r="B54" s="229">
        <f t="shared" ref="B54:G54" si="23">(B33+B34)-(SUM(B37:B53))</f>
        <v>-7059.5531298686947</v>
      </c>
      <c r="C54" s="229" t="e">
        <f t="shared" si="23"/>
        <v>#DIV/0!</v>
      </c>
      <c r="D54" s="229" t="e">
        <f t="shared" si="23"/>
        <v>#DIV/0!</v>
      </c>
      <c r="E54" s="229" t="e">
        <f t="shared" si="23"/>
        <v>#DIV/0!</v>
      </c>
      <c r="F54" s="229" t="e">
        <f t="shared" si="23"/>
        <v>#DIV/0!</v>
      </c>
      <c r="G54" s="229" t="e">
        <f t="shared" si="23"/>
        <v>#DIV/0!</v>
      </c>
      <c r="H54" s="230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</row>
    <row r="55" spans="1:62" ht="15.75" customHeight="1">
      <c r="A55" s="104" t="s">
        <v>424</v>
      </c>
      <c r="B55" s="229">
        <f>B54</f>
        <v>-7059.5531298686947</v>
      </c>
      <c r="C55" s="229" t="e">
        <f t="shared" ref="C55:G55" si="24">B55+C54</f>
        <v>#DIV/0!</v>
      </c>
      <c r="D55" s="229" t="e">
        <f t="shared" si="24"/>
        <v>#DIV/0!</v>
      </c>
      <c r="E55" s="229" t="e">
        <f t="shared" si="24"/>
        <v>#DIV/0!</v>
      </c>
      <c r="F55" s="229" t="e">
        <f t="shared" si="24"/>
        <v>#DIV/0!</v>
      </c>
      <c r="G55" s="229" t="e">
        <f t="shared" si="24"/>
        <v>#DIV/0!</v>
      </c>
      <c r="H55" s="228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</row>
    <row r="56" spans="1:62" ht="15.7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I56" s="143"/>
      <c r="BJ56" s="143"/>
    </row>
    <row r="57" spans="1:62" ht="15.7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I57" s="143"/>
      <c r="BJ57" s="143"/>
    </row>
    <row r="58" spans="1:62" ht="15.7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</row>
    <row r="59" spans="1:62" ht="15.7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143"/>
      <c r="AO59" s="143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  <c r="BA59" s="143"/>
      <c r="BB59" s="143"/>
      <c r="BC59" s="143"/>
      <c r="BD59" s="143"/>
      <c r="BE59" s="143"/>
      <c r="BF59" s="143"/>
      <c r="BG59" s="143"/>
      <c r="BH59" s="143"/>
      <c r="BI59" s="143"/>
      <c r="BJ59" s="143"/>
    </row>
    <row r="60" spans="1:62" ht="15.7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3"/>
      <c r="AN60" s="143"/>
      <c r="AO60" s="143"/>
      <c r="AP60" s="143"/>
      <c r="AQ60" s="143"/>
      <c r="AR60" s="143"/>
      <c r="AS60" s="143"/>
      <c r="AT60" s="143"/>
      <c r="AU60" s="143"/>
      <c r="AV60" s="143"/>
      <c r="AW60" s="143"/>
      <c r="AX60" s="143"/>
      <c r="AY60" s="143"/>
      <c r="AZ60" s="143"/>
      <c r="BA60" s="143"/>
      <c r="BB60" s="143"/>
      <c r="BC60" s="143"/>
      <c r="BD60" s="143"/>
      <c r="BE60" s="143"/>
      <c r="BF60" s="143"/>
      <c r="BG60" s="143"/>
      <c r="BH60" s="143"/>
      <c r="BI60" s="143"/>
      <c r="BJ60" s="143"/>
    </row>
    <row r="61" spans="1:62" ht="15.7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</row>
    <row r="62" spans="1:62" ht="15.7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143"/>
      <c r="AO62" s="143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3"/>
      <c r="BA62" s="143"/>
      <c r="BB62" s="143"/>
      <c r="BC62" s="143"/>
      <c r="BD62" s="143"/>
      <c r="BE62" s="143"/>
      <c r="BF62" s="143"/>
      <c r="BG62" s="143"/>
      <c r="BH62" s="143"/>
      <c r="BI62" s="143"/>
      <c r="BJ62" s="143"/>
    </row>
    <row r="63" spans="1:62" ht="15.7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  <c r="AN63" s="143"/>
      <c r="AO63" s="143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3"/>
      <c r="BA63" s="143"/>
      <c r="BB63" s="143"/>
      <c r="BC63" s="143"/>
      <c r="BD63" s="143"/>
      <c r="BE63" s="143"/>
      <c r="BF63" s="143"/>
      <c r="BG63" s="143"/>
      <c r="BH63" s="143"/>
      <c r="BI63" s="143"/>
      <c r="BJ63" s="143"/>
    </row>
    <row r="64" spans="1:62" ht="15.7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</row>
    <row r="65" spans="1:62" ht="15.7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3"/>
    </row>
    <row r="66" spans="1:62" ht="15.7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</row>
    <row r="67" spans="1:62" ht="15.7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</row>
    <row r="68" spans="1:62" ht="15.7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  <c r="BA68" s="143"/>
      <c r="BB68" s="143"/>
      <c r="BC68" s="143"/>
      <c r="BD68" s="143"/>
      <c r="BE68" s="143"/>
      <c r="BF68" s="143"/>
      <c r="BG68" s="143"/>
      <c r="BH68" s="143"/>
      <c r="BI68" s="143"/>
      <c r="BJ68" s="143"/>
    </row>
    <row r="69" spans="1:62" ht="15.7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3"/>
      <c r="BB69" s="143"/>
      <c r="BC69" s="143"/>
      <c r="BD69" s="143"/>
      <c r="BE69" s="143"/>
      <c r="BF69" s="143"/>
      <c r="BG69" s="143"/>
      <c r="BH69" s="143"/>
      <c r="BI69" s="143"/>
      <c r="BJ69" s="143"/>
    </row>
    <row r="70" spans="1:62" ht="15.7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</row>
    <row r="71" spans="1:62" ht="15.7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3"/>
      <c r="BA71" s="143"/>
      <c r="BB71" s="143"/>
      <c r="BC71" s="143"/>
      <c r="BD71" s="143"/>
      <c r="BE71" s="143"/>
      <c r="BF71" s="143"/>
      <c r="BG71" s="143"/>
      <c r="BH71" s="143"/>
      <c r="BI71" s="143"/>
      <c r="BJ71" s="143"/>
    </row>
    <row r="72" spans="1:62" ht="15.7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  <c r="AN72" s="143"/>
      <c r="AO72" s="143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  <c r="BA72" s="143"/>
      <c r="BB72" s="143"/>
      <c r="BC72" s="143"/>
      <c r="BD72" s="143"/>
      <c r="BE72" s="143"/>
      <c r="BF72" s="143"/>
      <c r="BG72" s="143"/>
      <c r="BH72" s="143"/>
      <c r="BI72" s="143"/>
      <c r="BJ72" s="143"/>
    </row>
    <row r="73" spans="1:62" ht="15.7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3"/>
    </row>
    <row r="74" spans="1:62" ht="15.7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  <c r="BA74" s="143"/>
      <c r="BB74" s="143"/>
      <c r="BC74" s="143"/>
      <c r="BD74" s="143"/>
      <c r="BE74" s="143"/>
      <c r="BF74" s="143"/>
      <c r="BG74" s="143"/>
      <c r="BH74" s="143"/>
      <c r="BI74" s="143"/>
      <c r="BJ74" s="143"/>
    </row>
    <row r="75" spans="1:62" ht="15.7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3"/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  <c r="BB75" s="143"/>
      <c r="BC75" s="143"/>
      <c r="BD75" s="143"/>
      <c r="BE75" s="143"/>
      <c r="BF75" s="143"/>
      <c r="BG75" s="143"/>
      <c r="BH75" s="143"/>
      <c r="BI75" s="143"/>
      <c r="BJ75" s="143"/>
    </row>
    <row r="76" spans="1:62" ht="15.7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</row>
    <row r="77" spans="1:62" ht="15.7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3"/>
    </row>
    <row r="78" spans="1:62" ht="15.7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3"/>
    </row>
    <row r="79" spans="1:62" ht="15.7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43"/>
      <c r="BE79" s="143"/>
      <c r="BF79" s="143"/>
      <c r="BG79" s="143"/>
      <c r="BH79" s="143"/>
      <c r="BI79" s="143"/>
      <c r="BJ79" s="143"/>
    </row>
    <row r="80" spans="1:62" ht="15.7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  <c r="BB80" s="143"/>
      <c r="BC80" s="143"/>
      <c r="BD80" s="143"/>
      <c r="BE80" s="143"/>
      <c r="BF80" s="143"/>
      <c r="BG80" s="143"/>
      <c r="BH80" s="143"/>
      <c r="BI80" s="143"/>
      <c r="BJ80" s="143"/>
    </row>
    <row r="81" spans="1:62" ht="15.7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3"/>
      <c r="BH81" s="143"/>
      <c r="BI81" s="143"/>
      <c r="BJ81" s="143"/>
    </row>
    <row r="82" spans="1:62" ht="15.7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</row>
    <row r="83" spans="1:62" ht="15.7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</row>
    <row r="84" spans="1:62" ht="15.7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</row>
    <row r="85" spans="1:62" ht="15.7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</row>
    <row r="86" spans="1:62" ht="15.7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3"/>
      <c r="BH86" s="143"/>
      <c r="BI86" s="143"/>
      <c r="BJ86" s="143"/>
    </row>
    <row r="87" spans="1:62" ht="15.7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43"/>
      <c r="BB87" s="143"/>
      <c r="BC87" s="143"/>
      <c r="BD87" s="143"/>
      <c r="BE87" s="143"/>
      <c r="BF87" s="143"/>
      <c r="BG87" s="143"/>
      <c r="BH87" s="143"/>
      <c r="BI87" s="143"/>
      <c r="BJ87" s="143"/>
    </row>
    <row r="88" spans="1:62" ht="15.7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143"/>
      <c r="BC88" s="143"/>
      <c r="BD88" s="143"/>
      <c r="BE88" s="143"/>
      <c r="BF88" s="143"/>
      <c r="BG88" s="143"/>
      <c r="BH88" s="143"/>
      <c r="BI88" s="143"/>
      <c r="BJ88" s="143"/>
    </row>
    <row r="89" spans="1:62" ht="15.7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R89" s="143"/>
      <c r="AS89" s="143"/>
      <c r="AT89" s="143"/>
      <c r="AU89" s="143"/>
      <c r="AV89" s="143"/>
      <c r="AW89" s="143"/>
      <c r="AX89" s="143"/>
      <c r="AY89" s="143"/>
      <c r="AZ89" s="143"/>
      <c r="BA89" s="143"/>
      <c r="BB89" s="143"/>
      <c r="BC89" s="143"/>
      <c r="BD89" s="143"/>
      <c r="BE89" s="143"/>
      <c r="BF89" s="143"/>
      <c r="BG89" s="143"/>
      <c r="BH89" s="143"/>
      <c r="BI89" s="143"/>
      <c r="BJ89" s="143"/>
    </row>
    <row r="90" spans="1:62" ht="15.7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43"/>
      <c r="BB90" s="143"/>
      <c r="BC90" s="143"/>
      <c r="BD90" s="143"/>
      <c r="BE90" s="143"/>
      <c r="BF90" s="143"/>
      <c r="BG90" s="143"/>
      <c r="BH90" s="143"/>
      <c r="BI90" s="143"/>
      <c r="BJ90" s="143"/>
    </row>
    <row r="91" spans="1:62" ht="15.7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</row>
    <row r="92" spans="1:62" ht="15.7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43"/>
      <c r="AN92" s="143"/>
      <c r="AO92" s="143"/>
      <c r="AP92" s="143"/>
      <c r="AQ92" s="143"/>
      <c r="AR92" s="143"/>
      <c r="AS92" s="143"/>
      <c r="AT92" s="143"/>
      <c r="AU92" s="143"/>
      <c r="AV92" s="143"/>
      <c r="AW92" s="143"/>
      <c r="AX92" s="143"/>
      <c r="AY92" s="143"/>
      <c r="AZ92" s="143"/>
      <c r="BA92" s="143"/>
      <c r="BB92" s="143"/>
      <c r="BC92" s="143"/>
      <c r="BD92" s="143"/>
      <c r="BE92" s="143"/>
      <c r="BF92" s="143"/>
      <c r="BG92" s="143"/>
      <c r="BH92" s="143"/>
      <c r="BI92" s="143"/>
      <c r="BJ92" s="143"/>
    </row>
    <row r="93" spans="1:62" ht="15.7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  <c r="AP93" s="143"/>
      <c r="AQ93" s="143"/>
      <c r="AR93" s="143"/>
      <c r="AS93" s="143"/>
      <c r="AT93" s="143"/>
      <c r="AU93" s="143"/>
      <c r="AV93" s="143"/>
      <c r="AW93" s="143"/>
      <c r="AX93" s="143"/>
      <c r="AY93" s="143"/>
      <c r="AZ93" s="143"/>
      <c r="BA93" s="143"/>
      <c r="BB93" s="143"/>
      <c r="BC93" s="143"/>
      <c r="BD93" s="143"/>
      <c r="BE93" s="143"/>
      <c r="BF93" s="143"/>
      <c r="BG93" s="143"/>
      <c r="BH93" s="143"/>
      <c r="BI93" s="143"/>
      <c r="BJ93" s="143"/>
    </row>
    <row r="94" spans="1:62" ht="15.7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  <c r="AN94" s="143"/>
      <c r="AO94" s="143"/>
      <c r="AP94" s="143"/>
      <c r="AQ94" s="143"/>
      <c r="AR94" s="143"/>
      <c r="AS94" s="143"/>
      <c r="AT94" s="143"/>
      <c r="AU94" s="143"/>
      <c r="AV94" s="143"/>
      <c r="AW94" s="143"/>
      <c r="AX94" s="143"/>
      <c r="AY94" s="143"/>
      <c r="AZ94" s="143"/>
      <c r="BA94" s="143"/>
      <c r="BB94" s="143"/>
      <c r="BC94" s="143"/>
      <c r="BD94" s="143"/>
      <c r="BE94" s="143"/>
      <c r="BF94" s="143"/>
      <c r="BG94" s="143"/>
      <c r="BH94" s="143"/>
      <c r="BI94" s="143"/>
      <c r="BJ94" s="143"/>
    </row>
    <row r="95" spans="1:62" ht="15.7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  <c r="AP95" s="143"/>
      <c r="AQ95" s="143"/>
      <c r="AR95" s="143"/>
      <c r="AS95" s="143"/>
      <c r="AT95" s="143"/>
      <c r="AU95" s="143"/>
      <c r="AV95" s="143"/>
      <c r="AW95" s="143"/>
      <c r="AX95" s="143"/>
      <c r="AY95" s="143"/>
      <c r="AZ95" s="143"/>
      <c r="BA95" s="143"/>
      <c r="BB95" s="143"/>
      <c r="BC95" s="143"/>
      <c r="BD95" s="143"/>
      <c r="BE95" s="143"/>
      <c r="BF95" s="143"/>
      <c r="BG95" s="143"/>
      <c r="BH95" s="143"/>
      <c r="BI95" s="143"/>
      <c r="BJ95" s="143"/>
    </row>
    <row r="96" spans="1:62" ht="15.7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  <c r="AP96" s="143"/>
      <c r="AQ96" s="143"/>
      <c r="AR96" s="143"/>
      <c r="AS96" s="143"/>
      <c r="AT96" s="143"/>
      <c r="AU96" s="143"/>
      <c r="AV96" s="143"/>
      <c r="AW96" s="143"/>
      <c r="AX96" s="143"/>
      <c r="AY96" s="143"/>
      <c r="AZ96" s="143"/>
      <c r="BA96" s="143"/>
      <c r="BB96" s="143"/>
      <c r="BC96" s="143"/>
      <c r="BD96" s="143"/>
      <c r="BE96" s="143"/>
      <c r="BF96" s="143"/>
      <c r="BG96" s="143"/>
      <c r="BH96" s="143"/>
      <c r="BI96" s="143"/>
      <c r="BJ96" s="143"/>
    </row>
    <row r="97" spans="1:62" ht="15.75" customHeight="1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/>
      <c r="AS97" s="143"/>
      <c r="AT97" s="143"/>
      <c r="AU97" s="143"/>
      <c r="AV97" s="143"/>
      <c r="AW97" s="143"/>
      <c r="AX97" s="143"/>
      <c r="AY97" s="143"/>
      <c r="AZ97" s="143"/>
      <c r="BA97" s="143"/>
      <c r="BB97" s="143"/>
      <c r="BC97" s="143"/>
      <c r="BD97" s="143"/>
      <c r="BE97" s="143"/>
      <c r="BF97" s="143"/>
      <c r="BG97" s="143"/>
      <c r="BH97" s="143"/>
      <c r="BI97" s="143"/>
      <c r="BJ97" s="143"/>
    </row>
    <row r="98" spans="1:62" ht="15.75" customHeight="1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  <c r="AN98" s="143"/>
      <c r="AO98" s="143"/>
      <c r="AP98" s="143"/>
      <c r="AQ98" s="143"/>
      <c r="AR98" s="143"/>
      <c r="AS98" s="143"/>
      <c r="AT98" s="143"/>
      <c r="AU98" s="143"/>
      <c r="AV98" s="143"/>
      <c r="AW98" s="143"/>
      <c r="AX98" s="143"/>
      <c r="AY98" s="143"/>
      <c r="AZ98" s="143"/>
      <c r="BA98" s="143"/>
      <c r="BB98" s="143"/>
      <c r="BC98" s="143"/>
      <c r="BD98" s="143"/>
      <c r="BE98" s="143"/>
      <c r="BF98" s="143"/>
      <c r="BG98" s="143"/>
      <c r="BH98" s="143"/>
      <c r="BI98" s="143"/>
      <c r="BJ98" s="143"/>
    </row>
    <row r="99" spans="1:62" ht="15.75" customHeight="1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R99" s="143"/>
      <c r="AS99" s="143"/>
      <c r="AT99" s="143"/>
      <c r="AU99" s="143"/>
      <c r="AV99" s="143"/>
      <c r="AW99" s="143"/>
      <c r="AX99" s="143"/>
      <c r="AY99" s="143"/>
      <c r="AZ99" s="143"/>
      <c r="BA99" s="143"/>
      <c r="BB99" s="143"/>
      <c r="BC99" s="143"/>
      <c r="BD99" s="143"/>
      <c r="BE99" s="143"/>
      <c r="BF99" s="143"/>
      <c r="BG99" s="143"/>
      <c r="BH99" s="143"/>
      <c r="BI99" s="143"/>
      <c r="BJ99" s="143"/>
    </row>
    <row r="100" spans="1:62" ht="15.75" customHeight="1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P100" s="143"/>
      <c r="AQ100" s="143"/>
      <c r="AR100" s="143"/>
      <c r="AS100" s="143"/>
      <c r="AT100" s="143"/>
      <c r="AU100" s="143"/>
      <c r="AV100" s="143"/>
      <c r="AW100" s="143"/>
      <c r="AX100" s="143"/>
      <c r="AY100" s="143"/>
      <c r="AZ100" s="143"/>
      <c r="BA100" s="143"/>
      <c r="BB100" s="143"/>
      <c r="BC100" s="143"/>
      <c r="BD100" s="143"/>
      <c r="BE100" s="143"/>
      <c r="BF100" s="143"/>
      <c r="BG100" s="143"/>
      <c r="BH100" s="143"/>
      <c r="BI100" s="143"/>
      <c r="BJ100" s="143"/>
    </row>
    <row r="101" spans="1:62" ht="15.75" customHeight="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R101" s="143"/>
      <c r="AS101" s="143"/>
      <c r="AT101" s="143"/>
      <c r="AU101" s="143"/>
      <c r="AV101" s="143"/>
      <c r="AW101" s="143"/>
      <c r="AX101" s="143"/>
      <c r="AY101" s="143"/>
      <c r="AZ101" s="143"/>
      <c r="BA101" s="143"/>
      <c r="BB101" s="143"/>
      <c r="BC101" s="143"/>
      <c r="BD101" s="143"/>
      <c r="BE101" s="143"/>
      <c r="BF101" s="143"/>
      <c r="BG101" s="143"/>
      <c r="BH101" s="143"/>
      <c r="BI101" s="143"/>
      <c r="BJ101" s="143"/>
    </row>
    <row r="102" spans="1:62" ht="15.75" customHeight="1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  <c r="AP102" s="143"/>
      <c r="AQ102" s="143"/>
      <c r="AR102" s="143"/>
      <c r="AS102" s="143"/>
      <c r="AT102" s="143"/>
      <c r="AU102" s="143"/>
      <c r="AV102" s="143"/>
      <c r="AW102" s="143"/>
      <c r="AX102" s="143"/>
      <c r="AY102" s="143"/>
      <c r="AZ102" s="143"/>
      <c r="BA102" s="143"/>
      <c r="BB102" s="143"/>
      <c r="BC102" s="143"/>
      <c r="BD102" s="143"/>
      <c r="BE102" s="143"/>
      <c r="BF102" s="143"/>
      <c r="BG102" s="143"/>
      <c r="BH102" s="143"/>
      <c r="BI102" s="143"/>
      <c r="BJ102" s="143"/>
    </row>
    <row r="103" spans="1:62" ht="15.75" customHeight="1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R103" s="143"/>
      <c r="AS103" s="143"/>
      <c r="AT103" s="143"/>
      <c r="AU103" s="143"/>
      <c r="AV103" s="143"/>
      <c r="AW103" s="143"/>
      <c r="AX103" s="143"/>
      <c r="AY103" s="143"/>
      <c r="AZ103" s="143"/>
      <c r="BA103" s="143"/>
      <c r="BB103" s="143"/>
      <c r="BC103" s="143"/>
      <c r="BD103" s="143"/>
      <c r="BE103" s="143"/>
      <c r="BF103" s="143"/>
      <c r="BG103" s="143"/>
      <c r="BH103" s="143"/>
      <c r="BI103" s="143"/>
      <c r="BJ103" s="143"/>
    </row>
    <row r="104" spans="1:62" ht="15.75" customHeight="1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143"/>
      <c r="AS104" s="143"/>
      <c r="AT104" s="143"/>
      <c r="AU104" s="143"/>
      <c r="AV104" s="143"/>
      <c r="AW104" s="143"/>
      <c r="AX104" s="143"/>
      <c r="AY104" s="143"/>
      <c r="AZ104" s="143"/>
      <c r="BA104" s="143"/>
      <c r="BB104" s="143"/>
      <c r="BC104" s="143"/>
      <c r="BD104" s="143"/>
      <c r="BE104" s="143"/>
      <c r="BF104" s="143"/>
      <c r="BG104" s="143"/>
      <c r="BH104" s="143"/>
      <c r="BI104" s="143"/>
      <c r="BJ104" s="143"/>
    </row>
    <row r="105" spans="1:62" ht="15.75" customHeight="1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R105" s="143"/>
      <c r="AS105" s="143"/>
      <c r="AT105" s="143"/>
      <c r="AU105" s="143"/>
      <c r="AV105" s="143"/>
      <c r="AW105" s="143"/>
      <c r="AX105" s="143"/>
      <c r="AY105" s="143"/>
      <c r="AZ105" s="143"/>
      <c r="BA105" s="143"/>
      <c r="BB105" s="143"/>
      <c r="BC105" s="143"/>
      <c r="BD105" s="143"/>
      <c r="BE105" s="143"/>
      <c r="BF105" s="143"/>
      <c r="BG105" s="143"/>
      <c r="BH105" s="143"/>
      <c r="BI105" s="143"/>
      <c r="BJ105" s="143"/>
    </row>
    <row r="106" spans="1:62" ht="15.75" customHeight="1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  <c r="AP106" s="143"/>
      <c r="AQ106" s="143"/>
      <c r="AR106" s="143"/>
      <c r="AS106" s="143"/>
      <c r="AT106" s="143"/>
      <c r="AU106" s="143"/>
      <c r="AV106" s="143"/>
      <c r="AW106" s="143"/>
      <c r="AX106" s="143"/>
      <c r="AY106" s="143"/>
      <c r="AZ106" s="143"/>
      <c r="BA106" s="143"/>
      <c r="BB106" s="143"/>
      <c r="BC106" s="143"/>
      <c r="BD106" s="143"/>
      <c r="BE106" s="143"/>
      <c r="BF106" s="143"/>
      <c r="BG106" s="143"/>
      <c r="BH106" s="143"/>
      <c r="BI106" s="143"/>
      <c r="BJ106" s="143"/>
    </row>
    <row r="107" spans="1:62" ht="15.75" customHeight="1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143"/>
      <c r="AP107" s="143"/>
      <c r="AQ107" s="143"/>
      <c r="AR107" s="143"/>
      <c r="AS107" s="143"/>
      <c r="AT107" s="143"/>
      <c r="AU107" s="143"/>
      <c r="AV107" s="143"/>
      <c r="AW107" s="143"/>
      <c r="AX107" s="143"/>
      <c r="AY107" s="143"/>
      <c r="AZ107" s="143"/>
      <c r="BA107" s="143"/>
      <c r="BB107" s="143"/>
      <c r="BC107" s="143"/>
      <c r="BD107" s="143"/>
      <c r="BE107" s="143"/>
      <c r="BF107" s="143"/>
      <c r="BG107" s="143"/>
      <c r="BH107" s="143"/>
      <c r="BI107" s="143"/>
      <c r="BJ107" s="143"/>
    </row>
    <row r="108" spans="1:62" ht="15.75" customHeight="1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R108" s="143"/>
      <c r="AS108" s="143"/>
      <c r="AT108" s="143"/>
      <c r="AU108" s="143"/>
      <c r="AV108" s="143"/>
      <c r="AW108" s="143"/>
      <c r="AX108" s="143"/>
      <c r="AY108" s="143"/>
      <c r="AZ108" s="143"/>
      <c r="BA108" s="143"/>
      <c r="BB108" s="143"/>
      <c r="BC108" s="143"/>
      <c r="BD108" s="143"/>
      <c r="BE108" s="143"/>
      <c r="BF108" s="143"/>
      <c r="BG108" s="143"/>
      <c r="BH108" s="143"/>
      <c r="BI108" s="143"/>
      <c r="BJ108" s="143"/>
    </row>
    <row r="109" spans="1:62" ht="15.75" customHeight="1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  <c r="AL109" s="143"/>
      <c r="AM109" s="143"/>
      <c r="AN109" s="143"/>
      <c r="AO109" s="143"/>
      <c r="AP109" s="143"/>
      <c r="AQ109" s="143"/>
      <c r="AR109" s="143"/>
      <c r="AS109" s="143"/>
      <c r="AT109" s="143"/>
      <c r="AU109" s="143"/>
      <c r="AV109" s="143"/>
      <c r="AW109" s="143"/>
      <c r="AX109" s="143"/>
      <c r="AY109" s="143"/>
      <c r="AZ109" s="143"/>
      <c r="BA109" s="143"/>
      <c r="BB109" s="143"/>
      <c r="BC109" s="143"/>
      <c r="BD109" s="143"/>
      <c r="BE109" s="143"/>
      <c r="BF109" s="143"/>
      <c r="BG109" s="143"/>
      <c r="BH109" s="143"/>
      <c r="BI109" s="143"/>
      <c r="BJ109" s="143"/>
    </row>
    <row r="110" spans="1:62" ht="15.75" customHeight="1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R110" s="143"/>
      <c r="AS110" s="143"/>
      <c r="AT110" s="143"/>
      <c r="AU110" s="143"/>
      <c r="AV110" s="143"/>
      <c r="AW110" s="143"/>
      <c r="AX110" s="143"/>
      <c r="AY110" s="143"/>
      <c r="AZ110" s="143"/>
      <c r="BA110" s="143"/>
      <c r="BB110" s="143"/>
      <c r="BC110" s="143"/>
      <c r="BD110" s="143"/>
      <c r="BE110" s="143"/>
      <c r="BF110" s="143"/>
      <c r="BG110" s="143"/>
      <c r="BH110" s="143"/>
      <c r="BI110" s="143"/>
      <c r="BJ110" s="143"/>
    </row>
    <row r="111" spans="1:62" ht="15.75" customHeight="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  <c r="AP111" s="143"/>
      <c r="AQ111" s="143"/>
      <c r="AR111" s="143"/>
      <c r="AS111" s="143"/>
      <c r="AT111" s="143"/>
      <c r="AU111" s="143"/>
      <c r="AV111" s="143"/>
      <c r="AW111" s="143"/>
      <c r="AX111" s="143"/>
      <c r="AY111" s="143"/>
      <c r="AZ111" s="143"/>
      <c r="BA111" s="143"/>
      <c r="BB111" s="143"/>
      <c r="BC111" s="143"/>
      <c r="BD111" s="143"/>
      <c r="BE111" s="143"/>
      <c r="BF111" s="143"/>
      <c r="BG111" s="143"/>
      <c r="BH111" s="143"/>
      <c r="BI111" s="143"/>
      <c r="BJ111" s="143"/>
    </row>
    <row r="112" spans="1:62" ht="15.75" customHeight="1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R112" s="143"/>
      <c r="AS112" s="143"/>
      <c r="AT112" s="143"/>
      <c r="AU112" s="143"/>
      <c r="AV112" s="143"/>
      <c r="AW112" s="143"/>
      <c r="AX112" s="143"/>
      <c r="AY112" s="143"/>
      <c r="AZ112" s="143"/>
      <c r="BA112" s="143"/>
      <c r="BB112" s="143"/>
      <c r="BC112" s="143"/>
      <c r="BD112" s="143"/>
      <c r="BE112" s="143"/>
      <c r="BF112" s="143"/>
      <c r="BG112" s="143"/>
      <c r="BH112" s="143"/>
      <c r="BI112" s="143"/>
      <c r="BJ112" s="143"/>
    </row>
    <row r="113" spans="1:62" ht="15.75" customHeight="1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R113" s="143"/>
      <c r="AS113" s="143"/>
      <c r="AT113" s="143"/>
      <c r="AU113" s="143"/>
      <c r="AV113" s="143"/>
      <c r="AW113" s="143"/>
      <c r="AX113" s="143"/>
      <c r="AY113" s="143"/>
      <c r="AZ113" s="143"/>
      <c r="BA113" s="143"/>
      <c r="BB113" s="143"/>
      <c r="BC113" s="143"/>
      <c r="BD113" s="143"/>
      <c r="BE113" s="143"/>
      <c r="BF113" s="143"/>
      <c r="BG113" s="143"/>
      <c r="BH113" s="143"/>
      <c r="BI113" s="143"/>
      <c r="BJ113" s="143"/>
    </row>
    <row r="114" spans="1:62" ht="15.75" customHeight="1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R114" s="143"/>
      <c r="AS114" s="143"/>
      <c r="AT114" s="143"/>
      <c r="AU114" s="143"/>
      <c r="AV114" s="143"/>
      <c r="AW114" s="143"/>
      <c r="AX114" s="143"/>
      <c r="AY114" s="143"/>
      <c r="AZ114" s="143"/>
      <c r="BA114" s="143"/>
      <c r="BB114" s="143"/>
      <c r="BC114" s="143"/>
      <c r="BD114" s="143"/>
      <c r="BE114" s="143"/>
      <c r="BF114" s="143"/>
      <c r="BG114" s="143"/>
      <c r="BH114" s="143"/>
      <c r="BI114" s="143"/>
      <c r="BJ114" s="143"/>
    </row>
    <row r="115" spans="1:62" ht="15.75" customHeight="1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R115" s="143"/>
      <c r="AS115" s="143"/>
      <c r="AT115" s="143"/>
      <c r="AU115" s="143"/>
      <c r="AV115" s="143"/>
      <c r="AW115" s="143"/>
      <c r="AX115" s="143"/>
      <c r="AY115" s="143"/>
      <c r="AZ115" s="143"/>
      <c r="BA115" s="143"/>
      <c r="BB115" s="143"/>
      <c r="BC115" s="143"/>
      <c r="BD115" s="143"/>
      <c r="BE115" s="143"/>
      <c r="BF115" s="143"/>
      <c r="BG115" s="143"/>
      <c r="BH115" s="143"/>
      <c r="BI115" s="143"/>
      <c r="BJ115" s="143"/>
    </row>
    <row r="116" spans="1:62" ht="15.75" customHeight="1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R116" s="143"/>
      <c r="AS116" s="143"/>
      <c r="AT116" s="143"/>
      <c r="AU116" s="143"/>
      <c r="AV116" s="143"/>
      <c r="AW116" s="143"/>
      <c r="AX116" s="143"/>
      <c r="AY116" s="143"/>
      <c r="AZ116" s="143"/>
      <c r="BA116" s="143"/>
      <c r="BB116" s="143"/>
      <c r="BC116" s="143"/>
      <c r="BD116" s="143"/>
      <c r="BE116" s="143"/>
      <c r="BF116" s="143"/>
      <c r="BG116" s="143"/>
      <c r="BH116" s="143"/>
      <c r="BI116" s="143"/>
      <c r="BJ116" s="143"/>
    </row>
    <row r="117" spans="1:62" ht="15.75" customHeight="1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R117" s="143"/>
      <c r="AS117" s="143"/>
      <c r="AT117" s="143"/>
      <c r="AU117" s="143"/>
      <c r="AV117" s="143"/>
      <c r="AW117" s="143"/>
      <c r="AX117" s="143"/>
      <c r="AY117" s="143"/>
      <c r="AZ117" s="143"/>
      <c r="BA117" s="143"/>
      <c r="BB117" s="143"/>
      <c r="BC117" s="143"/>
      <c r="BD117" s="143"/>
      <c r="BE117" s="143"/>
      <c r="BF117" s="143"/>
      <c r="BG117" s="143"/>
      <c r="BH117" s="143"/>
      <c r="BI117" s="143"/>
      <c r="BJ117" s="143"/>
    </row>
    <row r="118" spans="1:62" ht="15.75" customHeight="1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  <c r="AM118" s="143"/>
      <c r="AN118" s="143"/>
      <c r="AO118" s="143"/>
      <c r="AP118" s="143"/>
      <c r="AQ118" s="143"/>
      <c r="AR118" s="143"/>
      <c r="AS118" s="143"/>
      <c r="AT118" s="143"/>
      <c r="AU118" s="143"/>
      <c r="AV118" s="143"/>
      <c r="AW118" s="143"/>
      <c r="AX118" s="143"/>
      <c r="AY118" s="143"/>
      <c r="AZ118" s="143"/>
      <c r="BA118" s="143"/>
      <c r="BB118" s="143"/>
      <c r="BC118" s="143"/>
      <c r="BD118" s="143"/>
      <c r="BE118" s="143"/>
      <c r="BF118" s="143"/>
      <c r="BG118" s="143"/>
      <c r="BH118" s="143"/>
      <c r="BI118" s="143"/>
      <c r="BJ118" s="143"/>
    </row>
    <row r="119" spans="1:62" ht="15.75" customHeight="1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43"/>
      <c r="AM119" s="143"/>
      <c r="AN119" s="143"/>
      <c r="AO119" s="143"/>
      <c r="AP119" s="143"/>
      <c r="AQ119" s="143"/>
      <c r="AR119" s="143"/>
      <c r="AS119" s="143"/>
      <c r="AT119" s="143"/>
      <c r="AU119" s="143"/>
      <c r="AV119" s="143"/>
      <c r="AW119" s="143"/>
      <c r="AX119" s="143"/>
      <c r="AY119" s="143"/>
      <c r="AZ119" s="143"/>
      <c r="BA119" s="143"/>
      <c r="BB119" s="143"/>
      <c r="BC119" s="143"/>
      <c r="BD119" s="143"/>
      <c r="BE119" s="143"/>
      <c r="BF119" s="143"/>
      <c r="BG119" s="143"/>
      <c r="BH119" s="143"/>
      <c r="BI119" s="143"/>
      <c r="BJ119" s="143"/>
    </row>
    <row r="120" spans="1:62" ht="15.75" customHeight="1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3"/>
      <c r="AR120" s="143"/>
      <c r="AS120" s="143"/>
      <c r="AT120" s="143"/>
      <c r="AU120" s="143"/>
      <c r="AV120" s="143"/>
      <c r="AW120" s="143"/>
      <c r="AX120" s="143"/>
      <c r="AY120" s="143"/>
      <c r="AZ120" s="143"/>
      <c r="BA120" s="143"/>
      <c r="BB120" s="143"/>
      <c r="BC120" s="143"/>
      <c r="BD120" s="143"/>
      <c r="BE120" s="143"/>
      <c r="BF120" s="143"/>
      <c r="BG120" s="143"/>
      <c r="BH120" s="143"/>
      <c r="BI120" s="143"/>
      <c r="BJ120" s="143"/>
    </row>
    <row r="121" spans="1:62" ht="15.75" customHeight="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  <c r="AM121" s="143"/>
      <c r="AN121" s="143"/>
      <c r="AO121" s="143"/>
      <c r="AP121" s="143"/>
      <c r="AQ121" s="143"/>
      <c r="AR121" s="143"/>
      <c r="AS121" s="143"/>
      <c r="AT121" s="143"/>
      <c r="AU121" s="143"/>
      <c r="AV121" s="143"/>
      <c r="AW121" s="143"/>
      <c r="AX121" s="143"/>
      <c r="AY121" s="143"/>
      <c r="AZ121" s="143"/>
      <c r="BA121" s="143"/>
      <c r="BB121" s="143"/>
      <c r="BC121" s="143"/>
      <c r="BD121" s="143"/>
      <c r="BE121" s="143"/>
      <c r="BF121" s="143"/>
      <c r="BG121" s="143"/>
      <c r="BH121" s="143"/>
      <c r="BI121" s="143"/>
      <c r="BJ121" s="143"/>
    </row>
    <row r="122" spans="1:62" ht="15.75" customHeight="1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43"/>
      <c r="AO122" s="143"/>
      <c r="AP122" s="143"/>
      <c r="AQ122" s="143"/>
      <c r="AR122" s="143"/>
      <c r="AS122" s="143"/>
      <c r="AT122" s="143"/>
      <c r="AU122" s="143"/>
      <c r="AV122" s="143"/>
      <c r="AW122" s="143"/>
      <c r="AX122" s="143"/>
      <c r="AY122" s="143"/>
      <c r="AZ122" s="143"/>
      <c r="BA122" s="143"/>
      <c r="BB122" s="143"/>
      <c r="BC122" s="143"/>
      <c r="BD122" s="143"/>
      <c r="BE122" s="143"/>
      <c r="BF122" s="143"/>
      <c r="BG122" s="143"/>
      <c r="BH122" s="143"/>
      <c r="BI122" s="143"/>
      <c r="BJ122" s="143"/>
    </row>
    <row r="123" spans="1:62" ht="15.75" customHeight="1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R123" s="143"/>
      <c r="AS123" s="143"/>
      <c r="AT123" s="143"/>
      <c r="AU123" s="143"/>
      <c r="AV123" s="143"/>
      <c r="AW123" s="143"/>
      <c r="AX123" s="143"/>
      <c r="AY123" s="143"/>
      <c r="AZ123" s="143"/>
      <c r="BA123" s="143"/>
      <c r="BB123" s="143"/>
      <c r="BC123" s="143"/>
      <c r="BD123" s="143"/>
      <c r="BE123" s="143"/>
      <c r="BF123" s="143"/>
      <c r="BG123" s="143"/>
      <c r="BH123" s="143"/>
      <c r="BI123" s="143"/>
      <c r="BJ123" s="143"/>
    </row>
    <row r="124" spans="1:62" ht="15.75" customHeight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143"/>
      <c r="AS124" s="143"/>
      <c r="AT124" s="143"/>
      <c r="AU124" s="143"/>
      <c r="AV124" s="143"/>
      <c r="AW124" s="143"/>
      <c r="AX124" s="143"/>
      <c r="AY124" s="143"/>
      <c r="AZ124" s="143"/>
      <c r="BA124" s="143"/>
      <c r="BB124" s="143"/>
      <c r="BC124" s="143"/>
      <c r="BD124" s="143"/>
      <c r="BE124" s="143"/>
      <c r="BF124" s="143"/>
      <c r="BG124" s="143"/>
      <c r="BH124" s="143"/>
      <c r="BI124" s="143"/>
      <c r="BJ124" s="143"/>
    </row>
    <row r="125" spans="1:62" ht="15.75" customHeight="1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  <c r="AL125" s="143"/>
      <c r="AM125" s="143"/>
      <c r="AN125" s="143"/>
      <c r="AO125" s="143"/>
      <c r="AP125" s="143"/>
      <c r="AQ125" s="143"/>
      <c r="AR125" s="143"/>
      <c r="AS125" s="143"/>
      <c r="AT125" s="143"/>
      <c r="AU125" s="143"/>
      <c r="AV125" s="143"/>
      <c r="AW125" s="143"/>
      <c r="AX125" s="143"/>
      <c r="AY125" s="143"/>
      <c r="AZ125" s="143"/>
      <c r="BA125" s="143"/>
      <c r="BB125" s="143"/>
      <c r="BC125" s="143"/>
      <c r="BD125" s="143"/>
      <c r="BE125" s="143"/>
      <c r="BF125" s="143"/>
      <c r="BG125" s="143"/>
      <c r="BH125" s="143"/>
      <c r="BI125" s="143"/>
      <c r="BJ125" s="143"/>
    </row>
    <row r="126" spans="1:62" ht="15.75" customHeight="1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43"/>
      <c r="AQ126" s="143"/>
      <c r="AR126" s="143"/>
      <c r="AS126" s="143"/>
      <c r="AT126" s="143"/>
      <c r="AU126" s="143"/>
      <c r="AV126" s="143"/>
      <c r="AW126" s="143"/>
      <c r="AX126" s="143"/>
      <c r="AY126" s="143"/>
      <c r="AZ126" s="143"/>
      <c r="BA126" s="143"/>
      <c r="BB126" s="143"/>
      <c r="BC126" s="143"/>
      <c r="BD126" s="143"/>
      <c r="BE126" s="143"/>
      <c r="BF126" s="143"/>
      <c r="BG126" s="143"/>
      <c r="BH126" s="143"/>
      <c r="BI126" s="143"/>
      <c r="BJ126" s="143"/>
    </row>
    <row r="127" spans="1:62" ht="15.75" customHeight="1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  <c r="AI127" s="143"/>
      <c r="AJ127" s="143"/>
      <c r="AK127" s="143"/>
      <c r="AL127" s="143"/>
      <c r="AM127" s="143"/>
      <c r="AN127" s="143"/>
      <c r="AO127" s="143"/>
      <c r="AP127" s="143"/>
      <c r="AQ127" s="143"/>
      <c r="AR127" s="143"/>
      <c r="AS127" s="143"/>
      <c r="AT127" s="143"/>
      <c r="AU127" s="143"/>
      <c r="AV127" s="143"/>
      <c r="AW127" s="143"/>
      <c r="AX127" s="143"/>
      <c r="AY127" s="143"/>
      <c r="AZ127" s="143"/>
      <c r="BA127" s="143"/>
      <c r="BB127" s="143"/>
      <c r="BC127" s="143"/>
      <c r="BD127" s="143"/>
      <c r="BE127" s="143"/>
      <c r="BF127" s="143"/>
      <c r="BG127" s="143"/>
      <c r="BH127" s="143"/>
      <c r="BI127" s="143"/>
      <c r="BJ127" s="143"/>
    </row>
    <row r="128" spans="1:62" ht="15.75" customHeight="1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143"/>
      <c r="AO128" s="143"/>
      <c r="AP128" s="143"/>
      <c r="AQ128" s="143"/>
      <c r="AR128" s="143"/>
      <c r="AS128" s="143"/>
      <c r="AT128" s="143"/>
      <c r="AU128" s="143"/>
      <c r="AV128" s="143"/>
      <c r="AW128" s="143"/>
      <c r="AX128" s="143"/>
      <c r="AY128" s="143"/>
      <c r="AZ128" s="143"/>
      <c r="BA128" s="143"/>
      <c r="BB128" s="143"/>
      <c r="BC128" s="143"/>
      <c r="BD128" s="143"/>
      <c r="BE128" s="143"/>
      <c r="BF128" s="143"/>
      <c r="BG128" s="143"/>
      <c r="BH128" s="143"/>
      <c r="BI128" s="143"/>
      <c r="BJ128" s="143"/>
    </row>
    <row r="129" spans="1:62" ht="15.75" customHeight="1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R129" s="143"/>
      <c r="AS129" s="143"/>
      <c r="AT129" s="143"/>
      <c r="AU129" s="143"/>
      <c r="AV129" s="143"/>
      <c r="AW129" s="143"/>
      <c r="AX129" s="143"/>
      <c r="AY129" s="143"/>
      <c r="AZ129" s="143"/>
      <c r="BA129" s="143"/>
      <c r="BB129" s="143"/>
      <c r="BC129" s="143"/>
      <c r="BD129" s="143"/>
      <c r="BE129" s="143"/>
      <c r="BF129" s="143"/>
      <c r="BG129" s="143"/>
      <c r="BH129" s="143"/>
      <c r="BI129" s="143"/>
      <c r="BJ129" s="143"/>
    </row>
    <row r="130" spans="1:62" ht="15.75" customHeight="1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R130" s="143"/>
      <c r="AS130" s="143"/>
      <c r="AT130" s="143"/>
      <c r="AU130" s="143"/>
      <c r="AV130" s="143"/>
      <c r="AW130" s="143"/>
      <c r="AX130" s="143"/>
      <c r="AY130" s="143"/>
      <c r="AZ130" s="143"/>
      <c r="BA130" s="143"/>
      <c r="BB130" s="143"/>
      <c r="BC130" s="143"/>
      <c r="BD130" s="143"/>
      <c r="BE130" s="143"/>
      <c r="BF130" s="143"/>
      <c r="BG130" s="143"/>
      <c r="BH130" s="143"/>
      <c r="BI130" s="143"/>
      <c r="BJ130" s="143"/>
    </row>
    <row r="131" spans="1:62" ht="15.75" customHeight="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  <c r="AI131" s="143"/>
      <c r="AJ131" s="143"/>
      <c r="AK131" s="143"/>
      <c r="AL131" s="143"/>
      <c r="AM131" s="143"/>
      <c r="AN131" s="143"/>
      <c r="AO131" s="143"/>
      <c r="AP131" s="143"/>
      <c r="AQ131" s="143"/>
      <c r="AR131" s="143"/>
      <c r="AS131" s="143"/>
      <c r="AT131" s="143"/>
      <c r="AU131" s="143"/>
      <c r="AV131" s="143"/>
      <c r="AW131" s="143"/>
      <c r="AX131" s="143"/>
      <c r="AY131" s="143"/>
      <c r="AZ131" s="143"/>
      <c r="BA131" s="143"/>
      <c r="BB131" s="143"/>
      <c r="BC131" s="143"/>
      <c r="BD131" s="143"/>
      <c r="BE131" s="143"/>
      <c r="BF131" s="143"/>
      <c r="BG131" s="143"/>
      <c r="BH131" s="143"/>
      <c r="BI131" s="143"/>
      <c r="BJ131" s="143"/>
    </row>
    <row r="132" spans="1:62" ht="15.75" customHeight="1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43"/>
      <c r="AN132" s="143"/>
      <c r="AO132" s="143"/>
      <c r="AP132" s="143"/>
      <c r="AQ132" s="143"/>
      <c r="AR132" s="143"/>
      <c r="AS132" s="143"/>
      <c r="AT132" s="143"/>
      <c r="AU132" s="143"/>
      <c r="AV132" s="143"/>
      <c r="AW132" s="143"/>
      <c r="AX132" s="143"/>
      <c r="AY132" s="143"/>
      <c r="AZ132" s="143"/>
      <c r="BA132" s="143"/>
      <c r="BB132" s="143"/>
      <c r="BC132" s="143"/>
      <c r="BD132" s="143"/>
      <c r="BE132" s="143"/>
      <c r="BF132" s="143"/>
      <c r="BG132" s="143"/>
      <c r="BH132" s="143"/>
      <c r="BI132" s="143"/>
      <c r="BJ132" s="143"/>
    </row>
    <row r="133" spans="1:62" ht="15.75" customHeight="1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  <c r="AL133" s="143"/>
      <c r="AM133" s="143"/>
      <c r="AN133" s="143"/>
      <c r="AO133" s="143"/>
      <c r="AP133" s="143"/>
      <c r="AQ133" s="143"/>
      <c r="AR133" s="143"/>
      <c r="AS133" s="143"/>
      <c r="AT133" s="143"/>
      <c r="AU133" s="143"/>
      <c r="AV133" s="143"/>
      <c r="AW133" s="143"/>
      <c r="AX133" s="143"/>
      <c r="AY133" s="143"/>
      <c r="AZ133" s="143"/>
      <c r="BA133" s="143"/>
      <c r="BB133" s="143"/>
      <c r="BC133" s="143"/>
      <c r="BD133" s="143"/>
      <c r="BE133" s="143"/>
      <c r="BF133" s="143"/>
      <c r="BG133" s="143"/>
      <c r="BH133" s="143"/>
      <c r="BI133" s="143"/>
      <c r="BJ133" s="143"/>
    </row>
    <row r="134" spans="1:62" ht="15.75" customHeight="1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  <c r="AP134" s="143"/>
      <c r="AQ134" s="143"/>
      <c r="AR134" s="143"/>
      <c r="AS134" s="143"/>
      <c r="AT134" s="143"/>
      <c r="AU134" s="143"/>
      <c r="AV134" s="143"/>
      <c r="AW134" s="143"/>
      <c r="AX134" s="143"/>
      <c r="AY134" s="143"/>
      <c r="AZ134" s="143"/>
      <c r="BA134" s="143"/>
      <c r="BB134" s="143"/>
      <c r="BC134" s="143"/>
      <c r="BD134" s="143"/>
      <c r="BE134" s="143"/>
      <c r="BF134" s="143"/>
      <c r="BG134" s="143"/>
      <c r="BH134" s="143"/>
      <c r="BI134" s="143"/>
      <c r="BJ134" s="143"/>
    </row>
    <row r="135" spans="1:62" ht="15.75" customHeight="1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43"/>
      <c r="AM135" s="143"/>
      <c r="AN135" s="143"/>
      <c r="AO135" s="143"/>
      <c r="AP135" s="143"/>
      <c r="AQ135" s="143"/>
      <c r="AR135" s="143"/>
      <c r="AS135" s="143"/>
      <c r="AT135" s="143"/>
      <c r="AU135" s="143"/>
      <c r="AV135" s="143"/>
      <c r="AW135" s="143"/>
      <c r="AX135" s="143"/>
      <c r="AY135" s="143"/>
      <c r="AZ135" s="143"/>
      <c r="BA135" s="143"/>
      <c r="BB135" s="143"/>
      <c r="BC135" s="143"/>
      <c r="BD135" s="143"/>
      <c r="BE135" s="143"/>
      <c r="BF135" s="143"/>
      <c r="BG135" s="143"/>
      <c r="BH135" s="143"/>
      <c r="BI135" s="143"/>
      <c r="BJ135" s="143"/>
    </row>
    <row r="136" spans="1:62" ht="15.75" customHeight="1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  <c r="AI136" s="143"/>
      <c r="AJ136" s="143"/>
      <c r="AK136" s="143"/>
      <c r="AL136" s="143"/>
      <c r="AM136" s="143"/>
      <c r="AN136" s="143"/>
      <c r="AO136" s="143"/>
      <c r="AP136" s="143"/>
      <c r="AQ136" s="143"/>
      <c r="AR136" s="143"/>
      <c r="AS136" s="143"/>
      <c r="AT136" s="143"/>
      <c r="AU136" s="143"/>
      <c r="AV136" s="143"/>
      <c r="AW136" s="143"/>
      <c r="AX136" s="143"/>
      <c r="AY136" s="143"/>
      <c r="AZ136" s="143"/>
      <c r="BA136" s="143"/>
      <c r="BB136" s="143"/>
      <c r="BC136" s="143"/>
      <c r="BD136" s="143"/>
      <c r="BE136" s="143"/>
      <c r="BF136" s="143"/>
      <c r="BG136" s="143"/>
      <c r="BH136" s="143"/>
      <c r="BI136" s="143"/>
      <c r="BJ136" s="143"/>
    </row>
    <row r="137" spans="1:62" ht="15.75" customHeight="1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  <c r="AH137" s="143"/>
      <c r="AI137" s="143"/>
      <c r="AJ137" s="143"/>
      <c r="AK137" s="143"/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3"/>
      <c r="AV137" s="143"/>
      <c r="AW137" s="143"/>
      <c r="AX137" s="143"/>
      <c r="AY137" s="143"/>
      <c r="AZ137" s="143"/>
      <c r="BA137" s="143"/>
      <c r="BB137" s="143"/>
      <c r="BC137" s="143"/>
      <c r="BD137" s="143"/>
      <c r="BE137" s="143"/>
      <c r="BF137" s="143"/>
      <c r="BG137" s="143"/>
      <c r="BH137" s="143"/>
      <c r="BI137" s="143"/>
      <c r="BJ137" s="143"/>
    </row>
    <row r="138" spans="1:62" ht="15.75" customHeight="1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  <c r="AI138" s="143"/>
      <c r="AJ138" s="143"/>
      <c r="AK138" s="143"/>
      <c r="AL138" s="143"/>
      <c r="AM138" s="143"/>
      <c r="AN138" s="143"/>
      <c r="AO138" s="143"/>
      <c r="AP138" s="143"/>
      <c r="AQ138" s="143"/>
      <c r="AR138" s="143"/>
      <c r="AS138" s="143"/>
      <c r="AT138" s="143"/>
      <c r="AU138" s="143"/>
      <c r="AV138" s="143"/>
      <c r="AW138" s="143"/>
      <c r="AX138" s="143"/>
      <c r="AY138" s="143"/>
      <c r="AZ138" s="143"/>
      <c r="BA138" s="143"/>
      <c r="BB138" s="143"/>
      <c r="BC138" s="143"/>
      <c r="BD138" s="143"/>
      <c r="BE138" s="143"/>
      <c r="BF138" s="143"/>
      <c r="BG138" s="143"/>
      <c r="BH138" s="143"/>
      <c r="BI138" s="143"/>
      <c r="BJ138" s="143"/>
    </row>
    <row r="139" spans="1:62" ht="15.75" customHeight="1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  <c r="AP139" s="143"/>
      <c r="AQ139" s="143"/>
      <c r="AR139" s="143"/>
      <c r="AS139" s="143"/>
      <c r="AT139" s="143"/>
      <c r="AU139" s="143"/>
      <c r="AV139" s="143"/>
      <c r="AW139" s="143"/>
      <c r="AX139" s="143"/>
      <c r="AY139" s="143"/>
      <c r="AZ139" s="143"/>
      <c r="BA139" s="143"/>
      <c r="BB139" s="143"/>
      <c r="BC139" s="143"/>
      <c r="BD139" s="143"/>
      <c r="BE139" s="143"/>
      <c r="BF139" s="143"/>
      <c r="BG139" s="143"/>
      <c r="BH139" s="143"/>
      <c r="BI139" s="143"/>
      <c r="BJ139" s="143"/>
    </row>
    <row r="140" spans="1:62" ht="15.75" customHeight="1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3"/>
      <c r="AQ140" s="143"/>
      <c r="AR140" s="143"/>
      <c r="AS140" s="143"/>
      <c r="AT140" s="143"/>
      <c r="AU140" s="143"/>
      <c r="AV140" s="143"/>
      <c r="AW140" s="143"/>
      <c r="AX140" s="143"/>
      <c r="AY140" s="143"/>
      <c r="AZ140" s="143"/>
      <c r="BA140" s="143"/>
      <c r="BB140" s="143"/>
      <c r="BC140" s="143"/>
      <c r="BD140" s="143"/>
      <c r="BE140" s="143"/>
      <c r="BF140" s="143"/>
      <c r="BG140" s="143"/>
      <c r="BH140" s="143"/>
      <c r="BI140" s="143"/>
      <c r="BJ140" s="143"/>
    </row>
    <row r="141" spans="1:62" ht="15.75" customHeight="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  <c r="AM141" s="143"/>
      <c r="AN141" s="143"/>
      <c r="AO141" s="143"/>
      <c r="AP141" s="143"/>
      <c r="AQ141" s="143"/>
      <c r="AR141" s="143"/>
      <c r="AS141" s="143"/>
      <c r="AT141" s="143"/>
      <c r="AU141" s="143"/>
      <c r="AV141" s="143"/>
      <c r="AW141" s="143"/>
      <c r="AX141" s="143"/>
      <c r="AY141" s="143"/>
      <c r="AZ141" s="143"/>
      <c r="BA141" s="143"/>
      <c r="BB141" s="143"/>
      <c r="BC141" s="143"/>
      <c r="BD141" s="143"/>
      <c r="BE141" s="143"/>
      <c r="BF141" s="143"/>
      <c r="BG141" s="143"/>
      <c r="BH141" s="143"/>
      <c r="BI141" s="143"/>
      <c r="BJ141" s="143"/>
    </row>
    <row r="142" spans="1:62" ht="15.75" customHeight="1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  <c r="AP142" s="143"/>
      <c r="AQ142" s="143"/>
      <c r="AR142" s="143"/>
      <c r="AS142" s="143"/>
      <c r="AT142" s="143"/>
      <c r="AU142" s="143"/>
      <c r="AV142" s="143"/>
      <c r="AW142" s="143"/>
      <c r="AX142" s="143"/>
      <c r="AY142" s="143"/>
      <c r="AZ142" s="143"/>
      <c r="BA142" s="143"/>
      <c r="BB142" s="143"/>
      <c r="BC142" s="143"/>
      <c r="BD142" s="143"/>
      <c r="BE142" s="143"/>
      <c r="BF142" s="143"/>
      <c r="BG142" s="143"/>
      <c r="BH142" s="143"/>
      <c r="BI142" s="143"/>
      <c r="BJ142" s="143"/>
    </row>
    <row r="143" spans="1:62" ht="15.75" customHeight="1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43"/>
      <c r="AM143" s="143"/>
      <c r="AN143" s="143"/>
      <c r="AO143" s="143"/>
      <c r="AP143" s="143"/>
      <c r="AQ143" s="143"/>
      <c r="AR143" s="143"/>
      <c r="AS143" s="143"/>
      <c r="AT143" s="143"/>
      <c r="AU143" s="143"/>
      <c r="AV143" s="143"/>
      <c r="AW143" s="143"/>
      <c r="AX143" s="143"/>
      <c r="AY143" s="143"/>
      <c r="AZ143" s="143"/>
      <c r="BA143" s="143"/>
      <c r="BB143" s="143"/>
      <c r="BC143" s="143"/>
      <c r="BD143" s="143"/>
      <c r="BE143" s="143"/>
      <c r="BF143" s="143"/>
      <c r="BG143" s="143"/>
      <c r="BH143" s="143"/>
      <c r="BI143" s="143"/>
      <c r="BJ143" s="143"/>
    </row>
    <row r="144" spans="1:62" ht="15.75" customHeight="1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  <c r="AL144" s="143"/>
      <c r="AM144" s="143"/>
      <c r="AN144" s="143"/>
      <c r="AO144" s="143"/>
      <c r="AP144" s="143"/>
      <c r="AQ144" s="143"/>
      <c r="AR144" s="143"/>
      <c r="AS144" s="143"/>
      <c r="AT144" s="143"/>
      <c r="AU144" s="143"/>
      <c r="AV144" s="143"/>
      <c r="AW144" s="143"/>
      <c r="AX144" s="143"/>
      <c r="AY144" s="143"/>
      <c r="AZ144" s="143"/>
      <c r="BA144" s="143"/>
      <c r="BB144" s="143"/>
      <c r="BC144" s="143"/>
      <c r="BD144" s="143"/>
      <c r="BE144" s="143"/>
      <c r="BF144" s="143"/>
      <c r="BG144" s="143"/>
      <c r="BH144" s="143"/>
      <c r="BI144" s="143"/>
      <c r="BJ144" s="143"/>
    </row>
    <row r="145" spans="1:62" ht="15.75" customHeight="1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  <c r="AL145" s="143"/>
      <c r="AM145" s="143"/>
      <c r="AN145" s="143"/>
      <c r="AO145" s="143"/>
      <c r="AP145" s="143"/>
      <c r="AQ145" s="143"/>
      <c r="AR145" s="143"/>
      <c r="AS145" s="143"/>
      <c r="AT145" s="143"/>
      <c r="AU145" s="143"/>
      <c r="AV145" s="143"/>
      <c r="AW145" s="143"/>
      <c r="AX145" s="143"/>
      <c r="AY145" s="143"/>
      <c r="AZ145" s="143"/>
      <c r="BA145" s="143"/>
      <c r="BB145" s="143"/>
      <c r="BC145" s="143"/>
      <c r="BD145" s="143"/>
      <c r="BE145" s="143"/>
      <c r="BF145" s="143"/>
      <c r="BG145" s="143"/>
      <c r="BH145" s="143"/>
      <c r="BI145" s="143"/>
      <c r="BJ145" s="143"/>
    </row>
    <row r="146" spans="1:62" ht="15.75" customHeight="1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  <c r="AL146" s="143"/>
      <c r="AM146" s="143"/>
      <c r="AN146" s="143"/>
      <c r="AO146" s="143"/>
      <c r="AP146" s="143"/>
      <c r="AQ146" s="143"/>
      <c r="AR146" s="143"/>
      <c r="AS146" s="143"/>
      <c r="AT146" s="143"/>
      <c r="AU146" s="143"/>
      <c r="AV146" s="143"/>
      <c r="AW146" s="143"/>
      <c r="AX146" s="143"/>
      <c r="AY146" s="143"/>
      <c r="AZ146" s="143"/>
      <c r="BA146" s="143"/>
      <c r="BB146" s="143"/>
      <c r="BC146" s="143"/>
      <c r="BD146" s="143"/>
      <c r="BE146" s="143"/>
      <c r="BF146" s="143"/>
      <c r="BG146" s="143"/>
      <c r="BH146" s="143"/>
      <c r="BI146" s="143"/>
      <c r="BJ146" s="143"/>
    </row>
    <row r="147" spans="1:62" ht="15.75" customHeight="1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  <c r="AI147" s="143"/>
      <c r="AJ147" s="143"/>
      <c r="AK147" s="143"/>
      <c r="AL147" s="143"/>
      <c r="AM147" s="143"/>
      <c r="AN147" s="143"/>
      <c r="AO147" s="143"/>
      <c r="AP147" s="143"/>
      <c r="AQ147" s="143"/>
      <c r="AR147" s="143"/>
      <c r="AS147" s="143"/>
      <c r="AT147" s="143"/>
      <c r="AU147" s="143"/>
      <c r="AV147" s="143"/>
      <c r="AW147" s="143"/>
      <c r="AX147" s="143"/>
      <c r="AY147" s="143"/>
      <c r="AZ147" s="143"/>
      <c r="BA147" s="143"/>
      <c r="BB147" s="143"/>
      <c r="BC147" s="143"/>
      <c r="BD147" s="143"/>
      <c r="BE147" s="143"/>
      <c r="BF147" s="143"/>
      <c r="BG147" s="143"/>
      <c r="BH147" s="143"/>
      <c r="BI147" s="143"/>
      <c r="BJ147" s="143"/>
    </row>
    <row r="148" spans="1:62" ht="15.75" customHeight="1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3"/>
      <c r="AQ148" s="143"/>
      <c r="AR148" s="143"/>
      <c r="AS148" s="143"/>
      <c r="AT148" s="143"/>
      <c r="AU148" s="143"/>
      <c r="AV148" s="143"/>
      <c r="AW148" s="143"/>
      <c r="AX148" s="143"/>
      <c r="AY148" s="143"/>
      <c r="AZ148" s="143"/>
      <c r="BA148" s="143"/>
      <c r="BB148" s="143"/>
      <c r="BC148" s="143"/>
      <c r="BD148" s="143"/>
      <c r="BE148" s="143"/>
      <c r="BF148" s="143"/>
      <c r="BG148" s="143"/>
      <c r="BH148" s="143"/>
      <c r="BI148" s="143"/>
      <c r="BJ148" s="143"/>
    </row>
    <row r="149" spans="1:62" ht="15.75" customHeight="1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  <c r="AU149" s="143"/>
      <c r="AV149" s="143"/>
      <c r="AW149" s="143"/>
      <c r="AX149" s="143"/>
      <c r="AY149" s="143"/>
      <c r="AZ149" s="143"/>
      <c r="BA149" s="143"/>
      <c r="BB149" s="143"/>
      <c r="BC149" s="143"/>
      <c r="BD149" s="143"/>
      <c r="BE149" s="143"/>
      <c r="BF149" s="143"/>
      <c r="BG149" s="143"/>
      <c r="BH149" s="143"/>
      <c r="BI149" s="143"/>
      <c r="BJ149" s="143"/>
    </row>
    <row r="150" spans="1:62" ht="15.75" customHeight="1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  <c r="AL150" s="143"/>
      <c r="AM150" s="143"/>
      <c r="AN150" s="143"/>
      <c r="AO150" s="143"/>
      <c r="AP150" s="143"/>
      <c r="AQ150" s="143"/>
      <c r="AR150" s="143"/>
      <c r="AS150" s="143"/>
      <c r="AT150" s="143"/>
      <c r="AU150" s="143"/>
      <c r="AV150" s="143"/>
      <c r="AW150" s="143"/>
      <c r="AX150" s="143"/>
      <c r="AY150" s="143"/>
      <c r="AZ150" s="143"/>
      <c r="BA150" s="143"/>
      <c r="BB150" s="143"/>
      <c r="BC150" s="143"/>
      <c r="BD150" s="143"/>
      <c r="BE150" s="143"/>
      <c r="BF150" s="143"/>
      <c r="BG150" s="143"/>
      <c r="BH150" s="143"/>
      <c r="BI150" s="143"/>
      <c r="BJ150" s="143"/>
    </row>
    <row r="151" spans="1:62" ht="15.75" customHeight="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  <c r="AL151" s="143"/>
      <c r="AM151" s="143"/>
      <c r="AN151" s="143"/>
      <c r="AO151" s="143"/>
      <c r="AP151" s="143"/>
      <c r="AQ151" s="143"/>
      <c r="AR151" s="143"/>
      <c r="AS151" s="143"/>
      <c r="AT151" s="143"/>
      <c r="AU151" s="143"/>
      <c r="AV151" s="143"/>
      <c r="AW151" s="143"/>
      <c r="AX151" s="143"/>
      <c r="AY151" s="143"/>
      <c r="AZ151" s="143"/>
      <c r="BA151" s="143"/>
      <c r="BB151" s="143"/>
      <c r="BC151" s="143"/>
      <c r="BD151" s="143"/>
      <c r="BE151" s="143"/>
      <c r="BF151" s="143"/>
      <c r="BG151" s="143"/>
      <c r="BH151" s="143"/>
      <c r="BI151" s="143"/>
      <c r="BJ151" s="143"/>
    </row>
    <row r="152" spans="1:62" ht="15.75" customHeight="1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143"/>
      <c r="AS152" s="143"/>
      <c r="AT152" s="143"/>
      <c r="AU152" s="143"/>
      <c r="AV152" s="143"/>
      <c r="AW152" s="143"/>
      <c r="AX152" s="143"/>
      <c r="AY152" s="143"/>
      <c r="AZ152" s="143"/>
      <c r="BA152" s="143"/>
      <c r="BB152" s="143"/>
      <c r="BC152" s="143"/>
      <c r="BD152" s="143"/>
      <c r="BE152" s="143"/>
      <c r="BF152" s="143"/>
      <c r="BG152" s="143"/>
      <c r="BH152" s="143"/>
      <c r="BI152" s="143"/>
      <c r="BJ152" s="143"/>
    </row>
    <row r="153" spans="1:62" ht="15.75" customHeight="1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  <c r="AM153" s="143"/>
      <c r="AN153" s="143"/>
      <c r="AO153" s="143"/>
      <c r="AP153" s="143"/>
      <c r="AQ153" s="143"/>
      <c r="AR153" s="143"/>
      <c r="AS153" s="143"/>
      <c r="AT153" s="143"/>
      <c r="AU153" s="143"/>
      <c r="AV153" s="143"/>
      <c r="AW153" s="143"/>
      <c r="AX153" s="143"/>
      <c r="AY153" s="143"/>
      <c r="AZ153" s="143"/>
      <c r="BA153" s="143"/>
      <c r="BB153" s="143"/>
      <c r="BC153" s="143"/>
      <c r="BD153" s="143"/>
      <c r="BE153" s="143"/>
      <c r="BF153" s="143"/>
      <c r="BG153" s="143"/>
      <c r="BH153" s="143"/>
      <c r="BI153" s="143"/>
      <c r="BJ153" s="143"/>
    </row>
    <row r="154" spans="1:62" ht="15.75" customHeight="1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3"/>
      <c r="AR154" s="143"/>
      <c r="AS154" s="143"/>
      <c r="AT154" s="143"/>
      <c r="AU154" s="143"/>
      <c r="AV154" s="143"/>
      <c r="AW154" s="143"/>
      <c r="AX154" s="143"/>
      <c r="AY154" s="143"/>
      <c r="AZ154" s="143"/>
      <c r="BA154" s="143"/>
      <c r="BB154" s="143"/>
      <c r="BC154" s="143"/>
      <c r="BD154" s="143"/>
      <c r="BE154" s="143"/>
      <c r="BF154" s="143"/>
      <c r="BG154" s="143"/>
      <c r="BH154" s="143"/>
      <c r="BI154" s="143"/>
      <c r="BJ154" s="143"/>
    </row>
    <row r="155" spans="1:62" ht="15.75" customHeight="1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  <c r="AV155" s="143"/>
      <c r="AW155" s="143"/>
      <c r="AX155" s="143"/>
      <c r="AY155" s="143"/>
      <c r="AZ155" s="143"/>
      <c r="BA155" s="143"/>
      <c r="BB155" s="143"/>
      <c r="BC155" s="143"/>
      <c r="BD155" s="143"/>
      <c r="BE155" s="143"/>
      <c r="BF155" s="143"/>
      <c r="BG155" s="143"/>
      <c r="BH155" s="143"/>
      <c r="BI155" s="143"/>
      <c r="BJ155" s="143"/>
    </row>
    <row r="156" spans="1:62" ht="15.75" customHeight="1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143"/>
      <c r="AP156" s="143"/>
      <c r="AQ156" s="143"/>
      <c r="AR156" s="143"/>
      <c r="AS156" s="143"/>
      <c r="AT156" s="143"/>
      <c r="AU156" s="143"/>
      <c r="AV156" s="143"/>
      <c r="AW156" s="143"/>
      <c r="AX156" s="143"/>
      <c r="AY156" s="143"/>
      <c r="AZ156" s="143"/>
      <c r="BA156" s="143"/>
      <c r="BB156" s="143"/>
      <c r="BC156" s="143"/>
      <c r="BD156" s="143"/>
      <c r="BE156" s="143"/>
      <c r="BF156" s="143"/>
      <c r="BG156" s="143"/>
      <c r="BH156" s="143"/>
      <c r="BI156" s="143"/>
      <c r="BJ156" s="143"/>
    </row>
    <row r="157" spans="1:62" ht="15.75" customHeight="1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  <c r="AV157" s="143"/>
      <c r="AW157" s="143"/>
      <c r="AX157" s="143"/>
      <c r="AY157" s="143"/>
      <c r="AZ157" s="143"/>
      <c r="BA157" s="143"/>
      <c r="BB157" s="143"/>
      <c r="BC157" s="143"/>
      <c r="BD157" s="143"/>
      <c r="BE157" s="143"/>
      <c r="BF157" s="143"/>
      <c r="BG157" s="143"/>
      <c r="BH157" s="143"/>
      <c r="BI157" s="143"/>
      <c r="BJ157" s="143"/>
    </row>
    <row r="158" spans="1:62" ht="15.75" customHeight="1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3"/>
      <c r="AZ158" s="143"/>
      <c r="BA158" s="143"/>
      <c r="BB158" s="143"/>
      <c r="BC158" s="143"/>
      <c r="BD158" s="143"/>
      <c r="BE158" s="143"/>
      <c r="BF158" s="143"/>
      <c r="BG158" s="143"/>
      <c r="BH158" s="143"/>
      <c r="BI158" s="143"/>
      <c r="BJ158" s="143"/>
    </row>
    <row r="159" spans="1:62" ht="15.75" customHeight="1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  <c r="AV159" s="143"/>
      <c r="AW159" s="143"/>
      <c r="AX159" s="143"/>
      <c r="AY159" s="143"/>
      <c r="AZ159" s="143"/>
      <c r="BA159" s="143"/>
      <c r="BB159" s="143"/>
      <c r="BC159" s="143"/>
      <c r="BD159" s="143"/>
      <c r="BE159" s="143"/>
      <c r="BF159" s="143"/>
      <c r="BG159" s="143"/>
      <c r="BH159" s="143"/>
      <c r="BI159" s="143"/>
      <c r="BJ159" s="143"/>
    </row>
    <row r="160" spans="1:62" ht="15.75" customHeight="1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  <c r="AW160" s="143"/>
      <c r="AX160" s="143"/>
      <c r="AY160" s="143"/>
      <c r="AZ160" s="143"/>
      <c r="BA160" s="143"/>
      <c r="BB160" s="143"/>
      <c r="BC160" s="143"/>
      <c r="BD160" s="143"/>
      <c r="BE160" s="143"/>
      <c r="BF160" s="143"/>
      <c r="BG160" s="143"/>
      <c r="BH160" s="143"/>
      <c r="BI160" s="143"/>
      <c r="BJ160" s="143"/>
    </row>
    <row r="161" spans="1:62" ht="15.75" customHeight="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  <c r="AV161" s="143"/>
      <c r="AW161" s="143"/>
      <c r="AX161" s="143"/>
      <c r="AY161" s="143"/>
      <c r="AZ161" s="143"/>
      <c r="BA161" s="143"/>
      <c r="BB161" s="143"/>
      <c r="BC161" s="143"/>
      <c r="BD161" s="143"/>
      <c r="BE161" s="143"/>
      <c r="BF161" s="143"/>
      <c r="BG161" s="143"/>
      <c r="BH161" s="143"/>
      <c r="BI161" s="143"/>
      <c r="BJ161" s="143"/>
    </row>
    <row r="162" spans="1:62" ht="15.75" customHeight="1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  <c r="AP162" s="143"/>
      <c r="AQ162" s="143"/>
      <c r="AR162" s="143"/>
      <c r="AS162" s="143"/>
      <c r="AT162" s="143"/>
      <c r="AU162" s="143"/>
      <c r="AV162" s="143"/>
      <c r="AW162" s="143"/>
      <c r="AX162" s="143"/>
      <c r="AY162" s="143"/>
      <c r="AZ162" s="143"/>
      <c r="BA162" s="143"/>
      <c r="BB162" s="143"/>
      <c r="BC162" s="143"/>
      <c r="BD162" s="143"/>
      <c r="BE162" s="143"/>
      <c r="BF162" s="143"/>
      <c r="BG162" s="143"/>
      <c r="BH162" s="143"/>
      <c r="BI162" s="143"/>
      <c r="BJ162" s="143"/>
    </row>
    <row r="163" spans="1:62" ht="15.75" customHeight="1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3"/>
      <c r="AT163" s="143"/>
      <c r="AU163" s="143"/>
      <c r="AV163" s="143"/>
      <c r="AW163" s="143"/>
      <c r="AX163" s="143"/>
      <c r="AY163" s="143"/>
      <c r="AZ163" s="143"/>
      <c r="BA163" s="143"/>
      <c r="BB163" s="143"/>
      <c r="BC163" s="143"/>
      <c r="BD163" s="143"/>
      <c r="BE163" s="143"/>
      <c r="BF163" s="143"/>
      <c r="BG163" s="143"/>
      <c r="BH163" s="143"/>
      <c r="BI163" s="143"/>
      <c r="BJ163" s="143"/>
    </row>
    <row r="164" spans="1:62" ht="15.75" customHeight="1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  <c r="AV164" s="143"/>
      <c r="AW164" s="143"/>
      <c r="AX164" s="143"/>
      <c r="AY164" s="143"/>
      <c r="AZ164" s="143"/>
      <c r="BA164" s="143"/>
      <c r="BB164" s="143"/>
      <c r="BC164" s="143"/>
      <c r="BD164" s="143"/>
      <c r="BE164" s="143"/>
      <c r="BF164" s="143"/>
      <c r="BG164" s="143"/>
      <c r="BH164" s="143"/>
      <c r="BI164" s="143"/>
      <c r="BJ164" s="143"/>
    </row>
    <row r="165" spans="1:62" ht="15.75" customHeight="1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  <c r="AV165" s="143"/>
      <c r="AW165" s="143"/>
      <c r="AX165" s="143"/>
      <c r="AY165" s="143"/>
      <c r="AZ165" s="143"/>
      <c r="BA165" s="143"/>
      <c r="BB165" s="143"/>
      <c r="BC165" s="143"/>
      <c r="BD165" s="143"/>
      <c r="BE165" s="143"/>
      <c r="BF165" s="143"/>
      <c r="BG165" s="143"/>
      <c r="BH165" s="143"/>
      <c r="BI165" s="143"/>
      <c r="BJ165" s="143"/>
    </row>
    <row r="166" spans="1:62" ht="15.75" customHeight="1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  <c r="AW166" s="143"/>
      <c r="AX166" s="143"/>
      <c r="AY166" s="143"/>
      <c r="AZ166" s="143"/>
      <c r="BA166" s="143"/>
      <c r="BB166" s="143"/>
      <c r="BC166" s="143"/>
      <c r="BD166" s="143"/>
      <c r="BE166" s="143"/>
      <c r="BF166" s="143"/>
      <c r="BG166" s="143"/>
      <c r="BH166" s="143"/>
      <c r="BI166" s="143"/>
      <c r="BJ166" s="143"/>
    </row>
    <row r="167" spans="1:62" ht="15.75" customHeight="1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  <c r="AV167" s="143"/>
      <c r="AW167" s="143"/>
      <c r="AX167" s="143"/>
      <c r="AY167" s="143"/>
      <c r="AZ167" s="143"/>
      <c r="BA167" s="143"/>
      <c r="BB167" s="143"/>
      <c r="BC167" s="143"/>
      <c r="BD167" s="143"/>
      <c r="BE167" s="143"/>
      <c r="BF167" s="143"/>
      <c r="BG167" s="143"/>
      <c r="BH167" s="143"/>
      <c r="BI167" s="143"/>
      <c r="BJ167" s="143"/>
    </row>
    <row r="168" spans="1:62" ht="15.75" customHeight="1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  <c r="AW168" s="143"/>
      <c r="AX168" s="143"/>
      <c r="AY168" s="143"/>
      <c r="AZ168" s="143"/>
      <c r="BA168" s="143"/>
      <c r="BB168" s="143"/>
      <c r="BC168" s="143"/>
      <c r="BD168" s="143"/>
      <c r="BE168" s="143"/>
      <c r="BF168" s="143"/>
      <c r="BG168" s="143"/>
      <c r="BH168" s="143"/>
      <c r="BI168" s="143"/>
      <c r="BJ168" s="143"/>
    </row>
    <row r="169" spans="1:62" ht="15.75" customHeight="1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  <c r="AV169" s="143"/>
      <c r="AW169" s="143"/>
      <c r="AX169" s="143"/>
      <c r="AY169" s="143"/>
      <c r="AZ169" s="143"/>
      <c r="BA169" s="143"/>
      <c r="BB169" s="143"/>
      <c r="BC169" s="143"/>
      <c r="BD169" s="143"/>
      <c r="BE169" s="143"/>
      <c r="BF169" s="143"/>
      <c r="BG169" s="143"/>
      <c r="BH169" s="143"/>
      <c r="BI169" s="143"/>
      <c r="BJ169" s="143"/>
    </row>
    <row r="170" spans="1:62" ht="15.75" customHeight="1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3"/>
      <c r="AZ170" s="143"/>
      <c r="BA170" s="143"/>
      <c r="BB170" s="143"/>
      <c r="BC170" s="143"/>
      <c r="BD170" s="143"/>
      <c r="BE170" s="143"/>
      <c r="BF170" s="143"/>
      <c r="BG170" s="143"/>
      <c r="BH170" s="143"/>
      <c r="BI170" s="143"/>
      <c r="BJ170" s="143"/>
    </row>
    <row r="171" spans="1:62" ht="15.75" customHeight="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  <c r="BG171" s="143"/>
      <c r="BH171" s="143"/>
      <c r="BI171" s="143"/>
      <c r="BJ171" s="143"/>
    </row>
    <row r="172" spans="1:62" ht="15.75" customHeight="1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  <c r="BG172" s="143"/>
      <c r="BH172" s="143"/>
      <c r="BI172" s="143"/>
      <c r="BJ172" s="143"/>
    </row>
    <row r="173" spans="1:62" ht="15.75" customHeight="1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  <c r="BG173" s="143"/>
      <c r="BH173" s="143"/>
      <c r="BI173" s="143"/>
      <c r="BJ173" s="143"/>
    </row>
    <row r="174" spans="1:62" ht="15.75" customHeight="1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  <c r="BG174" s="143"/>
      <c r="BH174" s="143"/>
      <c r="BI174" s="143"/>
      <c r="BJ174" s="143"/>
    </row>
    <row r="175" spans="1:62" ht="15.75" customHeight="1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  <c r="AW175" s="143"/>
      <c r="AX175" s="143"/>
      <c r="AY175" s="143"/>
      <c r="AZ175" s="143"/>
      <c r="BA175" s="143"/>
      <c r="BB175" s="143"/>
      <c r="BC175" s="143"/>
      <c r="BD175" s="143"/>
      <c r="BE175" s="143"/>
      <c r="BF175" s="143"/>
      <c r="BG175" s="143"/>
      <c r="BH175" s="143"/>
      <c r="BI175" s="143"/>
      <c r="BJ175" s="143"/>
    </row>
    <row r="176" spans="1:62" ht="15.75" customHeight="1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43"/>
      <c r="AT176" s="143"/>
      <c r="AU176" s="143"/>
      <c r="AV176" s="143"/>
      <c r="AW176" s="143"/>
      <c r="AX176" s="143"/>
      <c r="AY176" s="143"/>
      <c r="AZ176" s="143"/>
      <c r="BA176" s="143"/>
      <c r="BB176" s="143"/>
      <c r="BC176" s="143"/>
      <c r="BD176" s="143"/>
      <c r="BE176" s="143"/>
      <c r="BF176" s="143"/>
      <c r="BG176" s="143"/>
      <c r="BH176" s="143"/>
      <c r="BI176" s="143"/>
      <c r="BJ176" s="143"/>
    </row>
    <row r="177" spans="1:62" ht="15.75" customHeight="1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3"/>
      <c r="AT177" s="143"/>
      <c r="AU177" s="143"/>
      <c r="AV177" s="143"/>
      <c r="AW177" s="143"/>
      <c r="AX177" s="143"/>
      <c r="AY177" s="143"/>
      <c r="AZ177" s="143"/>
      <c r="BA177" s="143"/>
      <c r="BB177" s="143"/>
      <c r="BC177" s="143"/>
      <c r="BD177" s="143"/>
      <c r="BE177" s="143"/>
      <c r="BF177" s="143"/>
      <c r="BG177" s="143"/>
      <c r="BH177" s="143"/>
      <c r="BI177" s="143"/>
      <c r="BJ177" s="143"/>
    </row>
    <row r="178" spans="1:62" ht="15.75" customHeight="1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3"/>
      <c r="AT178" s="143"/>
      <c r="AU178" s="143"/>
      <c r="AV178" s="143"/>
      <c r="AW178" s="143"/>
      <c r="AX178" s="143"/>
      <c r="AY178" s="143"/>
      <c r="AZ178" s="143"/>
      <c r="BA178" s="143"/>
      <c r="BB178" s="143"/>
      <c r="BC178" s="143"/>
      <c r="BD178" s="143"/>
      <c r="BE178" s="143"/>
      <c r="BF178" s="143"/>
      <c r="BG178" s="143"/>
      <c r="BH178" s="143"/>
      <c r="BI178" s="143"/>
      <c r="BJ178" s="143"/>
    </row>
    <row r="179" spans="1:62" ht="15.75" customHeight="1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43"/>
      <c r="AT179" s="143"/>
      <c r="AU179" s="143"/>
      <c r="AV179" s="143"/>
      <c r="AW179" s="143"/>
      <c r="AX179" s="143"/>
      <c r="AY179" s="143"/>
      <c r="AZ179" s="143"/>
      <c r="BA179" s="143"/>
      <c r="BB179" s="143"/>
      <c r="BC179" s="143"/>
      <c r="BD179" s="143"/>
      <c r="BE179" s="143"/>
      <c r="BF179" s="143"/>
      <c r="BG179" s="143"/>
      <c r="BH179" s="143"/>
      <c r="BI179" s="143"/>
      <c r="BJ179" s="143"/>
    </row>
    <row r="180" spans="1:62" ht="15.75" customHeight="1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3"/>
      <c r="AR180" s="143"/>
      <c r="AS180" s="143"/>
      <c r="AT180" s="143"/>
      <c r="AU180" s="143"/>
      <c r="AV180" s="143"/>
      <c r="AW180" s="143"/>
      <c r="AX180" s="143"/>
      <c r="AY180" s="143"/>
      <c r="AZ180" s="143"/>
      <c r="BA180" s="143"/>
      <c r="BB180" s="143"/>
      <c r="BC180" s="143"/>
      <c r="BD180" s="143"/>
      <c r="BE180" s="143"/>
      <c r="BF180" s="143"/>
      <c r="BG180" s="143"/>
      <c r="BH180" s="143"/>
      <c r="BI180" s="143"/>
      <c r="BJ180" s="143"/>
    </row>
    <row r="181" spans="1:62" ht="15.75" customHeight="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  <c r="AM181" s="143"/>
      <c r="AN181" s="143"/>
      <c r="AO181" s="143"/>
      <c r="AP181" s="143"/>
      <c r="AQ181" s="143"/>
      <c r="AR181" s="143"/>
      <c r="AS181" s="143"/>
      <c r="AT181" s="143"/>
      <c r="AU181" s="143"/>
      <c r="AV181" s="143"/>
      <c r="AW181" s="143"/>
      <c r="AX181" s="143"/>
      <c r="AY181" s="143"/>
      <c r="AZ181" s="143"/>
      <c r="BA181" s="143"/>
      <c r="BB181" s="143"/>
      <c r="BC181" s="143"/>
      <c r="BD181" s="143"/>
      <c r="BE181" s="143"/>
      <c r="BF181" s="143"/>
      <c r="BG181" s="143"/>
      <c r="BH181" s="143"/>
      <c r="BI181" s="143"/>
      <c r="BJ181" s="143"/>
    </row>
    <row r="182" spans="1:62" ht="15.75" customHeight="1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  <c r="AM182" s="143"/>
      <c r="AN182" s="143"/>
      <c r="AO182" s="143"/>
      <c r="AP182" s="143"/>
      <c r="AQ182" s="143"/>
      <c r="AR182" s="143"/>
      <c r="AS182" s="143"/>
      <c r="AT182" s="143"/>
      <c r="AU182" s="143"/>
      <c r="AV182" s="143"/>
      <c r="AW182" s="143"/>
      <c r="AX182" s="143"/>
      <c r="AY182" s="143"/>
      <c r="AZ182" s="143"/>
      <c r="BA182" s="143"/>
      <c r="BB182" s="143"/>
      <c r="BC182" s="143"/>
      <c r="BD182" s="143"/>
      <c r="BE182" s="143"/>
      <c r="BF182" s="143"/>
      <c r="BG182" s="143"/>
      <c r="BH182" s="143"/>
      <c r="BI182" s="143"/>
      <c r="BJ182" s="143"/>
    </row>
    <row r="183" spans="1:62" ht="15.75" customHeight="1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  <c r="AV183" s="143"/>
      <c r="AW183" s="143"/>
      <c r="AX183" s="143"/>
      <c r="AY183" s="143"/>
      <c r="AZ183" s="143"/>
      <c r="BA183" s="143"/>
      <c r="BB183" s="143"/>
      <c r="BC183" s="143"/>
      <c r="BD183" s="143"/>
      <c r="BE183" s="143"/>
      <c r="BF183" s="143"/>
      <c r="BG183" s="143"/>
      <c r="BH183" s="143"/>
      <c r="BI183" s="143"/>
      <c r="BJ183" s="143"/>
    </row>
    <row r="184" spans="1:62" ht="15.75" customHeight="1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3"/>
      <c r="AS184" s="143"/>
      <c r="AT184" s="143"/>
      <c r="AU184" s="143"/>
      <c r="AV184" s="143"/>
      <c r="AW184" s="143"/>
      <c r="AX184" s="143"/>
      <c r="AY184" s="143"/>
      <c r="AZ184" s="143"/>
      <c r="BA184" s="143"/>
      <c r="BB184" s="143"/>
      <c r="BC184" s="143"/>
      <c r="BD184" s="143"/>
      <c r="BE184" s="143"/>
      <c r="BF184" s="143"/>
      <c r="BG184" s="143"/>
      <c r="BH184" s="143"/>
      <c r="BI184" s="143"/>
      <c r="BJ184" s="143"/>
    </row>
    <row r="185" spans="1:62" ht="15.75" customHeight="1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43"/>
      <c r="AW185" s="143"/>
      <c r="AX185" s="143"/>
      <c r="AY185" s="143"/>
      <c r="AZ185" s="143"/>
      <c r="BA185" s="143"/>
      <c r="BB185" s="143"/>
      <c r="BC185" s="143"/>
      <c r="BD185" s="143"/>
      <c r="BE185" s="143"/>
      <c r="BF185" s="143"/>
      <c r="BG185" s="143"/>
      <c r="BH185" s="143"/>
      <c r="BI185" s="143"/>
      <c r="BJ185" s="143"/>
    </row>
    <row r="186" spans="1:62" ht="15.75" customHeight="1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  <c r="AV186" s="143"/>
      <c r="AW186" s="143"/>
      <c r="AX186" s="143"/>
      <c r="AY186" s="143"/>
      <c r="AZ186" s="143"/>
      <c r="BA186" s="143"/>
      <c r="BB186" s="143"/>
      <c r="BC186" s="143"/>
      <c r="BD186" s="143"/>
      <c r="BE186" s="143"/>
      <c r="BF186" s="143"/>
      <c r="BG186" s="143"/>
      <c r="BH186" s="143"/>
      <c r="BI186" s="143"/>
      <c r="BJ186" s="143"/>
    </row>
    <row r="187" spans="1:62" ht="15.75" customHeight="1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  <c r="AV187" s="143"/>
      <c r="AW187" s="143"/>
      <c r="AX187" s="143"/>
      <c r="AY187" s="143"/>
      <c r="AZ187" s="143"/>
      <c r="BA187" s="143"/>
      <c r="BB187" s="143"/>
      <c r="BC187" s="143"/>
      <c r="BD187" s="143"/>
      <c r="BE187" s="143"/>
      <c r="BF187" s="143"/>
      <c r="BG187" s="143"/>
      <c r="BH187" s="143"/>
      <c r="BI187" s="143"/>
      <c r="BJ187" s="143"/>
    </row>
    <row r="188" spans="1:62" ht="15.75" customHeight="1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  <c r="AV188" s="143"/>
      <c r="AW188" s="143"/>
      <c r="AX188" s="143"/>
      <c r="AY188" s="143"/>
      <c r="AZ188" s="143"/>
      <c r="BA188" s="143"/>
      <c r="BB188" s="143"/>
      <c r="BC188" s="143"/>
      <c r="BD188" s="143"/>
      <c r="BE188" s="143"/>
      <c r="BF188" s="143"/>
      <c r="BG188" s="143"/>
      <c r="BH188" s="143"/>
      <c r="BI188" s="143"/>
      <c r="BJ188" s="143"/>
    </row>
    <row r="189" spans="1:62" ht="15.75" customHeight="1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  <c r="AM189" s="143"/>
      <c r="AN189" s="143"/>
      <c r="AO189" s="143"/>
      <c r="AP189" s="143"/>
      <c r="AQ189" s="143"/>
      <c r="AR189" s="143"/>
      <c r="AS189" s="143"/>
      <c r="AT189" s="143"/>
      <c r="AU189" s="143"/>
      <c r="AV189" s="143"/>
      <c r="AW189" s="143"/>
      <c r="AX189" s="143"/>
      <c r="AY189" s="143"/>
      <c r="AZ189" s="143"/>
      <c r="BA189" s="143"/>
      <c r="BB189" s="143"/>
      <c r="BC189" s="143"/>
      <c r="BD189" s="143"/>
      <c r="BE189" s="143"/>
      <c r="BF189" s="143"/>
      <c r="BG189" s="143"/>
      <c r="BH189" s="143"/>
      <c r="BI189" s="143"/>
      <c r="BJ189" s="143"/>
    </row>
    <row r="190" spans="1:62" ht="15.75" customHeight="1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  <c r="AV190" s="143"/>
      <c r="AW190" s="143"/>
      <c r="AX190" s="143"/>
      <c r="AY190" s="143"/>
      <c r="AZ190" s="143"/>
      <c r="BA190" s="143"/>
      <c r="BB190" s="143"/>
      <c r="BC190" s="143"/>
      <c r="BD190" s="143"/>
      <c r="BE190" s="143"/>
      <c r="BF190" s="143"/>
      <c r="BG190" s="143"/>
      <c r="BH190" s="143"/>
      <c r="BI190" s="143"/>
      <c r="BJ190" s="143"/>
    </row>
    <row r="191" spans="1:62" ht="15.75" customHeight="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  <c r="AV191" s="143"/>
      <c r="AW191" s="143"/>
      <c r="AX191" s="143"/>
      <c r="AY191" s="143"/>
      <c r="AZ191" s="143"/>
      <c r="BA191" s="143"/>
      <c r="BB191" s="143"/>
      <c r="BC191" s="143"/>
      <c r="BD191" s="143"/>
      <c r="BE191" s="143"/>
      <c r="BF191" s="143"/>
      <c r="BG191" s="143"/>
      <c r="BH191" s="143"/>
      <c r="BI191" s="143"/>
      <c r="BJ191" s="143"/>
    </row>
    <row r="192" spans="1:62" ht="15.75" customHeight="1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  <c r="AI192" s="143"/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43"/>
      <c r="AT192" s="143"/>
      <c r="AU192" s="143"/>
      <c r="AV192" s="143"/>
      <c r="AW192" s="143"/>
      <c r="AX192" s="143"/>
      <c r="AY192" s="143"/>
      <c r="AZ192" s="143"/>
      <c r="BA192" s="143"/>
      <c r="BB192" s="143"/>
      <c r="BC192" s="143"/>
      <c r="BD192" s="143"/>
      <c r="BE192" s="143"/>
      <c r="BF192" s="143"/>
      <c r="BG192" s="143"/>
      <c r="BH192" s="143"/>
      <c r="BI192" s="143"/>
      <c r="BJ192" s="143"/>
    </row>
    <row r="193" spans="1:62" ht="15.75" customHeight="1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</row>
    <row r="194" spans="1:62" ht="15.75" customHeight="1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  <c r="AI194" s="143"/>
      <c r="AJ194" s="143"/>
      <c r="AK194" s="143"/>
      <c r="AL194" s="143"/>
      <c r="AM194" s="143"/>
      <c r="AN194" s="143"/>
      <c r="AO194" s="143"/>
      <c r="AP194" s="143"/>
      <c r="AQ194" s="143"/>
      <c r="AR194" s="143"/>
      <c r="AS194" s="143"/>
      <c r="AT194" s="143"/>
      <c r="AU194" s="143"/>
      <c r="AV194" s="143"/>
      <c r="AW194" s="143"/>
      <c r="AX194" s="143"/>
      <c r="AY194" s="143"/>
      <c r="AZ194" s="143"/>
      <c r="BA194" s="143"/>
      <c r="BB194" s="143"/>
      <c r="BC194" s="143"/>
      <c r="BD194" s="143"/>
      <c r="BE194" s="143"/>
      <c r="BF194" s="143"/>
      <c r="BG194" s="143"/>
      <c r="BH194" s="143"/>
      <c r="BI194" s="143"/>
      <c r="BJ194" s="143"/>
    </row>
    <row r="195" spans="1:62" ht="15.75" customHeight="1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  <c r="AM195" s="143"/>
      <c r="AN195" s="143"/>
      <c r="AO195" s="143"/>
      <c r="AP195" s="143"/>
      <c r="AQ195" s="143"/>
      <c r="AR195" s="143"/>
      <c r="AS195" s="143"/>
      <c r="AT195" s="143"/>
      <c r="AU195" s="143"/>
      <c r="AV195" s="143"/>
      <c r="AW195" s="143"/>
      <c r="AX195" s="143"/>
      <c r="AY195" s="143"/>
      <c r="AZ195" s="143"/>
      <c r="BA195" s="143"/>
      <c r="BB195" s="143"/>
      <c r="BC195" s="143"/>
      <c r="BD195" s="143"/>
      <c r="BE195" s="143"/>
      <c r="BF195" s="143"/>
      <c r="BG195" s="143"/>
      <c r="BH195" s="143"/>
      <c r="BI195" s="143"/>
      <c r="BJ195" s="143"/>
    </row>
    <row r="196" spans="1:62" ht="15.75" customHeight="1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  <c r="AM196" s="143"/>
      <c r="AN196" s="143"/>
      <c r="AO196" s="143"/>
      <c r="AP196" s="143"/>
      <c r="AQ196" s="143"/>
      <c r="AR196" s="143"/>
      <c r="AS196" s="143"/>
      <c r="AT196" s="143"/>
      <c r="AU196" s="143"/>
      <c r="AV196" s="143"/>
      <c r="AW196" s="143"/>
      <c r="AX196" s="143"/>
      <c r="AY196" s="143"/>
      <c r="AZ196" s="143"/>
      <c r="BA196" s="143"/>
      <c r="BB196" s="143"/>
      <c r="BC196" s="143"/>
      <c r="BD196" s="143"/>
      <c r="BE196" s="143"/>
      <c r="BF196" s="143"/>
      <c r="BG196" s="143"/>
      <c r="BH196" s="143"/>
      <c r="BI196" s="143"/>
      <c r="BJ196" s="143"/>
    </row>
    <row r="197" spans="1:62" ht="15.75" customHeight="1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  <c r="AV197" s="143"/>
      <c r="AW197" s="143"/>
      <c r="AX197" s="143"/>
      <c r="AY197" s="143"/>
      <c r="AZ197" s="143"/>
      <c r="BA197" s="143"/>
      <c r="BB197" s="143"/>
      <c r="BC197" s="143"/>
      <c r="BD197" s="143"/>
      <c r="BE197" s="143"/>
      <c r="BF197" s="143"/>
      <c r="BG197" s="143"/>
      <c r="BH197" s="143"/>
      <c r="BI197" s="143"/>
      <c r="BJ197" s="143"/>
    </row>
    <row r="198" spans="1:62" ht="15.75" customHeight="1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  <c r="AI198" s="143"/>
      <c r="AJ198" s="143"/>
      <c r="AK198" s="143"/>
      <c r="AL198" s="143"/>
      <c r="AM198" s="143"/>
      <c r="AN198" s="143"/>
      <c r="AO198" s="143"/>
      <c r="AP198" s="143"/>
      <c r="AQ198" s="143"/>
      <c r="AR198" s="143"/>
      <c r="AS198" s="143"/>
      <c r="AT198" s="143"/>
      <c r="AU198" s="143"/>
      <c r="AV198" s="143"/>
      <c r="AW198" s="143"/>
      <c r="AX198" s="143"/>
      <c r="AY198" s="143"/>
      <c r="AZ198" s="143"/>
      <c r="BA198" s="143"/>
      <c r="BB198" s="143"/>
      <c r="BC198" s="143"/>
      <c r="BD198" s="143"/>
      <c r="BE198" s="143"/>
      <c r="BF198" s="143"/>
      <c r="BG198" s="143"/>
      <c r="BH198" s="143"/>
      <c r="BI198" s="143"/>
      <c r="BJ198" s="143"/>
    </row>
    <row r="199" spans="1:62" ht="15.75" customHeight="1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  <c r="AI199" s="143"/>
      <c r="AJ199" s="143"/>
      <c r="AK199" s="143"/>
      <c r="AL199" s="143"/>
      <c r="AM199" s="143"/>
      <c r="AN199" s="143"/>
      <c r="AO199" s="143"/>
      <c r="AP199" s="143"/>
      <c r="AQ199" s="143"/>
      <c r="AR199" s="143"/>
      <c r="AS199" s="143"/>
      <c r="AT199" s="143"/>
      <c r="AU199" s="143"/>
      <c r="AV199" s="143"/>
      <c r="AW199" s="143"/>
      <c r="AX199" s="143"/>
      <c r="AY199" s="143"/>
      <c r="AZ199" s="143"/>
      <c r="BA199" s="143"/>
      <c r="BB199" s="143"/>
      <c r="BC199" s="143"/>
      <c r="BD199" s="143"/>
      <c r="BE199" s="143"/>
      <c r="BF199" s="143"/>
      <c r="BG199" s="143"/>
      <c r="BH199" s="143"/>
      <c r="BI199" s="143"/>
      <c r="BJ199" s="143"/>
    </row>
    <row r="200" spans="1:62" ht="15.75" customHeight="1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  <c r="AI200" s="143"/>
      <c r="AJ200" s="143"/>
      <c r="AK200" s="143"/>
      <c r="AL200" s="143"/>
      <c r="AM200" s="143"/>
      <c r="AN200" s="143"/>
      <c r="AO200" s="143"/>
      <c r="AP200" s="143"/>
      <c r="AQ200" s="143"/>
      <c r="AR200" s="143"/>
      <c r="AS200" s="143"/>
      <c r="AT200" s="143"/>
      <c r="AU200" s="143"/>
      <c r="AV200" s="143"/>
      <c r="AW200" s="143"/>
      <c r="AX200" s="143"/>
      <c r="AY200" s="143"/>
      <c r="AZ200" s="143"/>
      <c r="BA200" s="143"/>
      <c r="BB200" s="143"/>
      <c r="BC200" s="143"/>
      <c r="BD200" s="143"/>
      <c r="BE200" s="143"/>
      <c r="BF200" s="143"/>
      <c r="BG200" s="143"/>
      <c r="BH200" s="143"/>
      <c r="BI200" s="143"/>
      <c r="BJ200" s="143"/>
    </row>
    <row r="201" spans="1:62" ht="15.75" customHeight="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  <c r="AI201" s="143"/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3"/>
      <c r="AT201" s="143"/>
      <c r="AU201" s="143"/>
      <c r="AV201" s="143"/>
      <c r="AW201" s="143"/>
      <c r="AX201" s="143"/>
      <c r="AY201" s="143"/>
      <c r="AZ201" s="143"/>
      <c r="BA201" s="143"/>
      <c r="BB201" s="143"/>
      <c r="BC201" s="143"/>
      <c r="BD201" s="143"/>
      <c r="BE201" s="143"/>
      <c r="BF201" s="143"/>
      <c r="BG201" s="143"/>
      <c r="BH201" s="143"/>
      <c r="BI201" s="143"/>
      <c r="BJ201" s="143"/>
    </row>
    <row r="202" spans="1:62" ht="15.75" customHeight="1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  <c r="AI202" s="143"/>
      <c r="AJ202" s="143"/>
      <c r="AK202" s="143"/>
      <c r="AL202" s="143"/>
      <c r="AM202" s="143"/>
      <c r="AN202" s="143"/>
      <c r="AO202" s="143"/>
      <c r="AP202" s="143"/>
      <c r="AQ202" s="143"/>
      <c r="AR202" s="143"/>
      <c r="AS202" s="143"/>
      <c r="AT202" s="143"/>
      <c r="AU202" s="143"/>
      <c r="AV202" s="143"/>
      <c r="AW202" s="143"/>
      <c r="AX202" s="143"/>
      <c r="AY202" s="143"/>
      <c r="AZ202" s="143"/>
      <c r="BA202" s="143"/>
      <c r="BB202" s="143"/>
      <c r="BC202" s="143"/>
      <c r="BD202" s="143"/>
      <c r="BE202" s="143"/>
      <c r="BF202" s="143"/>
      <c r="BG202" s="143"/>
      <c r="BH202" s="143"/>
      <c r="BI202" s="143"/>
      <c r="BJ202" s="143"/>
    </row>
    <row r="203" spans="1:62" ht="15.75" customHeight="1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  <c r="AI203" s="143"/>
      <c r="AJ203" s="143"/>
      <c r="AK203" s="143"/>
      <c r="AL203" s="143"/>
      <c r="AM203" s="143"/>
      <c r="AN203" s="143"/>
      <c r="AO203" s="143"/>
      <c r="AP203" s="143"/>
      <c r="AQ203" s="143"/>
      <c r="AR203" s="143"/>
      <c r="AS203" s="143"/>
      <c r="AT203" s="143"/>
      <c r="AU203" s="143"/>
      <c r="AV203" s="143"/>
      <c r="AW203" s="143"/>
      <c r="AX203" s="143"/>
      <c r="AY203" s="143"/>
      <c r="AZ203" s="143"/>
      <c r="BA203" s="143"/>
      <c r="BB203" s="143"/>
      <c r="BC203" s="143"/>
      <c r="BD203" s="143"/>
      <c r="BE203" s="143"/>
      <c r="BF203" s="143"/>
      <c r="BG203" s="143"/>
      <c r="BH203" s="143"/>
      <c r="BI203" s="143"/>
      <c r="BJ203" s="143"/>
    </row>
    <row r="204" spans="1:62" ht="15.75" customHeight="1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  <c r="AI204" s="143"/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3"/>
      <c r="AT204" s="143"/>
      <c r="AU204" s="143"/>
      <c r="AV204" s="143"/>
      <c r="AW204" s="143"/>
      <c r="AX204" s="143"/>
      <c r="AY204" s="143"/>
      <c r="AZ204" s="143"/>
      <c r="BA204" s="143"/>
      <c r="BB204" s="143"/>
      <c r="BC204" s="143"/>
      <c r="BD204" s="143"/>
      <c r="BE204" s="143"/>
      <c r="BF204" s="143"/>
      <c r="BG204" s="143"/>
      <c r="BH204" s="143"/>
      <c r="BI204" s="143"/>
      <c r="BJ204" s="143"/>
    </row>
    <row r="205" spans="1:62" ht="15.75" customHeight="1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3"/>
      <c r="AT205" s="143"/>
      <c r="AU205" s="143"/>
      <c r="AV205" s="143"/>
      <c r="AW205" s="143"/>
      <c r="AX205" s="143"/>
      <c r="AY205" s="143"/>
      <c r="AZ205" s="143"/>
      <c r="BA205" s="143"/>
      <c r="BB205" s="143"/>
      <c r="BC205" s="143"/>
      <c r="BD205" s="143"/>
      <c r="BE205" s="143"/>
      <c r="BF205" s="143"/>
      <c r="BG205" s="143"/>
      <c r="BH205" s="143"/>
      <c r="BI205" s="143"/>
      <c r="BJ205" s="143"/>
    </row>
    <row r="206" spans="1:62" ht="15.75" customHeight="1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  <c r="AQ206" s="143"/>
      <c r="AR206" s="143"/>
      <c r="AS206" s="143"/>
      <c r="AT206" s="143"/>
      <c r="AU206" s="143"/>
      <c r="AV206" s="143"/>
      <c r="AW206" s="143"/>
      <c r="AX206" s="143"/>
      <c r="AY206" s="143"/>
      <c r="AZ206" s="143"/>
      <c r="BA206" s="143"/>
      <c r="BB206" s="143"/>
      <c r="BC206" s="143"/>
      <c r="BD206" s="143"/>
      <c r="BE206" s="143"/>
      <c r="BF206" s="143"/>
      <c r="BG206" s="143"/>
      <c r="BH206" s="143"/>
      <c r="BI206" s="143"/>
      <c r="BJ206" s="143"/>
    </row>
    <row r="207" spans="1:62" ht="15.75" customHeight="1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  <c r="AM207" s="143"/>
      <c r="AN207" s="143"/>
      <c r="AO207" s="143"/>
      <c r="AP207" s="143"/>
      <c r="AQ207" s="143"/>
      <c r="AR207" s="143"/>
      <c r="AS207" s="143"/>
      <c r="AT207" s="143"/>
      <c r="AU207" s="143"/>
      <c r="AV207" s="143"/>
      <c r="AW207" s="143"/>
      <c r="AX207" s="143"/>
      <c r="AY207" s="143"/>
      <c r="AZ207" s="143"/>
      <c r="BA207" s="143"/>
      <c r="BB207" s="143"/>
      <c r="BC207" s="143"/>
      <c r="BD207" s="143"/>
      <c r="BE207" s="143"/>
      <c r="BF207" s="143"/>
      <c r="BG207" s="143"/>
      <c r="BH207" s="143"/>
      <c r="BI207" s="143"/>
      <c r="BJ207" s="143"/>
    </row>
    <row r="208" spans="1:62" ht="15.75" customHeight="1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  <c r="AI208" s="143"/>
      <c r="AJ208" s="143"/>
      <c r="AK208" s="143"/>
      <c r="AL208" s="143"/>
      <c r="AM208" s="143"/>
      <c r="AN208" s="143"/>
      <c r="AO208" s="143"/>
      <c r="AP208" s="143"/>
      <c r="AQ208" s="143"/>
      <c r="AR208" s="143"/>
      <c r="AS208" s="143"/>
      <c r="AT208" s="143"/>
      <c r="AU208" s="143"/>
      <c r="AV208" s="143"/>
      <c r="AW208" s="143"/>
      <c r="AX208" s="143"/>
      <c r="AY208" s="143"/>
      <c r="AZ208" s="143"/>
      <c r="BA208" s="143"/>
      <c r="BB208" s="143"/>
      <c r="BC208" s="143"/>
      <c r="BD208" s="143"/>
      <c r="BE208" s="143"/>
      <c r="BF208" s="143"/>
      <c r="BG208" s="143"/>
      <c r="BH208" s="143"/>
      <c r="BI208" s="143"/>
      <c r="BJ208" s="143"/>
    </row>
    <row r="209" spans="1:62" ht="15.75" customHeight="1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  <c r="AI209" s="143"/>
      <c r="AJ209" s="143"/>
      <c r="AK209" s="143"/>
      <c r="AL209" s="143"/>
      <c r="AM209" s="143"/>
      <c r="AN209" s="143"/>
      <c r="AO209" s="143"/>
      <c r="AP209" s="143"/>
      <c r="AQ209" s="143"/>
      <c r="AR209" s="143"/>
      <c r="AS209" s="143"/>
      <c r="AT209" s="143"/>
      <c r="AU209" s="143"/>
      <c r="AV209" s="143"/>
      <c r="AW209" s="143"/>
      <c r="AX209" s="143"/>
      <c r="AY209" s="143"/>
      <c r="AZ209" s="143"/>
      <c r="BA209" s="143"/>
      <c r="BB209" s="143"/>
      <c r="BC209" s="143"/>
      <c r="BD209" s="143"/>
      <c r="BE209" s="143"/>
      <c r="BF209" s="143"/>
      <c r="BG209" s="143"/>
      <c r="BH209" s="143"/>
      <c r="BI209" s="143"/>
      <c r="BJ209" s="143"/>
    </row>
    <row r="210" spans="1:62" ht="15.75" customHeight="1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  <c r="AI210" s="143"/>
      <c r="AJ210" s="143"/>
      <c r="AK210" s="143"/>
      <c r="AL210" s="143"/>
      <c r="AM210" s="143"/>
      <c r="AN210" s="143"/>
      <c r="AO210" s="143"/>
      <c r="AP210" s="143"/>
      <c r="AQ210" s="143"/>
      <c r="AR210" s="143"/>
      <c r="AS210" s="143"/>
      <c r="AT210" s="143"/>
      <c r="AU210" s="143"/>
      <c r="AV210" s="143"/>
      <c r="AW210" s="143"/>
      <c r="AX210" s="143"/>
      <c r="AY210" s="143"/>
      <c r="AZ210" s="143"/>
      <c r="BA210" s="143"/>
      <c r="BB210" s="143"/>
      <c r="BC210" s="143"/>
      <c r="BD210" s="143"/>
      <c r="BE210" s="143"/>
      <c r="BF210" s="143"/>
      <c r="BG210" s="143"/>
      <c r="BH210" s="143"/>
      <c r="BI210" s="143"/>
      <c r="BJ210" s="143"/>
    </row>
    <row r="211" spans="1:62" ht="15.75" customHeight="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  <c r="AI211" s="143"/>
      <c r="AJ211" s="143"/>
      <c r="AK211" s="143"/>
      <c r="AL211" s="143"/>
      <c r="AM211" s="143"/>
      <c r="AN211" s="143"/>
      <c r="AO211" s="143"/>
      <c r="AP211" s="143"/>
      <c r="AQ211" s="143"/>
      <c r="AR211" s="143"/>
      <c r="AS211" s="143"/>
      <c r="AT211" s="143"/>
      <c r="AU211" s="143"/>
      <c r="AV211" s="143"/>
      <c r="AW211" s="143"/>
      <c r="AX211" s="143"/>
      <c r="AY211" s="143"/>
      <c r="AZ211" s="143"/>
      <c r="BA211" s="143"/>
      <c r="BB211" s="143"/>
      <c r="BC211" s="143"/>
      <c r="BD211" s="143"/>
      <c r="BE211" s="143"/>
      <c r="BF211" s="143"/>
      <c r="BG211" s="143"/>
      <c r="BH211" s="143"/>
      <c r="BI211" s="143"/>
      <c r="BJ211" s="143"/>
    </row>
    <row r="212" spans="1:62" ht="15.75" customHeight="1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  <c r="AI212" s="143"/>
      <c r="AJ212" s="143"/>
      <c r="AK212" s="143"/>
      <c r="AL212" s="143"/>
      <c r="AM212" s="143"/>
      <c r="AN212" s="143"/>
      <c r="AO212" s="143"/>
      <c r="AP212" s="143"/>
      <c r="AQ212" s="143"/>
      <c r="AR212" s="143"/>
      <c r="AS212" s="143"/>
      <c r="AT212" s="143"/>
      <c r="AU212" s="143"/>
      <c r="AV212" s="143"/>
      <c r="AW212" s="143"/>
      <c r="AX212" s="143"/>
      <c r="AY212" s="143"/>
      <c r="AZ212" s="143"/>
      <c r="BA212" s="143"/>
      <c r="BB212" s="143"/>
      <c r="BC212" s="143"/>
      <c r="BD212" s="143"/>
      <c r="BE212" s="143"/>
      <c r="BF212" s="143"/>
      <c r="BG212" s="143"/>
      <c r="BH212" s="143"/>
      <c r="BI212" s="143"/>
      <c r="BJ212" s="143"/>
    </row>
    <row r="213" spans="1:62" ht="15.75" customHeight="1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  <c r="AI213" s="143"/>
      <c r="AJ213" s="143"/>
      <c r="AK213" s="143"/>
      <c r="AL213" s="143"/>
      <c r="AM213" s="143"/>
      <c r="AN213" s="143"/>
      <c r="AO213" s="143"/>
      <c r="AP213" s="143"/>
      <c r="AQ213" s="143"/>
      <c r="AR213" s="143"/>
      <c r="AS213" s="143"/>
      <c r="AT213" s="143"/>
      <c r="AU213" s="143"/>
      <c r="AV213" s="143"/>
      <c r="AW213" s="143"/>
      <c r="AX213" s="143"/>
      <c r="AY213" s="143"/>
      <c r="AZ213" s="143"/>
      <c r="BA213" s="143"/>
      <c r="BB213" s="143"/>
      <c r="BC213" s="143"/>
      <c r="BD213" s="143"/>
      <c r="BE213" s="143"/>
      <c r="BF213" s="143"/>
      <c r="BG213" s="143"/>
      <c r="BH213" s="143"/>
      <c r="BI213" s="143"/>
      <c r="BJ213" s="143"/>
    </row>
    <row r="214" spans="1:62" ht="15.75" customHeight="1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  <c r="AI214" s="143"/>
      <c r="AJ214" s="143"/>
      <c r="AK214" s="143"/>
      <c r="AL214" s="143"/>
      <c r="AM214" s="143"/>
      <c r="AN214" s="143"/>
      <c r="AO214" s="143"/>
      <c r="AP214" s="143"/>
      <c r="AQ214" s="143"/>
      <c r="AR214" s="143"/>
      <c r="AS214" s="143"/>
      <c r="AT214" s="143"/>
      <c r="AU214" s="143"/>
      <c r="AV214" s="143"/>
      <c r="AW214" s="143"/>
      <c r="AX214" s="143"/>
      <c r="AY214" s="143"/>
      <c r="AZ214" s="143"/>
      <c r="BA214" s="143"/>
      <c r="BB214" s="143"/>
      <c r="BC214" s="143"/>
      <c r="BD214" s="143"/>
      <c r="BE214" s="143"/>
      <c r="BF214" s="143"/>
      <c r="BG214" s="143"/>
      <c r="BH214" s="143"/>
      <c r="BI214" s="143"/>
      <c r="BJ214" s="143"/>
    </row>
    <row r="215" spans="1:62" ht="15.75" customHeight="1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/>
      <c r="AT215" s="143"/>
      <c r="AU215" s="143"/>
      <c r="AV215" s="143"/>
      <c r="AW215" s="143"/>
      <c r="AX215" s="143"/>
      <c r="AY215" s="143"/>
      <c r="AZ215" s="143"/>
      <c r="BA215" s="143"/>
      <c r="BB215" s="143"/>
      <c r="BC215" s="143"/>
      <c r="BD215" s="143"/>
      <c r="BE215" s="143"/>
      <c r="BF215" s="143"/>
      <c r="BG215" s="143"/>
      <c r="BH215" s="143"/>
      <c r="BI215" s="143"/>
      <c r="BJ215" s="143"/>
    </row>
    <row r="216" spans="1:62" ht="15.75" customHeight="1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43"/>
      <c r="AR216" s="143"/>
      <c r="AS216" s="143"/>
      <c r="AT216" s="143"/>
      <c r="AU216" s="143"/>
      <c r="AV216" s="143"/>
      <c r="AW216" s="143"/>
      <c r="AX216" s="143"/>
      <c r="AY216" s="143"/>
      <c r="AZ216" s="143"/>
      <c r="BA216" s="143"/>
      <c r="BB216" s="143"/>
      <c r="BC216" s="143"/>
      <c r="BD216" s="143"/>
      <c r="BE216" s="143"/>
      <c r="BF216" s="143"/>
      <c r="BG216" s="143"/>
      <c r="BH216" s="143"/>
      <c r="BI216" s="143"/>
      <c r="BJ216" s="143"/>
    </row>
    <row r="217" spans="1:62" ht="15.75" customHeight="1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43"/>
      <c r="AR217" s="143"/>
      <c r="AS217" s="143"/>
      <c r="AT217" s="143"/>
      <c r="AU217" s="143"/>
      <c r="AV217" s="143"/>
      <c r="AW217" s="143"/>
      <c r="AX217" s="143"/>
      <c r="AY217" s="143"/>
      <c r="AZ217" s="143"/>
      <c r="BA217" s="143"/>
      <c r="BB217" s="143"/>
      <c r="BC217" s="143"/>
      <c r="BD217" s="143"/>
      <c r="BE217" s="143"/>
      <c r="BF217" s="143"/>
      <c r="BG217" s="143"/>
      <c r="BH217" s="143"/>
      <c r="BI217" s="143"/>
      <c r="BJ217" s="143"/>
    </row>
    <row r="218" spans="1:62" ht="15.75" customHeight="1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  <c r="AM218" s="143"/>
      <c r="AN218" s="143"/>
      <c r="AO218" s="143"/>
      <c r="AP218" s="143"/>
      <c r="AQ218" s="143"/>
      <c r="AR218" s="143"/>
      <c r="AS218" s="143"/>
      <c r="AT218" s="143"/>
      <c r="AU218" s="143"/>
      <c r="AV218" s="143"/>
      <c r="AW218" s="143"/>
      <c r="AX218" s="143"/>
      <c r="AY218" s="143"/>
      <c r="AZ218" s="143"/>
      <c r="BA218" s="143"/>
      <c r="BB218" s="143"/>
      <c r="BC218" s="143"/>
      <c r="BD218" s="143"/>
      <c r="BE218" s="143"/>
      <c r="BF218" s="143"/>
      <c r="BG218" s="143"/>
      <c r="BH218" s="143"/>
      <c r="BI218" s="143"/>
      <c r="BJ218" s="143"/>
    </row>
    <row r="219" spans="1:62" ht="15.75" customHeight="1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  <c r="AM219" s="143"/>
      <c r="AN219" s="143"/>
      <c r="AO219" s="143"/>
      <c r="AP219" s="143"/>
      <c r="AQ219" s="143"/>
      <c r="AR219" s="143"/>
      <c r="AS219" s="143"/>
      <c r="AT219" s="143"/>
      <c r="AU219" s="143"/>
      <c r="AV219" s="143"/>
      <c r="AW219" s="143"/>
      <c r="AX219" s="143"/>
      <c r="AY219" s="143"/>
      <c r="AZ219" s="143"/>
      <c r="BA219" s="143"/>
      <c r="BB219" s="143"/>
      <c r="BC219" s="143"/>
      <c r="BD219" s="143"/>
      <c r="BE219" s="143"/>
      <c r="BF219" s="143"/>
      <c r="BG219" s="143"/>
      <c r="BH219" s="143"/>
      <c r="BI219" s="143"/>
      <c r="BJ219" s="143"/>
    </row>
    <row r="220" spans="1:62" ht="15.75" customHeight="1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  <c r="AM220" s="143"/>
      <c r="AN220" s="143"/>
      <c r="AO220" s="143"/>
      <c r="AP220" s="143"/>
      <c r="AQ220" s="143"/>
      <c r="AR220" s="143"/>
      <c r="AS220" s="143"/>
      <c r="AT220" s="143"/>
      <c r="AU220" s="143"/>
      <c r="AV220" s="143"/>
      <c r="AW220" s="143"/>
      <c r="AX220" s="143"/>
      <c r="AY220" s="143"/>
      <c r="AZ220" s="143"/>
      <c r="BA220" s="143"/>
      <c r="BB220" s="143"/>
      <c r="BC220" s="143"/>
      <c r="BD220" s="143"/>
      <c r="BE220" s="143"/>
      <c r="BF220" s="143"/>
      <c r="BG220" s="143"/>
      <c r="BH220" s="143"/>
      <c r="BI220" s="143"/>
      <c r="BJ220" s="143"/>
    </row>
    <row r="221" spans="1:62" ht="15.75" customHeight="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  <c r="AI221" s="143"/>
      <c r="AJ221" s="143"/>
      <c r="AK221" s="143"/>
      <c r="AL221" s="143"/>
      <c r="AM221" s="143"/>
      <c r="AN221" s="143"/>
      <c r="AO221" s="143"/>
      <c r="AP221" s="143"/>
      <c r="AQ221" s="143"/>
      <c r="AR221" s="143"/>
      <c r="AS221" s="143"/>
      <c r="AT221" s="143"/>
      <c r="AU221" s="143"/>
      <c r="AV221" s="143"/>
      <c r="AW221" s="143"/>
      <c r="AX221" s="143"/>
      <c r="AY221" s="143"/>
      <c r="AZ221" s="143"/>
      <c r="BA221" s="143"/>
      <c r="BB221" s="143"/>
      <c r="BC221" s="143"/>
      <c r="BD221" s="143"/>
      <c r="BE221" s="143"/>
      <c r="BF221" s="143"/>
      <c r="BG221" s="143"/>
      <c r="BH221" s="143"/>
      <c r="BI221" s="143"/>
      <c r="BJ221" s="143"/>
    </row>
    <row r="222" spans="1:62" ht="15.75" customHeight="1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  <c r="AI222" s="143"/>
      <c r="AJ222" s="143"/>
      <c r="AK222" s="143"/>
      <c r="AL222" s="143"/>
      <c r="AM222" s="143"/>
      <c r="AN222" s="143"/>
      <c r="AO222" s="143"/>
      <c r="AP222" s="143"/>
      <c r="AQ222" s="143"/>
      <c r="AR222" s="143"/>
      <c r="AS222" s="143"/>
      <c r="AT222" s="143"/>
      <c r="AU222" s="143"/>
      <c r="AV222" s="143"/>
      <c r="AW222" s="143"/>
      <c r="AX222" s="143"/>
      <c r="AY222" s="143"/>
      <c r="AZ222" s="143"/>
      <c r="BA222" s="143"/>
      <c r="BB222" s="143"/>
      <c r="BC222" s="143"/>
      <c r="BD222" s="143"/>
      <c r="BE222" s="143"/>
      <c r="BF222" s="143"/>
      <c r="BG222" s="143"/>
      <c r="BH222" s="143"/>
      <c r="BI222" s="143"/>
      <c r="BJ222" s="143"/>
    </row>
    <row r="223" spans="1:62" ht="15.75" customHeight="1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43"/>
      <c r="AJ223" s="143"/>
      <c r="AK223" s="143"/>
      <c r="AL223" s="143"/>
      <c r="AM223" s="143"/>
      <c r="AN223" s="143"/>
      <c r="AO223" s="143"/>
      <c r="AP223" s="143"/>
      <c r="AQ223" s="143"/>
      <c r="AR223" s="143"/>
      <c r="AS223" s="143"/>
      <c r="AT223" s="143"/>
      <c r="AU223" s="143"/>
      <c r="AV223" s="143"/>
      <c r="AW223" s="143"/>
      <c r="AX223" s="143"/>
      <c r="AY223" s="143"/>
      <c r="AZ223" s="143"/>
      <c r="BA223" s="143"/>
      <c r="BB223" s="143"/>
      <c r="BC223" s="143"/>
      <c r="BD223" s="143"/>
      <c r="BE223" s="143"/>
      <c r="BF223" s="143"/>
      <c r="BG223" s="143"/>
      <c r="BH223" s="143"/>
      <c r="BI223" s="143"/>
      <c r="BJ223" s="143"/>
    </row>
    <row r="224" spans="1:62" ht="15.75" customHeight="1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  <c r="AW224" s="143"/>
      <c r="AX224" s="143"/>
      <c r="AY224" s="143"/>
      <c r="AZ224" s="143"/>
      <c r="BA224" s="143"/>
      <c r="BB224" s="143"/>
      <c r="BC224" s="143"/>
      <c r="BD224" s="143"/>
      <c r="BE224" s="143"/>
      <c r="BF224" s="143"/>
      <c r="BG224" s="143"/>
      <c r="BH224" s="143"/>
      <c r="BI224" s="143"/>
      <c r="BJ224" s="143"/>
    </row>
    <row r="225" spans="1:62" ht="15.75" customHeight="1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  <c r="AV225" s="143"/>
      <c r="AW225" s="143"/>
      <c r="AX225" s="143"/>
      <c r="AY225" s="143"/>
      <c r="AZ225" s="143"/>
      <c r="BA225" s="143"/>
      <c r="BB225" s="143"/>
      <c r="BC225" s="143"/>
      <c r="BD225" s="143"/>
      <c r="BE225" s="143"/>
      <c r="BF225" s="143"/>
      <c r="BG225" s="143"/>
      <c r="BH225" s="143"/>
      <c r="BI225" s="143"/>
      <c r="BJ225" s="143"/>
    </row>
    <row r="226" spans="1:62" ht="15.75" customHeight="1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  <c r="AV226" s="143"/>
      <c r="AW226" s="143"/>
      <c r="AX226" s="143"/>
      <c r="AY226" s="143"/>
      <c r="AZ226" s="143"/>
      <c r="BA226" s="143"/>
      <c r="BB226" s="143"/>
      <c r="BC226" s="143"/>
      <c r="BD226" s="143"/>
      <c r="BE226" s="143"/>
      <c r="BF226" s="143"/>
      <c r="BG226" s="143"/>
      <c r="BH226" s="143"/>
      <c r="BI226" s="143"/>
      <c r="BJ226" s="143"/>
    </row>
    <row r="227" spans="1:62" ht="15.75" customHeight="1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  <c r="AV227" s="143"/>
      <c r="AW227" s="143"/>
      <c r="AX227" s="143"/>
      <c r="AY227" s="143"/>
      <c r="AZ227" s="143"/>
      <c r="BA227" s="143"/>
      <c r="BB227" s="143"/>
      <c r="BC227" s="143"/>
      <c r="BD227" s="143"/>
      <c r="BE227" s="143"/>
      <c r="BF227" s="143"/>
      <c r="BG227" s="143"/>
      <c r="BH227" s="143"/>
      <c r="BI227" s="143"/>
      <c r="BJ227" s="143"/>
    </row>
    <row r="228" spans="1:62" ht="15.75" customHeight="1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  <c r="AI228" s="143"/>
      <c r="AJ228" s="143"/>
      <c r="AK228" s="143"/>
      <c r="AL228" s="143"/>
      <c r="AM228" s="143"/>
      <c r="AN228" s="143"/>
      <c r="AO228" s="143"/>
      <c r="AP228" s="143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  <c r="BC228" s="143"/>
      <c r="BD228" s="143"/>
      <c r="BE228" s="143"/>
      <c r="BF228" s="143"/>
      <c r="BG228" s="143"/>
      <c r="BH228" s="143"/>
      <c r="BI228" s="143"/>
      <c r="BJ228" s="143"/>
    </row>
    <row r="229" spans="1:62" ht="15.75" customHeight="1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  <c r="BC229" s="143"/>
      <c r="BD229" s="143"/>
      <c r="BE229" s="143"/>
      <c r="BF229" s="143"/>
      <c r="BG229" s="143"/>
      <c r="BH229" s="143"/>
      <c r="BI229" s="143"/>
      <c r="BJ229" s="143"/>
    </row>
    <row r="230" spans="1:62" ht="15.75" customHeight="1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  <c r="BC230" s="143"/>
      <c r="BD230" s="143"/>
      <c r="BE230" s="143"/>
      <c r="BF230" s="143"/>
      <c r="BG230" s="143"/>
      <c r="BH230" s="143"/>
      <c r="BI230" s="143"/>
      <c r="BJ230" s="143"/>
    </row>
    <row r="231" spans="1:62" ht="15.75" customHeight="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143"/>
      <c r="AL231" s="143"/>
      <c r="AM231" s="143"/>
      <c r="AN231" s="143"/>
      <c r="AO231" s="143"/>
      <c r="AP231" s="143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  <c r="BC231" s="143"/>
      <c r="BD231" s="143"/>
      <c r="BE231" s="143"/>
      <c r="BF231" s="143"/>
      <c r="BG231" s="143"/>
      <c r="BH231" s="143"/>
      <c r="BI231" s="143"/>
      <c r="BJ231" s="143"/>
    </row>
    <row r="232" spans="1:62" ht="15.75" customHeight="1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  <c r="AI232" s="143"/>
      <c r="AJ232" s="143"/>
      <c r="AK232" s="143"/>
      <c r="AL232" s="143"/>
      <c r="AM232" s="143"/>
      <c r="AN232" s="143"/>
      <c r="AO232" s="143"/>
      <c r="AP232" s="143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  <c r="BC232" s="143"/>
      <c r="BD232" s="143"/>
      <c r="BE232" s="143"/>
      <c r="BF232" s="143"/>
      <c r="BG232" s="143"/>
      <c r="BH232" s="143"/>
      <c r="BI232" s="143"/>
      <c r="BJ232" s="143"/>
    </row>
    <row r="233" spans="1:62" ht="15.75" customHeight="1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  <c r="AI233" s="143"/>
      <c r="AJ233" s="143"/>
      <c r="AK233" s="143"/>
      <c r="AL233" s="143"/>
      <c r="AM233" s="143"/>
      <c r="AN233" s="143"/>
      <c r="AO233" s="143"/>
      <c r="AP233" s="143"/>
      <c r="AQ233" s="143"/>
      <c r="AR233" s="143"/>
      <c r="AS233" s="143"/>
      <c r="AT233" s="143"/>
      <c r="AU233" s="143"/>
      <c r="AV233" s="143"/>
      <c r="AW233" s="143"/>
      <c r="AX233" s="143"/>
      <c r="AY233" s="143"/>
      <c r="AZ233" s="143"/>
      <c r="BA233" s="143"/>
      <c r="BB233" s="143"/>
      <c r="BC233" s="143"/>
      <c r="BD233" s="143"/>
      <c r="BE233" s="143"/>
      <c r="BF233" s="143"/>
      <c r="BG233" s="143"/>
      <c r="BH233" s="143"/>
      <c r="BI233" s="143"/>
      <c r="BJ233" s="143"/>
    </row>
    <row r="234" spans="1:62" ht="15.75" customHeight="1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3"/>
      <c r="AI234" s="143"/>
      <c r="AJ234" s="143"/>
      <c r="AK234" s="143"/>
      <c r="AL234" s="143"/>
      <c r="AM234" s="143"/>
      <c r="AN234" s="143"/>
      <c r="AO234" s="143"/>
      <c r="AP234" s="143"/>
      <c r="AQ234" s="143"/>
      <c r="AR234" s="143"/>
      <c r="AS234" s="143"/>
      <c r="AT234" s="143"/>
      <c r="AU234" s="143"/>
      <c r="AV234" s="143"/>
      <c r="AW234" s="143"/>
      <c r="AX234" s="143"/>
      <c r="AY234" s="143"/>
      <c r="AZ234" s="143"/>
      <c r="BA234" s="143"/>
      <c r="BB234" s="143"/>
      <c r="BC234" s="143"/>
      <c r="BD234" s="143"/>
      <c r="BE234" s="143"/>
      <c r="BF234" s="143"/>
      <c r="BG234" s="143"/>
      <c r="BH234" s="143"/>
      <c r="BI234" s="143"/>
      <c r="BJ234" s="143"/>
    </row>
    <row r="235" spans="1:62" ht="15.75" customHeight="1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  <c r="AI235" s="143"/>
      <c r="AJ235" s="143"/>
      <c r="AK235" s="143"/>
      <c r="AL235" s="143"/>
      <c r="AM235" s="143"/>
      <c r="AN235" s="143"/>
      <c r="AO235" s="143"/>
      <c r="AP235" s="143"/>
      <c r="AQ235" s="143"/>
      <c r="AR235" s="143"/>
      <c r="AS235" s="143"/>
      <c r="AT235" s="143"/>
      <c r="AU235" s="143"/>
      <c r="AV235" s="143"/>
      <c r="AW235" s="143"/>
      <c r="AX235" s="143"/>
      <c r="AY235" s="143"/>
      <c r="AZ235" s="143"/>
      <c r="BA235" s="143"/>
      <c r="BB235" s="143"/>
      <c r="BC235" s="143"/>
      <c r="BD235" s="143"/>
      <c r="BE235" s="143"/>
      <c r="BF235" s="143"/>
      <c r="BG235" s="143"/>
      <c r="BH235" s="143"/>
      <c r="BI235" s="143"/>
      <c r="BJ235" s="143"/>
    </row>
    <row r="236" spans="1:62" ht="15.75" customHeight="1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3"/>
      <c r="AI236" s="143"/>
      <c r="AJ236" s="143"/>
      <c r="AK236" s="143"/>
      <c r="AL236" s="143"/>
      <c r="AM236" s="143"/>
      <c r="AN236" s="143"/>
      <c r="AO236" s="143"/>
      <c r="AP236" s="143"/>
      <c r="AQ236" s="143"/>
      <c r="AR236" s="143"/>
      <c r="AS236" s="143"/>
      <c r="AT236" s="143"/>
      <c r="AU236" s="143"/>
      <c r="AV236" s="143"/>
      <c r="AW236" s="143"/>
      <c r="AX236" s="143"/>
      <c r="AY236" s="143"/>
      <c r="AZ236" s="143"/>
      <c r="BA236" s="143"/>
      <c r="BB236" s="143"/>
      <c r="BC236" s="143"/>
      <c r="BD236" s="143"/>
      <c r="BE236" s="143"/>
      <c r="BF236" s="143"/>
      <c r="BG236" s="143"/>
      <c r="BH236" s="143"/>
      <c r="BI236" s="143"/>
      <c r="BJ236" s="143"/>
    </row>
    <row r="237" spans="1:62" ht="15.75" customHeight="1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143"/>
      <c r="AH237" s="143"/>
      <c r="AI237" s="143"/>
      <c r="AJ237" s="143"/>
      <c r="AK237" s="143"/>
      <c r="AL237" s="143"/>
      <c r="AM237" s="143"/>
      <c r="AN237" s="143"/>
      <c r="AO237" s="143"/>
      <c r="AP237" s="143"/>
      <c r="AQ237" s="143"/>
      <c r="AR237" s="143"/>
      <c r="AS237" s="143"/>
      <c r="AT237" s="143"/>
      <c r="AU237" s="143"/>
      <c r="AV237" s="143"/>
      <c r="AW237" s="143"/>
      <c r="AX237" s="143"/>
      <c r="AY237" s="143"/>
      <c r="AZ237" s="143"/>
      <c r="BA237" s="143"/>
      <c r="BB237" s="143"/>
      <c r="BC237" s="143"/>
      <c r="BD237" s="143"/>
      <c r="BE237" s="143"/>
      <c r="BF237" s="143"/>
      <c r="BG237" s="143"/>
      <c r="BH237" s="143"/>
      <c r="BI237" s="143"/>
      <c r="BJ237" s="143"/>
    </row>
    <row r="238" spans="1:62" ht="15.75" customHeight="1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3"/>
      <c r="AI238" s="143"/>
      <c r="AJ238" s="143"/>
      <c r="AK238" s="143"/>
      <c r="AL238" s="143"/>
      <c r="AM238" s="143"/>
      <c r="AN238" s="143"/>
      <c r="AO238" s="143"/>
      <c r="AP238" s="143"/>
      <c r="AQ238" s="143"/>
      <c r="AR238" s="143"/>
      <c r="AS238" s="143"/>
      <c r="AT238" s="143"/>
      <c r="AU238" s="143"/>
      <c r="AV238" s="143"/>
      <c r="AW238" s="143"/>
      <c r="AX238" s="143"/>
      <c r="AY238" s="143"/>
      <c r="AZ238" s="143"/>
      <c r="BA238" s="143"/>
      <c r="BB238" s="143"/>
      <c r="BC238" s="143"/>
      <c r="BD238" s="143"/>
      <c r="BE238" s="143"/>
      <c r="BF238" s="143"/>
      <c r="BG238" s="143"/>
      <c r="BH238" s="143"/>
      <c r="BI238" s="143"/>
      <c r="BJ238" s="143"/>
    </row>
    <row r="239" spans="1:62" ht="15.75" customHeight="1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  <c r="AM239" s="143"/>
      <c r="AN239" s="143"/>
      <c r="AO239" s="143"/>
      <c r="AP239" s="143"/>
      <c r="AQ239" s="143"/>
      <c r="AR239" s="143"/>
      <c r="AS239" s="143"/>
      <c r="AT239" s="143"/>
      <c r="AU239" s="143"/>
      <c r="AV239" s="143"/>
      <c r="AW239" s="143"/>
      <c r="AX239" s="143"/>
      <c r="AY239" s="143"/>
      <c r="AZ239" s="143"/>
      <c r="BA239" s="143"/>
      <c r="BB239" s="143"/>
      <c r="BC239" s="143"/>
      <c r="BD239" s="143"/>
      <c r="BE239" s="143"/>
      <c r="BF239" s="143"/>
      <c r="BG239" s="143"/>
      <c r="BH239" s="143"/>
      <c r="BI239" s="143"/>
      <c r="BJ239" s="143"/>
    </row>
    <row r="240" spans="1:62" ht="15.75" customHeight="1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3"/>
      <c r="AI240" s="143"/>
      <c r="AJ240" s="143"/>
      <c r="AK240" s="143"/>
      <c r="AL240" s="143"/>
      <c r="AM240" s="143"/>
      <c r="AN240" s="143"/>
      <c r="AO240" s="143"/>
      <c r="AP240" s="143"/>
      <c r="AQ240" s="143"/>
      <c r="AR240" s="143"/>
      <c r="AS240" s="143"/>
      <c r="AT240" s="143"/>
      <c r="AU240" s="143"/>
      <c r="AV240" s="143"/>
      <c r="AW240" s="143"/>
      <c r="AX240" s="143"/>
      <c r="AY240" s="143"/>
      <c r="AZ240" s="143"/>
      <c r="BA240" s="143"/>
      <c r="BB240" s="143"/>
      <c r="BC240" s="143"/>
      <c r="BD240" s="143"/>
      <c r="BE240" s="143"/>
      <c r="BF240" s="143"/>
      <c r="BG240" s="143"/>
      <c r="BH240" s="143"/>
      <c r="BI240" s="143"/>
      <c r="BJ240" s="143"/>
    </row>
    <row r="241" spans="1:62" ht="15.75" customHeight="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143"/>
      <c r="AH241" s="143"/>
      <c r="AI241" s="143"/>
      <c r="AJ241" s="143"/>
      <c r="AK241" s="143"/>
      <c r="AL241" s="143"/>
      <c r="AM241" s="143"/>
      <c r="AN241" s="143"/>
      <c r="AO241" s="143"/>
      <c r="AP241" s="143"/>
      <c r="AQ241" s="143"/>
      <c r="AR241" s="143"/>
      <c r="AS241" s="143"/>
      <c r="AT241" s="143"/>
      <c r="AU241" s="143"/>
      <c r="AV241" s="143"/>
      <c r="AW241" s="143"/>
      <c r="AX241" s="143"/>
      <c r="AY241" s="143"/>
      <c r="AZ241" s="143"/>
      <c r="BA241" s="143"/>
      <c r="BB241" s="143"/>
      <c r="BC241" s="143"/>
      <c r="BD241" s="143"/>
      <c r="BE241" s="143"/>
      <c r="BF241" s="143"/>
      <c r="BG241" s="143"/>
      <c r="BH241" s="143"/>
      <c r="BI241" s="143"/>
      <c r="BJ241" s="143"/>
    </row>
    <row r="242" spans="1:62" ht="15.75" customHeight="1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3"/>
      <c r="AI242" s="143"/>
      <c r="AJ242" s="143"/>
      <c r="AK242" s="143"/>
      <c r="AL242" s="143"/>
      <c r="AM242" s="143"/>
      <c r="AN242" s="143"/>
      <c r="AO242" s="143"/>
      <c r="AP242" s="143"/>
      <c r="AQ242" s="143"/>
      <c r="AR242" s="143"/>
      <c r="AS242" s="143"/>
      <c r="AT242" s="143"/>
      <c r="AU242" s="143"/>
      <c r="AV242" s="143"/>
      <c r="AW242" s="143"/>
      <c r="AX242" s="143"/>
      <c r="AY242" s="143"/>
      <c r="AZ242" s="143"/>
      <c r="BA242" s="143"/>
      <c r="BB242" s="143"/>
      <c r="BC242" s="143"/>
      <c r="BD242" s="143"/>
      <c r="BE242" s="143"/>
      <c r="BF242" s="143"/>
      <c r="BG242" s="143"/>
      <c r="BH242" s="143"/>
      <c r="BI242" s="143"/>
      <c r="BJ242" s="143"/>
    </row>
    <row r="243" spans="1:62" ht="15.75" customHeight="1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  <c r="AI243" s="143"/>
      <c r="AJ243" s="143"/>
      <c r="AK243" s="143"/>
      <c r="AL243" s="143"/>
      <c r="AM243" s="143"/>
      <c r="AN243" s="143"/>
      <c r="AO243" s="143"/>
      <c r="AP243" s="143"/>
      <c r="AQ243" s="143"/>
      <c r="AR243" s="143"/>
      <c r="AS243" s="143"/>
      <c r="AT243" s="143"/>
      <c r="AU243" s="143"/>
      <c r="AV243" s="143"/>
      <c r="AW243" s="143"/>
      <c r="AX243" s="143"/>
      <c r="AY243" s="143"/>
      <c r="AZ243" s="143"/>
      <c r="BA243" s="143"/>
      <c r="BB243" s="143"/>
      <c r="BC243" s="143"/>
      <c r="BD243" s="143"/>
      <c r="BE243" s="143"/>
      <c r="BF243" s="143"/>
      <c r="BG243" s="143"/>
      <c r="BH243" s="143"/>
      <c r="BI243" s="143"/>
      <c r="BJ243" s="143"/>
    </row>
    <row r="244" spans="1:62" ht="15.75" customHeight="1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3"/>
      <c r="AL244" s="143"/>
      <c r="AM244" s="143"/>
      <c r="AN244" s="143"/>
      <c r="AO244" s="143"/>
      <c r="AP244" s="143"/>
      <c r="AQ244" s="143"/>
      <c r="AR244" s="143"/>
      <c r="AS244" s="143"/>
      <c r="AT244" s="143"/>
      <c r="AU244" s="143"/>
      <c r="AV244" s="143"/>
      <c r="AW244" s="143"/>
      <c r="AX244" s="143"/>
      <c r="AY244" s="143"/>
      <c r="AZ244" s="143"/>
      <c r="BA244" s="143"/>
      <c r="BB244" s="143"/>
      <c r="BC244" s="143"/>
      <c r="BD244" s="143"/>
      <c r="BE244" s="143"/>
      <c r="BF244" s="143"/>
      <c r="BG244" s="143"/>
      <c r="BH244" s="143"/>
      <c r="BI244" s="143"/>
      <c r="BJ244" s="143"/>
    </row>
    <row r="245" spans="1:62" ht="15.75" customHeight="1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  <c r="AI245" s="143"/>
      <c r="AJ245" s="143"/>
      <c r="AK245" s="143"/>
      <c r="AL245" s="143"/>
      <c r="AM245" s="143"/>
      <c r="AN245" s="143"/>
      <c r="AO245" s="143"/>
      <c r="AP245" s="143"/>
      <c r="AQ245" s="143"/>
      <c r="AR245" s="143"/>
      <c r="AS245" s="143"/>
      <c r="AT245" s="143"/>
      <c r="AU245" s="143"/>
      <c r="AV245" s="143"/>
      <c r="AW245" s="143"/>
      <c r="AX245" s="143"/>
      <c r="AY245" s="143"/>
      <c r="AZ245" s="143"/>
      <c r="BA245" s="143"/>
      <c r="BB245" s="143"/>
      <c r="BC245" s="143"/>
      <c r="BD245" s="143"/>
      <c r="BE245" s="143"/>
      <c r="BF245" s="143"/>
      <c r="BG245" s="143"/>
      <c r="BH245" s="143"/>
      <c r="BI245" s="143"/>
      <c r="BJ245" s="143"/>
    </row>
    <row r="246" spans="1:62" ht="15.75" customHeight="1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  <c r="AI246" s="143"/>
      <c r="AJ246" s="143"/>
      <c r="AK246" s="143"/>
      <c r="AL246" s="143"/>
      <c r="AM246" s="143"/>
      <c r="AN246" s="143"/>
      <c r="AO246" s="143"/>
      <c r="AP246" s="143"/>
      <c r="AQ246" s="143"/>
      <c r="AR246" s="143"/>
      <c r="AS246" s="143"/>
      <c r="AT246" s="143"/>
      <c r="AU246" s="143"/>
      <c r="AV246" s="143"/>
      <c r="AW246" s="143"/>
      <c r="AX246" s="143"/>
      <c r="AY246" s="143"/>
      <c r="AZ246" s="143"/>
      <c r="BA246" s="143"/>
      <c r="BB246" s="143"/>
      <c r="BC246" s="143"/>
      <c r="BD246" s="143"/>
      <c r="BE246" s="143"/>
      <c r="BF246" s="143"/>
      <c r="BG246" s="143"/>
      <c r="BH246" s="143"/>
      <c r="BI246" s="143"/>
      <c r="BJ246" s="143"/>
    </row>
    <row r="247" spans="1:62" ht="15.75" customHeight="1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3"/>
      <c r="AL247" s="143"/>
      <c r="AM247" s="143"/>
      <c r="AN247" s="143"/>
      <c r="AO247" s="143"/>
      <c r="AP247" s="143"/>
      <c r="AQ247" s="143"/>
      <c r="AR247" s="143"/>
      <c r="AS247" s="143"/>
      <c r="AT247" s="143"/>
      <c r="AU247" s="143"/>
      <c r="AV247" s="143"/>
      <c r="AW247" s="143"/>
      <c r="AX247" s="143"/>
      <c r="AY247" s="143"/>
      <c r="AZ247" s="143"/>
      <c r="BA247" s="143"/>
      <c r="BB247" s="143"/>
      <c r="BC247" s="143"/>
      <c r="BD247" s="143"/>
      <c r="BE247" s="143"/>
      <c r="BF247" s="143"/>
      <c r="BG247" s="143"/>
      <c r="BH247" s="143"/>
      <c r="BI247" s="143"/>
      <c r="BJ247" s="143"/>
    </row>
    <row r="248" spans="1:62" ht="15.75" customHeight="1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  <c r="AI248" s="143"/>
      <c r="AJ248" s="143"/>
      <c r="AK248" s="143"/>
      <c r="AL248" s="143"/>
      <c r="AM248" s="143"/>
      <c r="AN248" s="143"/>
      <c r="AO248" s="143"/>
      <c r="AP248" s="143"/>
      <c r="AQ248" s="143"/>
      <c r="AR248" s="143"/>
      <c r="AS248" s="143"/>
      <c r="AT248" s="143"/>
      <c r="AU248" s="143"/>
      <c r="AV248" s="143"/>
      <c r="AW248" s="143"/>
      <c r="AX248" s="143"/>
      <c r="AY248" s="143"/>
      <c r="AZ248" s="143"/>
      <c r="BA248" s="143"/>
      <c r="BB248" s="143"/>
      <c r="BC248" s="143"/>
      <c r="BD248" s="143"/>
      <c r="BE248" s="143"/>
      <c r="BF248" s="143"/>
      <c r="BG248" s="143"/>
      <c r="BH248" s="143"/>
      <c r="BI248" s="143"/>
      <c r="BJ248" s="143"/>
    </row>
    <row r="249" spans="1:62" ht="15.75" customHeight="1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  <c r="AI249" s="143"/>
      <c r="AJ249" s="143"/>
      <c r="AK249" s="143"/>
      <c r="AL249" s="143"/>
      <c r="AM249" s="143"/>
      <c r="AN249" s="143"/>
      <c r="AO249" s="143"/>
      <c r="AP249" s="143"/>
      <c r="AQ249" s="143"/>
      <c r="AR249" s="143"/>
      <c r="AS249" s="143"/>
      <c r="AT249" s="143"/>
      <c r="AU249" s="143"/>
      <c r="AV249" s="143"/>
      <c r="AW249" s="143"/>
      <c r="AX249" s="143"/>
      <c r="AY249" s="143"/>
      <c r="AZ249" s="143"/>
      <c r="BA249" s="143"/>
      <c r="BB249" s="143"/>
      <c r="BC249" s="143"/>
      <c r="BD249" s="143"/>
      <c r="BE249" s="143"/>
      <c r="BF249" s="143"/>
      <c r="BG249" s="143"/>
      <c r="BH249" s="143"/>
      <c r="BI249" s="143"/>
      <c r="BJ249" s="143"/>
    </row>
    <row r="250" spans="1:62" ht="15.75" customHeight="1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  <c r="AI250" s="143"/>
      <c r="AJ250" s="143"/>
      <c r="AK250" s="143"/>
      <c r="AL250" s="143"/>
      <c r="AM250" s="143"/>
      <c r="AN250" s="143"/>
      <c r="AO250" s="143"/>
      <c r="AP250" s="143"/>
      <c r="AQ250" s="143"/>
      <c r="AR250" s="143"/>
      <c r="AS250" s="143"/>
      <c r="AT250" s="143"/>
      <c r="AU250" s="143"/>
      <c r="AV250" s="143"/>
      <c r="AW250" s="143"/>
      <c r="AX250" s="143"/>
      <c r="AY250" s="143"/>
      <c r="AZ250" s="143"/>
      <c r="BA250" s="143"/>
      <c r="BB250" s="143"/>
      <c r="BC250" s="143"/>
      <c r="BD250" s="143"/>
      <c r="BE250" s="143"/>
      <c r="BF250" s="143"/>
      <c r="BG250" s="143"/>
      <c r="BH250" s="143"/>
      <c r="BI250" s="143"/>
      <c r="BJ250" s="143"/>
    </row>
    <row r="251" spans="1:62" ht="15.75" customHeight="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3"/>
      <c r="AL251" s="143"/>
      <c r="AM251" s="143"/>
      <c r="AN251" s="143"/>
      <c r="AO251" s="143"/>
      <c r="AP251" s="143"/>
      <c r="AQ251" s="143"/>
      <c r="AR251" s="143"/>
      <c r="AS251" s="143"/>
      <c r="AT251" s="143"/>
      <c r="AU251" s="143"/>
      <c r="AV251" s="143"/>
      <c r="AW251" s="143"/>
      <c r="AX251" s="143"/>
      <c r="AY251" s="143"/>
      <c r="AZ251" s="143"/>
      <c r="BA251" s="143"/>
      <c r="BB251" s="143"/>
      <c r="BC251" s="143"/>
      <c r="BD251" s="143"/>
      <c r="BE251" s="143"/>
      <c r="BF251" s="143"/>
      <c r="BG251" s="143"/>
      <c r="BH251" s="143"/>
      <c r="BI251" s="143"/>
      <c r="BJ251" s="143"/>
    </row>
    <row r="252" spans="1:62" ht="15.75" customHeight="1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  <c r="AI252" s="143"/>
      <c r="AJ252" s="143"/>
      <c r="AK252" s="143"/>
      <c r="AL252" s="143"/>
      <c r="AM252" s="143"/>
      <c r="AN252" s="143"/>
      <c r="AO252" s="143"/>
      <c r="AP252" s="143"/>
      <c r="AQ252" s="143"/>
      <c r="AR252" s="143"/>
      <c r="AS252" s="143"/>
      <c r="AT252" s="143"/>
      <c r="AU252" s="143"/>
      <c r="AV252" s="143"/>
      <c r="AW252" s="143"/>
      <c r="AX252" s="143"/>
      <c r="AY252" s="143"/>
      <c r="AZ252" s="143"/>
      <c r="BA252" s="143"/>
      <c r="BB252" s="143"/>
      <c r="BC252" s="143"/>
      <c r="BD252" s="143"/>
      <c r="BE252" s="143"/>
      <c r="BF252" s="143"/>
      <c r="BG252" s="143"/>
      <c r="BH252" s="143"/>
      <c r="BI252" s="143"/>
      <c r="BJ252" s="143"/>
    </row>
    <row r="253" spans="1:62" ht="15.75" customHeight="1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143"/>
      <c r="AH253" s="143"/>
      <c r="AI253" s="143"/>
      <c r="AJ253" s="143"/>
      <c r="AK253" s="143"/>
      <c r="AL253" s="143"/>
      <c r="AM253" s="143"/>
      <c r="AN253" s="143"/>
      <c r="AO253" s="143"/>
      <c r="AP253" s="143"/>
      <c r="AQ253" s="143"/>
      <c r="AR253" s="143"/>
      <c r="AS253" s="143"/>
      <c r="AT253" s="143"/>
      <c r="AU253" s="143"/>
      <c r="AV253" s="143"/>
      <c r="AW253" s="143"/>
      <c r="AX253" s="143"/>
      <c r="AY253" s="143"/>
      <c r="AZ253" s="143"/>
      <c r="BA253" s="143"/>
      <c r="BB253" s="143"/>
      <c r="BC253" s="143"/>
      <c r="BD253" s="143"/>
      <c r="BE253" s="143"/>
      <c r="BF253" s="143"/>
      <c r="BG253" s="143"/>
      <c r="BH253" s="143"/>
      <c r="BI253" s="143"/>
      <c r="BJ253" s="143"/>
    </row>
    <row r="254" spans="1:62" ht="15.75" customHeight="1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3"/>
      <c r="AL254" s="143"/>
      <c r="AM254" s="143"/>
      <c r="AN254" s="143"/>
      <c r="AO254" s="143"/>
      <c r="AP254" s="143"/>
      <c r="AQ254" s="143"/>
      <c r="AR254" s="143"/>
      <c r="AS254" s="143"/>
      <c r="AT254" s="143"/>
      <c r="AU254" s="143"/>
      <c r="AV254" s="143"/>
      <c r="AW254" s="143"/>
      <c r="AX254" s="143"/>
      <c r="AY254" s="143"/>
      <c r="AZ254" s="143"/>
      <c r="BA254" s="143"/>
      <c r="BB254" s="143"/>
      <c r="BC254" s="143"/>
      <c r="BD254" s="143"/>
      <c r="BE254" s="143"/>
      <c r="BF254" s="143"/>
      <c r="BG254" s="143"/>
      <c r="BH254" s="143"/>
      <c r="BI254" s="143"/>
      <c r="BJ254" s="143"/>
    </row>
    <row r="255" spans="1:62" ht="15.75" customHeight="1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  <c r="AI255" s="143"/>
      <c r="AJ255" s="143"/>
      <c r="AK255" s="143"/>
      <c r="AL255" s="143"/>
      <c r="AM255" s="143"/>
      <c r="AN255" s="143"/>
      <c r="AO255" s="143"/>
      <c r="AP255" s="143"/>
      <c r="AQ255" s="143"/>
      <c r="AR255" s="143"/>
      <c r="AS255" s="143"/>
      <c r="AT255" s="143"/>
      <c r="AU255" s="143"/>
      <c r="AV255" s="143"/>
      <c r="AW255" s="143"/>
      <c r="AX255" s="143"/>
      <c r="AY255" s="143"/>
      <c r="AZ255" s="143"/>
      <c r="BA255" s="143"/>
      <c r="BB255" s="143"/>
      <c r="BC255" s="143"/>
      <c r="BD255" s="143"/>
      <c r="BE255" s="143"/>
      <c r="BF255" s="143"/>
      <c r="BG255" s="143"/>
      <c r="BH255" s="143"/>
      <c r="BI255" s="143"/>
      <c r="BJ255" s="143"/>
    </row>
    <row r="256" spans="1:6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O1:Z1"/>
    <mergeCell ref="AA1:AL1"/>
    <mergeCell ref="AM1:AX1"/>
    <mergeCell ref="AY1:BJ1"/>
    <mergeCell ref="C1:N1"/>
  </mergeCell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showGridLines="0" workbookViewId="0">
      <selection activeCell="C16" sqref="C16"/>
    </sheetView>
  </sheetViews>
  <sheetFormatPr baseColWidth="10" defaultColWidth="14.5" defaultRowHeight="15" customHeight="1" x14ac:dyDescent="0"/>
  <cols>
    <col min="1" max="1" width="38.83203125" customWidth="1"/>
    <col min="2" max="6" width="14.5" customWidth="1"/>
  </cols>
  <sheetData>
    <row r="1" spans="1:26" ht="15.75" customHeight="1">
      <c r="A1" s="98" t="s">
        <v>169</v>
      </c>
      <c r="B1" s="99" t="s">
        <v>170</v>
      </c>
      <c r="C1" s="52" t="s">
        <v>172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0" t="s">
        <v>173</v>
      </c>
      <c r="B2" s="101"/>
      <c r="C2" s="279">
        <f>1800</f>
        <v>1800</v>
      </c>
      <c r="D2" s="10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3" t="s">
        <v>179</v>
      </c>
      <c r="B3" s="101"/>
      <c r="C3" s="2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03" t="s">
        <v>193</v>
      </c>
      <c r="B4" s="101" t="e">
        <f>C4*PRINCIPAL!B10/PRINCIPAL!E13</f>
        <v>#DIV/0!</v>
      </c>
      <c r="C4" s="2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98" t="s">
        <v>195</v>
      </c>
      <c r="B5" s="105" t="e">
        <f t="shared" ref="B5:C5" si="0">SUM(B2:B4)</f>
        <v>#DIV/0!</v>
      </c>
      <c r="C5" s="40">
        <f>SUM(C2:C4)</f>
        <v>1800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" t="s">
        <v>197</v>
      </c>
      <c r="B6" s="106"/>
      <c r="C6" s="28">
        <f>B6*PRINCIPAL!$E$13/PRINCIPAL!$B$10</f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61" t="s">
        <v>198</v>
      </c>
      <c r="B9" s="259" t="s">
        <v>200</v>
      </c>
      <c r="C9" s="243"/>
      <c r="D9" s="110" t="s">
        <v>201</v>
      </c>
      <c r="E9" s="110" t="s">
        <v>202</v>
      </c>
      <c r="F9" s="110" t="s">
        <v>203</v>
      </c>
      <c r="G9" s="110" t="s">
        <v>204</v>
      </c>
      <c r="H9" s="110" t="s">
        <v>205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47"/>
      <c r="B10" s="111" t="s">
        <v>206</v>
      </c>
      <c r="C10" s="111" t="s">
        <v>172</v>
      </c>
      <c r="D10" s="111" t="s">
        <v>172</v>
      </c>
      <c r="E10" s="112" t="s">
        <v>172</v>
      </c>
      <c r="F10" s="112" t="s">
        <v>172</v>
      </c>
      <c r="G10" s="112" t="s">
        <v>172</v>
      </c>
      <c r="H10" s="112" t="s">
        <v>172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13" t="s">
        <v>207</v>
      </c>
      <c r="B11" s="114">
        <v>2400</v>
      </c>
      <c r="C11" s="116">
        <f>B11/PRINCIPAL!B10</f>
        <v>36.92307692307692</v>
      </c>
      <c r="D11" s="116">
        <f>B11*(1+PRINCIPAL!E3)/PRINCIPAL!B11*12</f>
        <v>452.11930926216638</v>
      </c>
      <c r="E11" s="116">
        <f>B11*(1+PRINCIPAL!E4)/PRINCIPAL!B12*12</f>
        <v>366.14780471506833</v>
      </c>
      <c r="F11" s="116">
        <f>B11*(1+PRINCIPAL!E5)/PRINCIPAL!B13*12</f>
        <v>303.7562673926235</v>
      </c>
      <c r="G11" s="116">
        <f>B11*(1+PRINCIPAL!E6)/PRINCIPAL!B14*12</f>
        <v>258.29614574202679</v>
      </c>
      <c r="H11" s="116">
        <f>B11*(1+PRINCIPAL!E7)/PRINCIPAL!B15*12</f>
        <v>225.27136380780291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13" t="s">
        <v>209</v>
      </c>
      <c r="B12" s="120"/>
      <c r="C12" s="116"/>
      <c r="D12" s="116">
        <f t="shared" ref="D12:H12" si="1">(D11/12)*2</f>
        <v>75.353218210361064</v>
      </c>
      <c r="E12" s="116">
        <f t="shared" si="1"/>
        <v>61.024634119178053</v>
      </c>
      <c r="F12" s="116">
        <f t="shared" si="1"/>
        <v>50.626044565437248</v>
      </c>
      <c r="G12" s="116">
        <f t="shared" si="1"/>
        <v>43.049357623671135</v>
      </c>
      <c r="H12" s="116">
        <f t="shared" si="1"/>
        <v>37.545227301300486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13" t="s">
        <v>210</v>
      </c>
      <c r="B13" s="120"/>
      <c r="C13" s="116">
        <f>B13/PRINCIPAL!B10</f>
        <v>0</v>
      </c>
      <c r="D13" s="116">
        <f>B13*(1+PRINCIPAL!E3)/PRINCIPAL!B11*12</f>
        <v>0</v>
      </c>
      <c r="E13" s="116">
        <f>B13*(1+PRINCIPAL!E4)/PRINCIPAL!B12*12</f>
        <v>0</v>
      </c>
      <c r="F13" s="116">
        <f>B13*(1+PRINCIPAL!E5)/PRINCIPAL!B13*12</f>
        <v>0</v>
      </c>
      <c r="G13" s="116">
        <f>B13*(1+PRINCIPAL!E6)/PRINCIPAL!B14*12</f>
        <v>0</v>
      </c>
      <c r="H13" s="116">
        <f>B13*(1+PRINCIPAL!E7)/PRINCIPAL!B15*12</f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13" t="s">
        <v>211</v>
      </c>
      <c r="B14" s="120"/>
      <c r="C14" s="116">
        <f>B14/PRINCIPAL!B10</f>
        <v>0</v>
      </c>
      <c r="D14" s="116">
        <f>B14*(1+PRINCIPAL!E3)/PRINCIPAL!B11*12</f>
        <v>0</v>
      </c>
      <c r="E14" s="116">
        <f>B14*(1+PRINCIPAL!E4)/PRINCIPAL!B12*12</f>
        <v>0</v>
      </c>
      <c r="F14" s="116">
        <f>B14*(1+PRINCIPAL!E5)/PRINCIPAL!B13*12</f>
        <v>0</v>
      </c>
      <c r="G14" s="116">
        <f>B14*(1+PRINCIPAL!E6)/PRINCIPAL!B14*12</f>
        <v>0</v>
      </c>
      <c r="H14" s="116">
        <f>B14*(1+PRINCIPAL!E7)/PRINCIPAL!B15*12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21" t="s">
        <v>214</v>
      </c>
      <c r="B15" s="122">
        <f t="shared" ref="B15:H15" si="2">SUM(B11:B14)</f>
        <v>2400</v>
      </c>
      <c r="C15" s="122">
        <f t="shared" si="2"/>
        <v>36.92307692307692</v>
      </c>
      <c r="D15" s="122">
        <f t="shared" si="2"/>
        <v>527.47252747252742</v>
      </c>
      <c r="E15" s="122">
        <f t="shared" si="2"/>
        <v>427.17243883424641</v>
      </c>
      <c r="F15" s="122">
        <f t="shared" si="2"/>
        <v>354.38231195806077</v>
      </c>
      <c r="G15" s="122">
        <f t="shared" si="2"/>
        <v>301.34550336569794</v>
      </c>
      <c r="H15" s="122">
        <f t="shared" si="2"/>
        <v>262.8165911091034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60" t="s">
        <v>216</v>
      </c>
      <c r="B17" s="24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" t="s">
        <v>217</v>
      </c>
      <c r="B18" s="1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" t="s">
        <v>218</v>
      </c>
      <c r="B19" s="114">
        <f>B18*0.3206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" t="s">
        <v>219</v>
      </c>
      <c r="B20" s="114">
        <f>B18*0.027</f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" t="s">
        <v>221</v>
      </c>
      <c r="B21" s="114">
        <f>B18/360*15</f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2" t="s">
        <v>222</v>
      </c>
      <c r="B22" s="123">
        <f>SUM(B18:B21)</f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6" t="s">
        <v>223</v>
      </c>
      <c r="B23" s="124">
        <f>B22*2</f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9:C9"/>
    <mergeCell ref="A17:B17"/>
    <mergeCell ref="A9:A10"/>
  </mergeCell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showGridLines="0" tabSelected="1" topLeftCell="A8" workbookViewId="0">
      <selection activeCell="D39" sqref="D39"/>
    </sheetView>
  </sheetViews>
  <sheetFormatPr baseColWidth="10" defaultColWidth="14.5" defaultRowHeight="15" customHeight="1" x14ac:dyDescent="0"/>
  <cols>
    <col min="1" max="1" width="4.83203125" customWidth="1"/>
    <col min="2" max="2" width="25.1640625" customWidth="1"/>
    <col min="3" max="3" width="36.1640625" customWidth="1"/>
    <col min="4" max="4" width="30.83203125" bestFit="1" customWidth="1"/>
    <col min="5" max="5" width="18.6640625" bestFit="1" customWidth="1"/>
    <col min="6" max="6" width="18.33203125" bestFit="1" customWidth="1"/>
    <col min="7" max="7" width="22.5" customWidth="1"/>
    <col min="9" max="9" width="26.6640625" customWidth="1"/>
    <col min="10" max="10" width="15.6640625" customWidth="1"/>
  </cols>
  <sheetData>
    <row r="1" spans="1:26" ht="15.75" customHeight="1">
      <c r="A1" s="125"/>
      <c r="B1" s="126" t="s">
        <v>226</v>
      </c>
      <c r="C1" s="127" t="s">
        <v>227</v>
      </c>
      <c r="D1" s="125"/>
      <c r="E1" s="125"/>
      <c r="F1" s="128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.75" customHeight="1">
      <c r="A2" s="125"/>
      <c r="B2" s="126"/>
      <c r="C2" s="129">
        <v>0.1115</v>
      </c>
      <c r="D2" s="125"/>
      <c r="E2" s="125"/>
      <c r="F2" s="128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5.75" customHeight="1">
      <c r="A3" s="125"/>
      <c r="B3" s="130" t="s">
        <v>228</v>
      </c>
      <c r="C3" s="130" t="s">
        <v>229</v>
      </c>
      <c r="D3" s="130" t="s">
        <v>230</v>
      </c>
      <c r="E3" s="130" t="s">
        <v>231</v>
      </c>
      <c r="F3" s="131" t="s">
        <v>232</v>
      </c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5.75" customHeight="1">
      <c r="A4" s="1"/>
      <c r="B4" s="132" t="s">
        <v>453</v>
      </c>
      <c r="C4" s="132" t="s">
        <v>454</v>
      </c>
      <c r="D4" s="133">
        <v>65</v>
      </c>
      <c r="E4" s="134">
        <f>D4*0.7</f>
        <v>45.5</v>
      </c>
      <c r="F4" s="28">
        <f>E4/PRINCIPAL!$B$10</f>
        <v>0.7</v>
      </c>
      <c r="G4" s="1"/>
      <c r="H4" s="262" t="s">
        <v>233</v>
      </c>
      <c r="I4" s="263"/>
      <c r="J4" s="26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32" t="s">
        <v>457</v>
      </c>
      <c r="C5" s="132" t="s">
        <v>454</v>
      </c>
      <c r="D5" s="133">
        <v>65</v>
      </c>
      <c r="E5" s="134">
        <f>D5*0.7</f>
        <v>45.5</v>
      </c>
      <c r="F5" s="28">
        <f>E5/PRINCIPAL!$B$10</f>
        <v>0.7</v>
      </c>
      <c r="G5" s="1"/>
      <c r="H5" s="135"/>
      <c r="I5" s="135"/>
      <c r="J5" s="135"/>
      <c r="K5" s="13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2" t="s">
        <v>456</v>
      </c>
      <c r="C6" s="132" t="s">
        <v>455</v>
      </c>
      <c r="D6" s="133">
        <v>110</v>
      </c>
      <c r="E6" s="134">
        <f>D6*0.7</f>
        <v>77</v>
      </c>
      <c r="F6" s="28">
        <f>E6/PRINCIPAL!$B$10</f>
        <v>1.1846153846153846</v>
      </c>
      <c r="G6" s="1"/>
      <c r="H6" s="136" t="s">
        <v>234</v>
      </c>
      <c r="I6" s="137"/>
      <c r="J6" s="138" t="e">
        <f>C31/1000*60</f>
        <v>#DIV/0!</v>
      </c>
      <c r="K6" s="139" t="e">
        <f>J6/PRINCIPAL!B11</f>
        <v>#DIV/0!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32" t="s">
        <v>451</v>
      </c>
      <c r="C7" s="132" t="s">
        <v>458</v>
      </c>
      <c r="D7" s="133">
        <v>9.2799999999999994</v>
      </c>
      <c r="E7" s="134">
        <f>D7*0.11</f>
        <v>1.0207999999999999</v>
      </c>
      <c r="F7" s="28">
        <f>E7/PRINCIPAL!$B$10</f>
        <v>1.5704615384615383E-2</v>
      </c>
      <c r="G7" s="1"/>
      <c r="H7" s="140" t="s">
        <v>236</v>
      </c>
      <c r="I7" s="141"/>
      <c r="J7" s="138" t="e">
        <f>J6*(1+PRINCIPAL!E3)</f>
        <v>#DIV/0!</v>
      </c>
      <c r="K7" s="139" t="e">
        <f>J7/PRINCIPAL!B12</f>
        <v>#DIV/0!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32" t="s">
        <v>452</v>
      </c>
      <c r="C8" s="132"/>
      <c r="D8" s="133">
        <v>3.11</v>
      </c>
      <c r="E8" s="134">
        <f>D8*3</f>
        <v>9.33</v>
      </c>
      <c r="F8" s="28">
        <f>E8/PRINCIPAL!$B$10</f>
        <v>0.14353846153846153</v>
      </c>
      <c r="G8" s="1"/>
      <c r="H8" s="140" t="s">
        <v>239</v>
      </c>
      <c r="I8" s="141"/>
      <c r="J8" s="138" t="e">
        <f>J7*(1+PRINCIPAL!E4)</f>
        <v>#DIV/0!</v>
      </c>
      <c r="K8" s="139" t="e">
        <f>J8/PRINCIPAL!B13</f>
        <v>#DIV/0!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32" t="s">
        <v>241</v>
      </c>
      <c r="C9" s="132"/>
      <c r="D9" s="133"/>
      <c r="E9" s="134">
        <f t="shared" ref="E8:E12" si="0">D9*$B$2</f>
        <v>0</v>
      </c>
      <c r="F9" s="28">
        <f>E9/PRINCIPAL!$B$10</f>
        <v>0</v>
      </c>
      <c r="G9" s="1"/>
      <c r="H9" s="140" t="s">
        <v>243</v>
      </c>
      <c r="I9" s="141"/>
      <c r="J9" s="138" t="e">
        <f>J8*(1+PRINCIPAL!E5)</f>
        <v>#DIV/0!</v>
      </c>
      <c r="K9" s="139" t="e">
        <f>J9/PRINCIPAL!B14</f>
        <v>#DIV/0!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32" t="s">
        <v>244</v>
      </c>
      <c r="C10" s="132" t="s">
        <v>245</v>
      </c>
      <c r="D10" s="133"/>
      <c r="E10" s="134">
        <f t="shared" si="0"/>
        <v>0</v>
      </c>
      <c r="F10" s="28">
        <f>E10/PRINCIPAL!$B$10</f>
        <v>0</v>
      </c>
      <c r="G10" s="1"/>
      <c r="H10" s="140" t="s">
        <v>247</v>
      </c>
      <c r="I10" s="141"/>
      <c r="J10" s="138" t="e">
        <f>J9*(1+PRINCIPAL!E6)</f>
        <v>#DIV/0!</v>
      </c>
      <c r="K10" s="139" t="e">
        <f>J10/PRINCIPAL!B15</f>
        <v>#DIV/0!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32" t="s">
        <v>250</v>
      </c>
      <c r="C11" s="132" t="s">
        <v>251</v>
      </c>
      <c r="D11" s="133"/>
      <c r="E11" s="134">
        <f t="shared" si="0"/>
        <v>0</v>
      </c>
      <c r="F11" s="28">
        <f>E11/PRINCIPAL!$B$10</f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32" t="s">
        <v>253</v>
      </c>
      <c r="C12" s="132" t="s">
        <v>254</v>
      </c>
      <c r="D12" s="133"/>
      <c r="E12" s="134">
        <f>D12*$B$2</f>
        <v>0</v>
      </c>
      <c r="F12" s="28">
        <f>E12/PRINCIPAL!$B$10</f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32" t="s">
        <v>255</v>
      </c>
      <c r="C13" s="132" t="s">
        <v>256</v>
      </c>
      <c r="D13" s="133"/>
      <c r="E13" s="134"/>
      <c r="F13" s="28">
        <f>E13/PRINCIPAL!$B$10</f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32" t="s">
        <v>257</v>
      </c>
      <c r="C14" s="132" t="s">
        <v>258</v>
      </c>
      <c r="D14" s="133"/>
      <c r="E14" s="134">
        <f>D14*B2</f>
        <v>0</v>
      </c>
      <c r="F14" s="28">
        <f>E14/PRINCIPAL!$B$10</f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32" t="s">
        <v>260</v>
      </c>
      <c r="C15" s="132" t="s">
        <v>261</v>
      </c>
      <c r="D15" s="133" t="s">
        <v>131</v>
      </c>
      <c r="E15" s="134" t="s">
        <v>131</v>
      </c>
      <c r="F15" s="2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32" t="s">
        <v>262</v>
      </c>
      <c r="C16" s="132" t="s">
        <v>263</v>
      </c>
      <c r="D16" s="133"/>
      <c r="E16" s="134"/>
      <c r="F16" s="28">
        <f>E16/PRINCIPAL!$B$10</f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32" t="s">
        <v>264</v>
      </c>
      <c r="C17" s="132" t="s">
        <v>265</v>
      </c>
      <c r="D17" s="133"/>
      <c r="E17" s="134">
        <f>D17*B2</f>
        <v>0</v>
      </c>
      <c r="F17" s="28">
        <f>E17/PRINCIPAL!$B$10</f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2" t="s">
        <v>459</v>
      </c>
      <c r="C18" s="132" t="s">
        <v>460</v>
      </c>
      <c r="D18" s="133">
        <f>1.9*69</f>
        <v>131.1</v>
      </c>
      <c r="E18" s="134">
        <f>D18*1</f>
        <v>131.1</v>
      </c>
      <c r="F18" s="28">
        <f>E18/PRINCIPAL!$B$10</f>
        <v>2.016923076923077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32" t="s">
        <v>461</v>
      </c>
      <c r="C19" s="132" t="s">
        <v>131</v>
      </c>
      <c r="D19" s="133"/>
      <c r="E19" s="134">
        <f>D19*B2</f>
        <v>0</v>
      </c>
      <c r="F19" s="28">
        <f>E19/PRINCIPAL!$B$10</f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32"/>
      <c r="C20" s="132"/>
      <c r="D20" s="133"/>
      <c r="E20" s="134"/>
      <c r="F20" s="28">
        <f>E20/PRINCIPAL!$B$10</f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32"/>
      <c r="C21" s="132" t="s">
        <v>131</v>
      </c>
      <c r="D21" s="133"/>
      <c r="E21" s="134">
        <f>D21*B2</f>
        <v>0</v>
      </c>
      <c r="F21" s="28">
        <f>E21/PRINCIPAL!$B$10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52" t="s">
        <v>269</v>
      </c>
      <c r="C22" s="6"/>
      <c r="D22" s="156"/>
      <c r="E22" s="158">
        <f>SUM(E4:E21)</f>
        <v>309.45080000000002</v>
      </c>
      <c r="F22" s="40">
        <f>E22/PRINCIPAL!$B$10</f>
        <v>4.7607815384615391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4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65" t="s">
        <v>271</v>
      </c>
      <c r="C24" s="250"/>
      <c r="D24" s="243"/>
      <c r="E24" s="1"/>
      <c r="F24" s="14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32" t="s">
        <v>273</v>
      </c>
      <c r="C25" s="163">
        <f>B2</f>
        <v>0</v>
      </c>
      <c r="D25" s="163">
        <v>1500</v>
      </c>
      <c r="E25" s="1"/>
      <c r="F25" s="14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32" t="s">
        <v>227</v>
      </c>
      <c r="C26" s="165">
        <v>0.1115</v>
      </c>
      <c r="D26" s="165">
        <v>0.1115</v>
      </c>
      <c r="E26" s="1"/>
      <c r="F26" s="14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32" t="s">
        <v>276</v>
      </c>
      <c r="C27" s="167" t="e">
        <f t="shared" ref="C27:D27" si="1">C25/C28</f>
        <v>#DIV/0!</v>
      </c>
      <c r="D27" s="167" t="e">
        <f t="shared" si="1"/>
        <v>#DIV/0!</v>
      </c>
      <c r="E27" s="1"/>
      <c r="F27" s="14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32" t="s">
        <v>277</v>
      </c>
      <c r="C28" s="169">
        <f>C25*C26</f>
        <v>0</v>
      </c>
      <c r="D28" s="163">
        <f>C25*D26</f>
        <v>0</v>
      </c>
      <c r="E28" s="1"/>
      <c r="F28" s="14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32" t="s">
        <v>279</v>
      </c>
      <c r="C29" s="134">
        <f t="shared" ref="C29:D29" si="2">E22</f>
        <v>309.45080000000002</v>
      </c>
      <c r="D29" s="172">
        <f t="shared" si="2"/>
        <v>4.7607815384615391</v>
      </c>
      <c r="E29" s="1"/>
      <c r="F29" s="14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74" t="s">
        <v>268</v>
      </c>
      <c r="C30" s="176">
        <v>0.05</v>
      </c>
      <c r="D30" s="176">
        <f>C30</f>
        <v>0.05</v>
      </c>
      <c r="E30" s="1"/>
      <c r="F30" s="14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77" t="s">
        <v>281</v>
      </c>
      <c r="C31" s="178" t="e">
        <f t="shared" ref="C31:D31" si="3">C29/C28</f>
        <v>#DIV/0!</v>
      </c>
      <c r="D31" s="180" t="e">
        <f t="shared" si="3"/>
        <v>#DIV/0!</v>
      </c>
      <c r="E31" s="1"/>
      <c r="F31" s="14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4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4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4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4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4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4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4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4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4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4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4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4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4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4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4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4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4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4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4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4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4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4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4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4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4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4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4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4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4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4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4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4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4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4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4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4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4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4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4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4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4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4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4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4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4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4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4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4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4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4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4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4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4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4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4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4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4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4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4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4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4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4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4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4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4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4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4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4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4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4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4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4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4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4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4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4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4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4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4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4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4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4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4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4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4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4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4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4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4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4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4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4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4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4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4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4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4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4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4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4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4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4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4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4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4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4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4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4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4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4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4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4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4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4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4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4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4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4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4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4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4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4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4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4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4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4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4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4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4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4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4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4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4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4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4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4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4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4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4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4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4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4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4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4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4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4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4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4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4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4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4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4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4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4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4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4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4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4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4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4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4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4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4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4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4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4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4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4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4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4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4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4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4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4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4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4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4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4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4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4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4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4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4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4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4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4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4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4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4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4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4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4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4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4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4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4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4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4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4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4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4:J4"/>
    <mergeCell ref="B24:D24"/>
  </mergeCell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0"/>
  <sheetViews>
    <sheetView showGridLines="0" workbookViewId="0">
      <selection activeCell="C4" sqref="C4"/>
    </sheetView>
  </sheetViews>
  <sheetFormatPr baseColWidth="10" defaultColWidth="14.5" defaultRowHeight="15" customHeight="1" x14ac:dyDescent="0"/>
  <cols>
    <col min="1" max="1" width="3" customWidth="1"/>
    <col min="2" max="2" width="41.83203125" customWidth="1"/>
    <col min="3" max="5" width="14.5" customWidth="1"/>
    <col min="6" max="6" width="45.1640625" customWidth="1"/>
  </cols>
  <sheetData>
    <row r="1" spans="1:27" ht="11.25" customHeight="1">
      <c r="A1" s="1"/>
      <c r="B1" s="1"/>
      <c r="C1" s="1"/>
      <c r="D1" s="125"/>
      <c r="E1" s="125"/>
      <c r="F1" s="125"/>
      <c r="G1" s="142"/>
      <c r="H1" s="1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"/>
      <c r="B2" s="6"/>
      <c r="C2" s="266" t="s">
        <v>165</v>
      </c>
      <c r="D2" s="243"/>
      <c r="E2" s="1"/>
      <c r="F2" s="267"/>
      <c r="G2" s="268"/>
      <c r="H2" s="14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44"/>
      <c r="B3" s="145" t="s">
        <v>246</v>
      </c>
      <c r="C3" s="146" t="s">
        <v>206</v>
      </c>
      <c r="D3" s="146" t="s">
        <v>172</v>
      </c>
      <c r="E3" s="1"/>
      <c r="F3" s="266" t="s">
        <v>249</v>
      </c>
      <c r="G3" s="250"/>
      <c r="H3" s="24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47"/>
      <c r="B4" s="148" t="s">
        <v>252</v>
      </c>
      <c r="C4" s="149">
        <f>'Inversion Inicial '!C18</f>
        <v>1806608.0349999999</v>
      </c>
      <c r="D4" s="151">
        <f>'Inversion Inicial '!D17</f>
        <v>27352.814668330233</v>
      </c>
      <c r="E4" s="1"/>
      <c r="F4" s="148"/>
      <c r="G4" s="152" t="s">
        <v>206</v>
      </c>
      <c r="H4" s="153" t="s">
        <v>172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144"/>
      <c r="B5" s="154" t="s">
        <v>267</v>
      </c>
      <c r="C5" s="155">
        <f t="shared" ref="C5:D5" si="0">C4</f>
        <v>1806608.0349999999</v>
      </c>
      <c r="D5" s="157">
        <f t="shared" si="0"/>
        <v>27352.814668330233</v>
      </c>
      <c r="E5" s="1"/>
      <c r="F5" s="154" t="s">
        <v>270</v>
      </c>
      <c r="G5" s="159">
        <f>H5*PRINCIPAL!B10</f>
        <v>1403350</v>
      </c>
      <c r="H5" s="160">
        <v>21590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1"/>
      <c r="B6" s="135"/>
      <c r="C6" s="135"/>
      <c r="D6" s="135"/>
      <c r="E6" s="1"/>
      <c r="F6" s="154" t="s">
        <v>272</v>
      </c>
      <c r="G6" s="159">
        <f>H6*PRINCIPAL!B10</f>
        <v>97500</v>
      </c>
      <c r="H6" s="160">
        <v>1500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161"/>
      <c r="B7" s="162" t="s">
        <v>274</v>
      </c>
      <c r="C7" s="164" t="s">
        <v>206</v>
      </c>
      <c r="D7" s="164" t="s">
        <v>172</v>
      </c>
      <c r="E7" s="1"/>
      <c r="F7" s="154" t="s">
        <v>275</v>
      </c>
      <c r="G7" s="166">
        <f t="shared" ref="G7:H7" si="1">G5+G6</f>
        <v>1500850</v>
      </c>
      <c r="H7" s="168">
        <f t="shared" si="1"/>
        <v>23090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170"/>
      <c r="B8" s="171" t="s">
        <v>278</v>
      </c>
      <c r="C8" s="173">
        <f t="shared" ref="C8:D8" si="2">C5</f>
        <v>1806608.0349999999</v>
      </c>
      <c r="D8" s="175">
        <f t="shared" si="2"/>
        <v>27352.814668330233</v>
      </c>
      <c r="E8" s="1"/>
      <c r="F8" s="148" t="s">
        <v>280</v>
      </c>
      <c r="G8" s="166">
        <f t="shared" ref="G8:H8" si="3">G7*0.02</f>
        <v>30017</v>
      </c>
      <c r="H8" s="168">
        <f t="shared" si="3"/>
        <v>461.8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170"/>
      <c r="B9" s="171" t="s">
        <v>282</v>
      </c>
      <c r="C9" s="179">
        <f>C4*C18</f>
        <v>180660.80350000001</v>
      </c>
      <c r="D9" s="181">
        <f>D4/10</f>
        <v>2735.2814668330234</v>
      </c>
      <c r="E9" s="1"/>
      <c r="F9" s="148" t="s">
        <v>283</v>
      </c>
      <c r="G9" s="166">
        <v>0</v>
      </c>
      <c r="H9" s="168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170"/>
      <c r="B10" s="171" t="s">
        <v>284</v>
      </c>
      <c r="C10" s="179">
        <f t="shared" ref="C10:D10" si="4">C9*5</f>
        <v>903304.01750000007</v>
      </c>
      <c r="D10" s="181">
        <f t="shared" si="4"/>
        <v>13676.407334165116</v>
      </c>
      <c r="E10" s="1"/>
      <c r="F10" s="148" t="s">
        <v>285</v>
      </c>
      <c r="G10" s="166">
        <v>0</v>
      </c>
      <c r="H10" s="168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161"/>
      <c r="B11" s="182" t="s">
        <v>286</v>
      </c>
      <c r="C11" s="183">
        <f t="shared" ref="C11:D11" si="5">C8-C10</f>
        <v>903304.01749999984</v>
      </c>
      <c r="D11" s="181">
        <f t="shared" si="5"/>
        <v>13676.407334165116</v>
      </c>
      <c r="E11" s="1"/>
      <c r="F11" s="148" t="s">
        <v>287</v>
      </c>
      <c r="G11" s="166">
        <f t="shared" ref="G11:H11" si="6">G8+G7+G9+G10</f>
        <v>1530867</v>
      </c>
      <c r="H11" s="168">
        <f t="shared" si="6"/>
        <v>23551.8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70"/>
      <c r="B12" s="171" t="s">
        <v>289</v>
      </c>
      <c r="C12" s="179">
        <v>0</v>
      </c>
      <c r="D12" s="181">
        <v>0</v>
      </c>
      <c r="E12" s="1"/>
      <c r="F12" s="154" t="s">
        <v>290</v>
      </c>
      <c r="G12" s="184"/>
      <c r="H12" s="16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70"/>
      <c r="B13" s="171" t="s">
        <v>291</v>
      </c>
      <c r="C13" s="179">
        <f t="shared" ref="C13:D13" si="7">C11-C12</f>
        <v>903304.01749999984</v>
      </c>
      <c r="D13" s="181">
        <f t="shared" si="7"/>
        <v>13676.407334165116</v>
      </c>
      <c r="E13" s="1"/>
      <c r="F13" s="148" t="s">
        <v>292</v>
      </c>
      <c r="G13" s="166">
        <f t="shared" ref="G13:H13" si="8">G11*0.105</f>
        <v>160741.035</v>
      </c>
      <c r="H13" s="168">
        <f t="shared" si="8"/>
        <v>2472.9389999999999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70"/>
      <c r="B14" s="171" t="s">
        <v>293</v>
      </c>
      <c r="C14" s="179">
        <f t="shared" ref="C14:D14" si="9">C12-C13</f>
        <v>-903304.01749999984</v>
      </c>
      <c r="D14" s="181">
        <f t="shared" si="9"/>
        <v>-13676.407334165116</v>
      </c>
      <c r="E14" s="1"/>
      <c r="F14" s="148" t="s">
        <v>294</v>
      </c>
      <c r="G14" s="166">
        <v>0</v>
      </c>
      <c r="H14" s="168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70"/>
      <c r="B15" s="171" t="s">
        <v>295</v>
      </c>
      <c r="C15" s="179">
        <f>-C14*C19</f>
        <v>316156.40612499992</v>
      </c>
      <c r="D15" s="181">
        <f>-D14*C19</f>
        <v>4786.7425669577906</v>
      </c>
      <c r="E15" s="1"/>
      <c r="F15" s="148" t="s">
        <v>296</v>
      </c>
      <c r="G15" s="166">
        <v>0</v>
      </c>
      <c r="H15" s="168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61"/>
      <c r="B16" s="182" t="s">
        <v>125</v>
      </c>
      <c r="C16" s="183">
        <f t="shared" ref="C16:D16" si="10">C12+C15</f>
        <v>316156.40612499992</v>
      </c>
      <c r="D16" s="181">
        <f t="shared" si="10"/>
        <v>4786.7425669577906</v>
      </c>
      <c r="E16" s="1"/>
      <c r="F16" s="148" t="s">
        <v>297</v>
      </c>
      <c r="G16" s="166">
        <v>0</v>
      </c>
      <c r="H16" s="168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/>
      <c r="B17" s="135"/>
      <c r="C17" s="135"/>
      <c r="D17" s="1"/>
      <c r="E17" s="1"/>
      <c r="F17" s="148" t="s">
        <v>298</v>
      </c>
      <c r="G17" s="166">
        <v>0</v>
      </c>
      <c r="H17" s="168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47"/>
      <c r="B18" s="185" t="s">
        <v>299</v>
      </c>
      <c r="C18" s="186">
        <v>0.1</v>
      </c>
      <c r="D18" s="1"/>
      <c r="E18" s="1"/>
      <c r="F18" s="148" t="s">
        <v>300</v>
      </c>
      <c r="G18" s="166">
        <v>15000</v>
      </c>
      <c r="H18" s="28">
        <f>G18/PRINCIPAL!B10</f>
        <v>230.76923076923077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47"/>
      <c r="B19" s="185" t="s">
        <v>301</v>
      </c>
      <c r="C19" s="186">
        <v>0.35</v>
      </c>
      <c r="D19" s="1"/>
      <c r="E19" s="1"/>
      <c r="F19" s="148" t="s">
        <v>302</v>
      </c>
      <c r="G19" s="166">
        <v>30000</v>
      </c>
      <c r="H19" s="28">
        <f>G19/PRINCIPAL!B11</f>
        <v>373.77588397996561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1"/>
      <c r="C20" s="1"/>
      <c r="D20" s="1"/>
      <c r="E20" s="1"/>
      <c r="F20" s="148" t="s">
        <v>303</v>
      </c>
      <c r="G20" s="166">
        <v>70000</v>
      </c>
      <c r="H20" s="28">
        <f>G20/PRINCIPAL!B12</f>
        <v>723.53055358104064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"/>
      <c r="C21" s="1"/>
      <c r="D21" s="1"/>
      <c r="E21" s="1"/>
      <c r="F21" s="145" t="s">
        <v>304</v>
      </c>
      <c r="G21" s="187">
        <f t="shared" ref="G21:H21" si="11">SUM(G11:G20)</f>
        <v>1806608.0349999999</v>
      </c>
      <c r="H21" s="40">
        <f t="shared" si="11"/>
        <v>27352.814668330233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1"/>
      <c r="E22" s="1"/>
      <c r="F22" s="1"/>
      <c r="G22" s="188"/>
      <c r="H22" s="14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1"/>
      <c r="D23" s="1"/>
      <c r="E23" s="1"/>
      <c r="F23" s="1"/>
      <c r="G23" s="188"/>
      <c r="H23" s="14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1"/>
      <c r="E24" s="1"/>
      <c r="F24" s="1"/>
      <c r="G24" s="188"/>
      <c r="H24" s="14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1"/>
      <c r="D25" s="1"/>
      <c r="E25" s="1"/>
      <c r="F25" s="1"/>
      <c r="G25" s="188"/>
      <c r="H25" s="14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88"/>
      <c r="H26" s="14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88"/>
      <c r="H27" s="14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88"/>
      <c r="H28" s="14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88"/>
      <c r="H29" s="14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88"/>
      <c r="H30" s="14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88"/>
      <c r="H31" s="14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88"/>
      <c r="H32" s="14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88"/>
      <c r="H33" s="14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88"/>
      <c r="H34" s="14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88"/>
      <c r="H35" s="14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88"/>
      <c r="H36" s="14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88"/>
      <c r="H37" s="14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88"/>
      <c r="H38" s="14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88"/>
      <c r="H39" s="14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88"/>
      <c r="H40" s="14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88"/>
      <c r="H41" s="14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88"/>
      <c r="H42" s="14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88"/>
      <c r="H43" s="14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88"/>
      <c r="H44" s="14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88"/>
      <c r="H45" s="14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88"/>
      <c r="H46" s="14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88"/>
      <c r="H47" s="14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88"/>
      <c r="H48" s="14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88"/>
      <c r="H49" s="14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88"/>
      <c r="H50" s="14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88"/>
      <c r="H51" s="14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88"/>
      <c r="H52" s="14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88"/>
      <c r="H53" s="14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88"/>
      <c r="H54" s="14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88"/>
      <c r="H55" s="14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88"/>
      <c r="H56" s="14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88"/>
      <c r="H57" s="14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88"/>
      <c r="H58" s="14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88"/>
      <c r="H59" s="14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88"/>
      <c r="H60" s="14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88"/>
      <c r="H61" s="14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88"/>
      <c r="H62" s="14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88"/>
      <c r="H63" s="14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88"/>
      <c r="H64" s="14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88"/>
      <c r="H65" s="14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88"/>
      <c r="H66" s="14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88"/>
      <c r="H67" s="14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88"/>
      <c r="H68" s="14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88"/>
      <c r="H69" s="14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88"/>
      <c r="H70" s="14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88"/>
      <c r="H71" s="14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88"/>
      <c r="H72" s="14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88"/>
      <c r="H73" s="14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88"/>
      <c r="H74" s="14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88"/>
      <c r="H75" s="14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88"/>
      <c r="H76" s="14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88"/>
      <c r="H77" s="14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88"/>
      <c r="H78" s="14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88"/>
      <c r="H79" s="14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88"/>
      <c r="H80" s="14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88"/>
      <c r="H81" s="14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88"/>
      <c r="H82" s="14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88"/>
      <c r="H83" s="14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88"/>
      <c r="H84" s="14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88"/>
      <c r="H85" s="14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88"/>
      <c r="H86" s="14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88"/>
      <c r="H87" s="14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88"/>
      <c r="H88" s="14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88"/>
      <c r="H89" s="14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88"/>
      <c r="H90" s="14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88"/>
      <c r="H91" s="14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88"/>
      <c r="H92" s="14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88"/>
      <c r="H93" s="14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88"/>
      <c r="H94" s="14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88"/>
      <c r="H95" s="14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88"/>
      <c r="H96" s="14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88"/>
      <c r="H97" s="14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88"/>
      <c r="H98" s="14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88"/>
      <c r="H99" s="14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88"/>
      <c r="H100" s="14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88"/>
      <c r="H101" s="14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88"/>
      <c r="H102" s="14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88"/>
      <c r="H103" s="14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88"/>
      <c r="H104" s="14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88"/>
      <c r="H105" s="14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88"/>
      <c r="H106" s="14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88"/>
      <c r="H107" s="14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88"/>
      <c r="H108" s="14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88"/>
      <c r="H109" s="14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88"/>
      <c r="H110" s="14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88"/>
      <c r="H111" s="14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88"/>
      <c r="H112" s="14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88"/>
      <c r="H113" s="14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88"/>
      <c r="H114" s="14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88"/>
      <c r="H115" s="14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88"/>
      <c r="H116" s="14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88"/>
      <c r="H117" s="14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88"/>
      <c r="H118" s="14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88"/>
      <c r="H119" s="14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88"/>
      <c r="H120" s="14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88"/>
      <c r="H121" s="14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88"/>
      <c r="H122" s="14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88"/>
      <c r="H123" s="14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88"/>
      <c r="H124" s="14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88"/>
      <c r="H125" s="14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88"/>
      <c r="H126" s="14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88"/>
      <c r="H127" s="14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88"/>
      <c r="H128" s="14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88"/>
      <c r="H129" s="14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88"/>
      <c r="H130" s="14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88"/>
      <c r="H131" s="14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88"/>
      <c r="H132" s="14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88"/>
      <c r="H133" s="14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88"/>
      <c r="H134" s="14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88"/>
      <c r="H135" s="14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88"/>
      <c r="H136" s="14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88"/>
      <c r="H137" s="14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88"/>
      <c r="H138" s="14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88"/>
      <c r="H139" s="14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88"/>
      <c r="H140" s="14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88"/>
      <c r="H141" s="14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88"/>
      <c r="H142" s="14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88"/>
      <c r="H143" s="14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88"/>
      <c r="H144" s="14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88"/>
      <c r="H145" s="14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88"/>
      <c r="H146" s="14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88"/>
      <c r="H147" s="14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88"/>
      <c r="H148" s="14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88"/>
      <c r="H149" s="14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88"/>
      <c r="H150" s="14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88"/>
      <c r="H151" s="14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88"/>
      <c r="H152" s="14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88"/>
      <c r="H153" s="14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88"/>
      <c r="H154" s="14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88"/>
      <c r="H155" s="14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88"/>
      <c r="H156" s="14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88"/>
      <c r="H157" s="14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88"/>
      <c r="H158" s="14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88"/>
      <c r="H159" s="14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88"/>
      <c r="H160" s="14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88"/>
      <c r="H161" s="14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88"/>
      <c r="H162" s="14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88"/>
      <c r="H163" s="14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88"/>
      <c r="H164" s="14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88"/>
      <c r="H165" s="14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88"/>
      <c r="H166" s="14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88"/>
      <c r="H167" s="14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88"/>
      <c r="H168" s="14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88"/>
      <c r="H169" s="14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88"/>
      <c r="H170" s="14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88"/>
      <c r="H171" s="14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88"/>
      <c r="H172" s="14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88"/>
      <c r="H173" s="14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88"/>
      <c r="H174" s="14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88"/>
      <c r="H175" s="14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88"/>
      <c r="H176" s="14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88"/>
      <c r="H177" s="14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88"/>
      <c r="H178" s="14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88"/>
      <c r="H179" s="14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88"/>
      <c r="H180" s="14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88"/>
      <c r="H181" s="14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88"/>
      <c r="H182" s="14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88"/>
      <c r="H183" s="14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88"/>
      <c r="H184" s="14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88"/>
      <c r="H185" s="14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88"/>
      <c r="H186" s="14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88"/>
      <c r="H187" s="14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88"/>
      <c r="H188" s="14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88"/>
      <c r="H189" s="14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88"/>
      <c r="H190" s="14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88"/>
      <c r="H191" s="14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88"/>
      <c r="H192" s="14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88"/>
      <c r="H193" s="14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88"/>
      <c r="H194" s="14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88"/>
      <c r="H195" s="14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88"/>
      <c r="H196" s="14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88"/>
      <c r="H197" s="14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88"/>
      <c r="H198" s="14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88"/>
      <c r="H199" s="14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88"/>
      <c r="H200" s="14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88"/>
      <c r="H201" s="14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88"/>
      <c r="H202" s="14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88"/>
      <c r="H203" s="14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88"/>
      <c r="H204" s="14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88"/>
      <c r="H205" s="14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88"/>
      <c r="H206" s="14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88"/>
      <c r="H207" s="14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88"/>
      <c r="H208" s="14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88"/>
      <c r="H209" s="14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88"/>
      <c r="H210" s="14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88"/>
      <c r="H211" s="14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88"/>
      <c r="H212" s="14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88"/>
      <c r="H213" s="14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88"/>
      <c r="H214" s="14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88"/>
      <c r="H215" s="14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88"/>
      <c r="H216" s="14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88"/>
      <c r="H217" s="14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88"/>
      <c r="H218" s="14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88"/>
      <c r="H219" s="14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88"/>
      <c r="H220" s="14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88"/>
      <c r="H221" s="14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D2"/>
    <mergeCell ref="F2:G2"/>
    <mergeCell ref="F3:H3"/>
  </mergeCell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1000"/>
  <sheetViews>
    <sheetView showGridLines="0" workbookViewId="0">
      <selection activeCell="C12" sqref="C12"/>
    </sheetView>
  </sheetViews>
  <sheetFormatPr baseColWidth="10" defaultColWidth="14.5" defaultRowHeight="15" customHeight="1" x14ac:dyDescent="0"/>
  <cols>
    <col min="1" max="1" width="4.1640625" customWidth="1"/>
    <col min="2" max="2" width="53" customWidth="1"/>
    <col min="3" max="3" width="13.83203125" customWidth="1"/>
    <col min="4" max="4" width="16.33203125" customWidth="1"/>
    <col min="5" max="5" width="12.83203125" customWidth="1"/>
    <col min="6" max="6" width="47.1640625" customWidth="1"/>
    <col min="7" max="7" width="38" customWidth="1"/>
    <col min="8" max="8" width="5.6640625" customWidth="1"/>
    <col min="10" max="10" width="15.5" customWidth="1"/>
  </cols>
  <sheetData>
    <row r="1" spans="1:25" ht="13.5" customHeight="1">
      <c r="A1" s="1"/>
      <c r="B1" s="135"/>
      <c r="C1" s="135"/>
      <c r="D1" s="18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44"/>
      <c r="B2" s="145" t="s">
        <v>306</v>
      </c>
      <c r="C2" s="146" t="s">
        <v>206</v>
      </c>
      <c r="D2" s="190" t="s">
        <v>172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147"/>
      <c r="B3" s="148" t="s">
        <v>307</v>
      </c>
      <c r="C3" s="191">
        <f>D3*PRINCIPAL!B11</f>
        <v>0</v>
      </c>
      <c r="D3" s="168">
        <f>(700*PRINCIPAL!E13)/PRINCIPAL!B11</f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47"/>
      <c r="B4" s="148" t="s">
        <v>308</v>
      </c>
      <c r="C4" s="191">
        <f>D4*PRINCIPAL!B10</f>
        <v>42250</v>
      </c>
      <c r="D4" s="168">
        <v>650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47"/>
      <c r="B5" s="148" t="s">
        <v>309</v>
      </c>
      <c r="C5" s="191">
        <f>D5*PRINCIPAL!B11</f>
        <v>8026.2</v>
      </c>
      <c r="D5" s="168">
        <v>100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47"/>
      <c r="B6" s="148" t="s">
        <v>310</v>
      </c>
      <c r="C6" s="191">
        <v>300</v>
      </c>
      <c r="D6" s="168">
        <f>C6/PRINCIPAL!B10</f>
        <v>4.615384615384615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47"/>
      <c r="B7" s="148" t="s">
        <v>311</v>
      </c>
      <c r="C7" s="191">
        <v>6648</v>
      </c>
      <c r="D7" s="168">
        <f>C7/PRINCIPAL!$B$10</f>
        <v>102.27692307692308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44"/>
      <c r="B8" s="148" t="s">
        <v>312</v>
      </c>
      <c r="C8" s="191">
        <f>D8*PRINCIPAL!B10</f>
        <v>10790</v>
      </c>
      <c r="D8" s="168">
        <f>EERR!B19</f>
        <v>166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44"/>
      <c r="B9" s="145" t="s">
        <v>313</v>
      </c>
      <c r="C9" s="191">
        <f t="shared" ref="C9:D9" si="0">SUM(C3:C7)</f>
        <v>57224.2</v>
      </c>
      <c r="D9" s="168">
        <f t="shared" si="0"/>
        <v>856.89230769230767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1"/>
      <c r="B10" s="135"/>
      <c r="C10" s="135"/>
      <c r="D10" s="18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"/>
      <c r="B11" s="145" t="s">
        <v>315</v>
      </c>
      <c r="C11" s="146" t="s">
        <v>206</v>
      </c>
      <c r="D11" s="190" t="s">
        <v>172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"/>
      <c r="B12" s="148" t="s">
        <v>316</v>
      </c>
      <c r="C12" s="191">
        <f>D12*PRINCIPAL!B11</f>
        <v>0</v>
      </c>
      <c r="D12" s="168">
        <f>(150*Costos!F1)/PRINCIPAL!B11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1"/>
      <c r="B13" s="10" t="s">
        <v>322</v>
      </c>
      <c r="C13" s="191">
        <f>D13*PRINCIPAL!B10</f>
        <v>0</v>
      </c>
      <c r="D13" s="28">
        <f>EERR!B14</f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1"/>
      <c r="B14" s="145" t="s">
        <v>324</v>
      </c>
      <c r="C14" s="201">
        <f t="shared" ref="C14:D14" si="1">SUM(C12:C13)</f>
        <v>0</v>
      </c>
      <c r="D14" s="203">
        <f t="shared" si="1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"/>
      <c r="B15" s="135"/>
      <c r="C15" s="135"/>
      <c r="D15" s="18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44"/>
      <c r="B16" s="145" t="s">
        <v>333</v>
      </c>
      <c r="C16" s="146" t="s">
        <v>206</v>
      </c>
      <c r="D16" s="190" t="s">
        <v>172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47"/>
      <c r="B17" s="148" t="s">
        <v>335</v>
      </c>
      <c r="C17" s="204">
        <f>F.INV.AF!G21</f>
        <v>1806608.0349999999</v>
      </c>
      <c r="D17" s="168">
        <f>F.INV.AF!H21</f>
        <v>27352.814668330233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147"/>
      <c r="B18" s="145" t="s">
        <v>337</v>
      </c>
      <c r="C18" s="191">
        <f t="shared" ref="C18:D18" si="2">C17</f>
        <v>1806608.0349999999</v>
      </c>
      <c r="D18" s="168">
        <f t="shared" si="2"/>
        <v>27352.814668330233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47"/>
      <c r="B19" s="144"/>
      <c r="C19" s="205"/>
      <c r="D19" s="20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44"/>
      <c r="B20" s="1"/>
      <c r="C20" s="1"/>
      <c r="D20" s="14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45" t="s">
        <v>341</v>
      </c>
      <c r="C21" s="146" t="s">
        <v>206</v>
      </c>
      <c r="D21" s="190" t="s">
        <v>172</v>
      </c>
      <c r="E21" s="99" t="s">
        <v>342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47"/>
      <c r="B22" s="148" t="s">
        <v>343</v>
      </c>
      <c r="C22" s="191" t="e">
        <f>'Costo Produccion '!$J$6*'Demanda '!B4</f>
        <v>#DIV/0!</v>
      </c>
      <c r="D22" s="168" t="e">
        <f>C22/PRINCIPAL!B11</f>
        <v>#DIV/0!</v>
      </c>
      <c r="E22" s="16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47"/>
      <c r="B23" s="148" t="s">
        <v>348</v>
      </c>
      <c r="C23" s="191" t="e">
        <f>'Costo Produccion '!$J$6*'Demanda '!C4</f>
        <v>#DIV/0!</v>
      </c>
      <c r="D23" s="168" t="e">
        <f>C23/PRINCIPAL!B12</f>
        <v>#DIV/0!</v>
      </c>
      <c r="E23" s="153" t="e">
        <f t="shared" ref="E23:E26" si="3">D23-D22</f>
        <v>#DIV/0!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47"/>
      <c r="B24" s="148" t="s">
        <v>352</v>
      </c>
      <c r="C24" s="191" t="e">
        <f>'Costo Produccion '!$J$6*'Demanda '!D4</f>
        <v>#DIV/0!</v>
      </c>
      <c r="D24" s="168" t="e">
        <f>C24/PRINCIPAL!B13</f>
        <v>#DIV/0!</v>
      </c>
      <c r="E24" s="153" t="e">
        <f t="shared" si="3"/>
        <v>#DIV/0!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47"/>
      <c r="B25" s="148" t="s">
        <v>357</v>
      </c>
      <c r="C25" s="191" t="e">
        <f>'Costo Produccion '!$J$6*'Demanda '!E4</f>
        <v>#DIV/0!</v>
      </c>
      <c r="D25" s="168" t="e">
        <f>C25/PRINCIPAL!B14</f>
        <v>#DIV/0!</v>
      </c>
      <c r="E25" s="153" t="e">
        <f t="shared" si="3"/>
        <v>#DIV/0!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47"/>
      <c r="B26" s="148" t="s">
        <v>362</v>
      </c>
      <c r="C26" s="191" t="e">
        <f>'Costo Produccion '!$J$6*'Demanda '!F4</f>
        <v>#DIV/0!</v>
      </c>
      <c r="D26" s="168" t="e">
        <f>C26/PRINCIPAL!B15</f>
        <v>#DIV/0!</v>
      </c>
      <c r="E26" s="153" t="e">
        <f t="shared" si="3"/>
        <v>#DIV/0!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44"/>
      <c r="B27" s="145" t="s">
        <v>366</v>
      </c>
      <c r="C27" s="191" t="e">
        <f t="shared" ref="C27:D27" si="4">SUM(C22:C26)</f>
        <v>#DIV/0!</v>
      </c>
      <c r="D27" s="168" t="e">
        <f t="shared" si="4"/>
        <v>#DIV/0!</v>
      </c>
      <c r="E27" s="1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44"/>
      <c r="B28" s="135"/>
      <c r="C28" s="135"/>
      <c r="D28" s="18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21" t="s">
        <v>368</v>
      </c>
      <c r="C29" s="209">
        <f>C18+C9</f>
        <v>1863832.2349999999</v>
      </c>
      <c r="D29" s="211" t="e">
        <f>D18+D9+D27+D14</f>
        <v>#DIV/0!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44"/>
      <c r="B30" s="135"/>
      <c r="C30" s="135"/>
      <c r="D30" s="18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212" t="s">
        <v>371</v>
      </c>
      <c r="C31" s="112" t="s">
        <v>372</v>
      </c>
      <c r="D31" s="213" t="s">
        <v>373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214"/>
      <c r="B32" s="215" t="s">
        <v>57</v>
      </c>
      <c r="C32" s="175">
        <f>EERR!B34</f>
        <v>21590</v>
      </c>
      <c r="D32" s="186" t="e">
        <f>C32/C33</f>
        <v>#DIV/0!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214"/>
      <c r="B33" s="215" t="s">
        <v>379</v>
      </c>
      <c r="C33" s="175" t="e">
        <f>-EERR!C55</f>
        <v>#DIV/0!</v>
      </c>
      <c r="D33" s="186" t="e">
        <f>1-D32</f>
        <v>#DIV/0!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214"/>
      <c r="B34" s="1"/>
      <c r="C34" s="1"/>
      <c r="D34" s="14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1"/>
      <c r="D35" s="14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269" t="s">
        <v>382</v>
      </c>
      <c r="C36" s="260" t="s">
        <v>386</v>
      </c>
      <c r="D36" s="24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247"/>
      <c r="C37" s="99" t="s">
        <v>387</v>
      </c>
      <c r="D37" s="216" t="s">
        <v>388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0" t="s">
        <v>390</v>
      </c>
      <c r="C38" s="218">
        <f>D38*PRINCIPAL!B11</f>
        <v>0</v>
      </c>
      <c r="D38" s="2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0" t="s">
        <v>391</v>
      </c>
      <c r="C39" s="10"/>
      <c r="D39" s="2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0" t="s">
        <v>392</v>
      </c>
      <c r="C40" s="218"/>
      <c r="D40" s="28">
        <f>C40/PRINCIPAL!B11</f>
        <v>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0" t="s">
        <v>393</v>
      </c>
      <c r="C41" s="218"/>
      <c r="D41" s="28">
        <f>C41/PRINCIPAL!B12</f>
        <v>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0" t="s">
        <v>395</v>
      </c>
      <c r="C42" s="114">
        <f>D42*PRINCIPAL!B11</f>
        <v>0</v>
      </c>
      <c r="D42" s="2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0" t="s">
        <v>396</v>
      </c>
      <c r="C43" s="218">
        <f t="shared" ref="C43:D43" si="5">SUM(C38:C42)</f>
        <v>0</v>
      </c>
      <c r="D43" s="28">
        <f t="shared" si="5"/>
        <v>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270" t="s">
        <v>398</v>
      </c>
      <c r="C44" s="250"/>
      <c r="D44" s="24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0" t="s">
        <v>390</v>
      </c>
      <c r="C45" s="218">
        <v>0</v>
      </c>
      <c r="D45" s="28">
        <v>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0" t="s">
        <v>391</v>
      </c>
      <c r="C46" s="218">
        <v>0</v>
      </c>
      <c r="D46" s="28"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0" t="s">
        <v>392</v>
      </c>
      <c r="C47" s="218"/>
      <c r="D47" s="28">
        <f>C47/PRINCIPAL!B11</f>
        <v>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0" t="s">
        <v>393</v>
      </c>
      <c r="C48" s="218"/>
      <c r="D48" s="28">
        <f>C48/PRINCIPAL!B11</f>
        <v>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0" t="s">
        <v>395</v>
      </c>
      <c r="C49" s="218">
        <f>D49*PRINCIPAL!B11</f>
        <v>8026.2</v>
      </c>
      <c r="D49" s="28">
        <v>100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0" t="s">
        <v>396</v>
      </c>
      <c r="C50" s="218">
        <f t="shared" ref="C50:D50" si="6">SUM(C45:C49)</f>
        <v>8026.2</v>
      </c>
      <c r="D50" s="28">
        <f t="shared" si="6"/>
        <v>100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4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271" t="s">
        <v>403</v>
      </c>
      <c r="C52" s="243"/>
      <c r="D52" s="14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48" t="s">
        <v>404</v>
      </c>
      <c r="C53" s="222">
        <f>D18</f>
        <v>27352.814668330233</v>
      </c>
      <c r="D53" s="14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48" t="s">
        <v>405</v>
      </c>
      <c r="C54" s="222">
        <f>(C53*1.045)/36</f>
        <v>793.99142578903025</v>
      </c>
      <c r="D54" s="14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48" t="s">
        <v>406</v>
      </c>
      <c r="C55" s="203">
        <f>C54*12</f>
        <v>9527.897109468362</v>
      </c>
      <c r="D55" s="14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48" t="s">
        <v>407</v>
      </c>
      <c r="C56" s="203">
        <f>C54*12</f>
        <v>9527.897109468362</v>
      </c>
      <c r="D56" s="14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48" t="s">
        <v>408</v>
      </c>
      <c r="C57" s="203">
        <f>C54*12</f>
        <v>9527.897109468362</v>
      </c>
      <c r="D57" s="14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48" t="s">
        <v>409</v>
      </c>
      <c r="C58" s="224">
        <v>0</v>
      </c>
      <c r="D58" s="14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48" t="s">
        <v>410</v>
      </c>
      <c r="C59" s="224">
        <v>0</v>
      </c>
      <c r="D59" s="14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4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4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4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4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4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4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4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4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4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4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4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4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4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4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4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4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4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4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4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4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4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4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4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4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4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4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4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4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4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4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4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4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4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4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4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4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4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4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4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4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4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4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4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4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4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4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4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4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4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4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4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4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4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4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4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4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4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4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4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4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4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4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4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4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4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4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4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4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4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4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4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4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4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4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4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4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4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4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4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4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4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4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4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4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4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4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4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4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4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4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4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4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4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4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4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4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4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4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4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4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4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4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4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4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4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4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4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4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4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4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4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4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4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4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4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4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4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4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4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4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4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4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4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4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4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4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4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4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4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4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4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4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4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4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4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4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4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4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4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4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4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4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4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4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4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4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4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4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4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4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4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4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4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4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4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4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4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4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4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4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4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4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4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4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4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4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4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4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4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4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4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4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4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4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4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4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4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4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4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4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4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4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4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4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4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4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4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4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4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4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4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4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4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4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4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4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4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4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4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4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/>
    <row r="261" spans="1:25" ht="15.75" customHeight="1"/>
    <row r="262" spans="1:25" ht="15.75" customHeight="1"/>
    <row r="263" spans="1:25" ht="15.75" customHeight="1"/>
    <row r="264" spans="1:25" ht="15.75" customHeight="1"/>
    <row r="265" spans="1:25" ht="15.75" customHeight="1"/>
    <row r="266" spans="1:25" ht="15.75" customHeight="1"/>
    <row r="267" spans="1:25" ht="15.75" customHeight="1"/>
    <row r="268" spans="1:25" ht="15.75" customHeight="1"/>
    <row r="269" spans="1:25" ht="15.75" customHeight="1"/>
    <row r="270" spans="1:25" ht="15.75" customHeight="1"/>
    <row r="271" spans="1:25" ht="15.75" customHeight="1"/>
    <row r="272" spans="1:2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6:D36"/>
    <mergeCell ref="B36:B37"/>
    <mergeCell ref="B44:D44"/>
    <mergeCell ref="B52:C52"/>
  </mergeCells>
  <pageMargins left="0.7" right="0.7" top="0.75" bottom="0.75" header="0" footer="0"/>
  <pageSetup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PRINCIPAL</vt:lpstr>
      <vt:lpstr>CAPM</vt:lpstr>
      <vt:lpstr>PricingCostos embarques</vt:lpstr>
      <vt:lpstr>Punto de equilibrio</vt:lpstr>
      <vt:lpstr>EERR</vt:lpstr>
      <vt:lpstr>Costos</vt:lpstr>
      <vt:lpstr>Costo Produccion </vt:lpstr>
      <vt:lpstr>F.INV.AF</vt:lpstr>
      <vt:lpstr>Inversion Inicial </vt:lpstr>
      <vt:lpstr>Capacidad Logistica</vt:lpstr>
      <vt:lpstr>Demanda </vt:lpstr>
      <vt:lpstr>Inflacion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Martín Levy</cp:lastModifiedBy>
  <dcterms:created xsi:type="dcterms:W3CDTF">2019-10-07T12:39:26Z</dcterms:created>
  <dcterms:modified xsi:type="dcterms:W3CDTF">2019-10-07T12:39:26Z</dcterms:modified>
</cp:coreProperties>
</file>