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2E66CB41-BB68-4AB7-AD20-89CB48E6F0BA}" xr6:coauthVersionLast="47" xr6:coauthVersionMax="47" xr10:uidLastSave="{00000000-0000-0000-0000-000000000000}"/>
  <bookViews>
    <workbookView xWindow="-51195" yWindow="870" windowWidth="46530" windowHeight="19545" xr2:uid="{1D64C4FE-907B-478A-9D78-1EED5F75B40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6" i="2" l="1"/>
  <c r="Q56" i="2"/>
  <c r="T56" i="2"/>
  <c r="S56" i="2"/>
  <c r="R56" i="2"/>
  <c r="U56" i="2"/>
  <c r="AD56" i="2" s="1"/>
  <c r="V56" i="2"/>
  <c r="W56" i="2"/>
  <c r="X56" i="2"/>
  <c r="AA56" i="2"/>
  <c r="Z56" i="2"/>
  <c r="Y56" i="2"/>
  <c r="Z2" i="2"/>
  <c r="AA2" i="2" s="1"/>
  <c r="H54" i="2"/>
  <c r="L54" i="2"/>
  <c r="H55" i="2"/>
  <c r="L55" i="2"/>
  <c r="N7" i="1"/>
  <c r="L45" i="2"/>
  <c r="L47" i="2"/>
  <c r="L46" i="2"/>
  <c r="L41" i="2"/>
  <c r="L36" i="2"/>
  <c r="L27" i="2"/>
  <c r="L18" i="2"/>
  <c r="H18" i="2"/>
  <c r="H6" i="2"/>
  <c r="K16" i="2"/>
  <c r="K17" i="2" s="1"/>
  <c r="K19" i="2" s="1"/>
  <c r="K21" i="2" s="1"/>
  <c r="J16" i="2"/>
  <c r="J17" i="2" s="1"/>
  <c r="J19" i="2" s="1"/>
  <c r="J21" i="2" s="1"/>
  <c r="I16" i="2"/>
  <c r="I17" i="2" s="1"/>
  <c r="I19" i="2" s="1"/>
  <c r="I21" i="2" s="1"/>
  <c r="H16" i="2"/>
  <c r="L16" i="2"/>
  <c r="L6" i="2"/>
  <c r="N4" i="1"/>
  <c r="L56" i="2" l="1"/>
  <c r="H56" i="2"/>
  <c r="L39" i="2"/>
  <c r="L50" i="2"/>
  <c r="L26" i="2"/>
  <c r="L17" i="2"/>
  <c r="L19" i="2" s="1"/>
  <c r="L21" i="2" s="1"/>
  <c r="L22" i="2" s="1"/>
  <c r="H17" i="2"/>
  <c r="H19" i="2" s="1"/>
  <c r="H21" i="2" s="1"/>
  <c r="H22" i="2" s="1"/>
</calcChain>
</file>

<file path=xl/sharedStrings.xml><?xml version="1.0" encoding="utf-8"?>
<sst xmlns="http://schemas.openxmlformats.org/spreadsheetml/2006/main" count="73" uniqueCount="61">
  <si>
    <t>Price</t>
  </si>
  <si>
    <t>Shares</t>
  </si>
  <si>
    <t>MC</t>
  </si>
  <si>
    <t>Cash</t>
  </si>
  <si>
    <t>Debt</t>
  </si>
  <si>
    <t>EV</t>
  </si>
  <si>
    <t>Q224</t>
  </si>
  <si>
    <t>Main</t>
  </si>
  <si>
    <t>Passenger</t>
  </si>
  <si>
    <t>Cargo</t>
  </si>
  <si>
    <t>Other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</si>
  <si>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</si>
  <si>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</si>
  <si>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</si>
  <si>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</si>
  <si>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</si>
  <si>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</si>
  <si>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</si>
  <si>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</si>
  <si>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</si>
  <si>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</si>
  <si>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Q324</t>
  </si>
  <si>
    <t>Q424</t>
  </si>
  <si>
    <t>Operating Income</t>
  </si>
  <si>
    <t>Operating Expenses</t>
  </si>
  <si>
    <t>Aircraft</t>
  </si>
  <si>
    <t>Salaries</t>
  </si>
  <si>
    <t>Regional</t>
  </si>
  <si>
    <t>Maintenance</t>
  </si>
  <si>
    <t>Landing Fees</t>
  </si>
  <si>
    <t>Aircraft Rent</t>
  </si>
  <si>
    <t>D&amp;A</t>
  </si>
  <si>
    <t>Net Income</t>
  </si>
  <si>
    <t>Taxes</t>
  </si>
  <si>
    <t>Pretax Income</t>
  </si>
  <si>
    <t>Interest Income</t>
  </si>
  <si>
    <t>EPS</t>
  </si>
  <si>
    <t>AR</t>
  </si>
  <si>
    <t>Inventory</t>
  </si>
  <si>
    <t>Prepaids</t>
  </si>
  <si>
    <t>Flight Equipment</t>
  </si>
  <si>
    <t>Ground Equipment</t>
  </si>
  <si>
    <t>Purchase Deposits</t>
  </si>
  <si>
    <t>Depreciation</t>
  </si>
  <si>
    <t>Lease</t>
  </si>
  <si>
    <t>Goodwill</t>
  </si>
  <si>
    <t>DTA</t>
  </si>
  <si>
    <t>Assets</t>
  </si>
  <si>
    <t>L</t>
  </si>
  <si>
    <t>S/E</t>
  </si>
  <si>
    <t>AP</t>
  </si>
  <si>
    <t>Air Traffic Liability</t>
  </si>
  <si>
    <t>Loyalty Liability</t>
  </si>
  <si>
    <t>Pension</t>
  </si>
  <si>
    <t>Net Debt</t>
  </si>
  <si>
    <t>CFFO</t>
  </si>
  <si>
    <t>CapEx</t>
  </si>
  <si>
    <t>FCF</t>
  </si>
  <si>
    <t>4/20/2029 5 3/4: 99.623 (5.8%)</t>
  </si>
  <si>
    <t>5/15/2029 8 1/2 CALLABLE: 105.891 (6.4%)</t>
  </si>
  <si>
    <t>7/11/2033 2 7/8: 88.057 (3.9%)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</si>
</sst>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3" fontId="0" fillId="2" borderId="0" xfId="0" applyNumberFormat="1" applyFill="1"/>
    <xf numFmtId="3" fontId="1" fillId="2" borderId="0" xfId="0" applyNumberFormat="1" applyFont="1" applyFill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01843684-934E-4BC0-9F09-0A78A307CFC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45983</xdr:colOff>
      <xdr:row>0</xdr:row>
      <xdr:rowOff>26276</xdr:rowOff>
    </xdr:from>
    <xdr:to>
      <xdr:col>12</xdr:col>
      <xdr:colOff>45983</xdr:colOff>
      <xdr:row>68</xdr:row>
      <xdr:rowOff>47625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1A5330D-331F-857F-3A06-800AD210B99B}"/>
            </a:ext>
          </a:extLst>
        </xdr:cNvPr>
        <xdr:cNvCxnSpPr/>
      </xdr:nvCxnSpPr>
      <xdr:spPr>
        <a:xfrm>
          <a:off x="7660030" y="26276"/>
          <a:ext cx="0" cy="1079055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1930</xdr:colOff>
      <xdr:row>0</xdr:row>
      <xdr:rowOff>29848</xdr:rowOff>
    </xdr:from>
    <xdr:to>
      <xdr:col>27</xdr:col>
      <xdr:colOff>1930</xdr:colOff>
      <xdr:row>68</xdr:row>
      <xdr:rowOff>51197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D74910BD-97C9-45CB-B355-C147252F48FB}"/>
            </a:ext>
          </a:extLst>
        </xdr:cNvPr>
        <xdr:cNvCxnSpPr/>
      </xdr:nvCxnSpPr>
      <xdr:spPr>
        <a:xfrm>
          <a:off x="16724258" y="29848"/>
          <a:ext cx="0" cy="1095128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032BA-8E95-43CC-BFEE-78FBEB86C312}">
  <dimension ref="B2:O7"/>
  <sheetViews>
    <sheetView tabSelected="1" zoomScale="295" zoomScaleNormal="295" workbookViewId="0">
      <selection activeCell="B4" sqref="B4"/>
    </sheetView>
  </sheetViews>
  <sheetFormatPr defaultRowHeight="12.75" x14ac:dyDescent="0.2"/>
  <sheetData>
    <row r="2" spans="2:15" x14ac:dyDescent="0.2">
      <c r="M2" t="s">
        <v>0</v>
      </c>
      <c r="N2">
        <v>11.73</v>
      </c>
    </row>
    <row r="3" spans="2:15" x14ac:dyDescent="0.2">
      <c r="M3" t="s">
        <v>1</v>
      </c>
      <c r="N3" s="1">
        <v>656.70391300000006</v>
      </c>
      <c r="O3" s="2" t="s">
        <v>6</v>
      </c>
    </row>
    <row r="4" spans="2:15" x14ac:dyDescent="0.2">
      <c r="B4" t="s">
        <v>58</v>
      </c>
      <c r="M4" t="s">
        <v>2</v>
      </c>
      <c r="N4" s="1">
        <f>+N2*N3</f>
        <v>7703.1368994900013</v>
      </c>
    </row>
    <row r="5" spans="2:15" x14ac:dyDescent="0.2">
      <c r="B5" t="s">
        <v>59</v>
      </c>
      <c r="M5" t="s">
        <v>3</v>
      </c>
      <c r="N5" s="1">
        <v>9321</v>
      </c>
      <c r="O5" s="2" t="s">
        <v>6</v>
      </c>
    </row>
    <row r="6" spans="2:15" x14ac:dyDescent="0.2">
      <c r="B6" t="s">
        <v>60</v>
      </c>
      <c r="M6" t="s">
        <v>4</v>
      </c>
      <c r="N6" s="1">
        <v>31756</v>
      </c>
      <c r="O6" s="2" t="s">
        <v>6</v>
      </c>
    </row>
    <row r="7" spans="2:15" x14ac:dyDescent="0.2">
      <c r="M7" t="s">
        <v>5</v>
      </c>
      <c r="N7" s="1">
        <f>+N4-N5+N6</f>
        <v>30138.13689949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1286A-0DEC-4954-8CE5-FA1993B6F63D}">
  <dimension ref="A1:AD56"/>
  <sheetViews>
    <sheetView zoomScale="160" zoomScaleNormal="160" workbookViewId="0">
      <pane xSplit="2" ySplit="2" topLeftCell="C37" activePane="bottomRight" state="frozen"/>
      <selection pane="topRight" activeCell="C1" sqref="C1"/>
      <selection pane="bottomLeft" activeCell="A3" sqref="A3"/>
      <selection pane="bottomRight" activeCell="Z38" sqref="Z38"/>
    </sheetView>
  </sheetViews>
  <sheetFormatPr defaultRowHeight="12.75" x14ac:dyDescent="0.2"/>
  <cols>
    <col min="1" max="1" width="5" bestFit="1" customWidth="1"/>
    <col min="2" max="2" width="18.140625" bestFit="1" customWidth="1"/>
    <col min="3" max="14" width="9.140625" style="2"/>
  </cols>
  <sheetData>
    <row r="1" spans="1:28" x14ac:dyDescent="0.2">
      <c r="A1" t="s">
        <v>7</v>
      </c>
    </row>
    <row r="2" spans="1:28" x14ac:dyDescent="0.2"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19</v>
      </c>
      <c r="K2" s="2" t="s">
        <v>20</v>
      </c>
      <c r="L2" s="2" t="s">
        <v>6</v>
      </c>
      <c r="M2" s="2" t="s">
        <v>21</v>
      </c>
      <c r="N2" s="2" t="s">
        <v>22</v>
      </c>
      <c r="P2">
        <v>2012</v>
      </c>
      <c r="Q2">
        <v>2013</v>
      </c>
      <c r="R2">
        <v>2014</v>
      </c>
      <c r="S2">
        <v>2015</v>
      </c>
      <c r="T2">
        <v>2016</v>
      </c>
      <c r="U2">
        <v>2017</v>
      </c>
      <c r="V2">
        <v>2018</v>
      </c>
      <c r="W2">
        <v>2019</v>
      </c>
      <c r="X2">
        <v>2020</v>
      </c>
      <c r="Y2">
        <v>2021</v>
      </c>
      <c r="Z2">
        <f>+Y2+1</f>
        <v>2022</v>
      </c>
      <c r="AA2">
        <f>+Z2+1</f>
        <v>2023</v>
      </c>
      <c r="AB2">
        <v>2014</v>
      </c>
    </row>
    <row r="3" spans="1:28" s="1" customFormat="1" x14ac:dyDescent="0.2">
      <c r="B3" s="1" t="s">
        <v>8</v>
      </c>
      <c r="C3" s="3"/>
      <c r="D3" s="3"/>
      <c r="E3" s="3"/>
      <c r="F3" s="3"/>
      <c r="G3" s="3"/>
      <c r="H3" s="3">
        <v>12978</v>
      </c>
      <c r="I3" s="3"/>
      <c r="J3" s="3"/>
      <c r="K3" s="3"/>
      <c r="L3" s="3">
        <v>13202</v>
      </c>
      <c r="M3" s="3"/>
      <c r="N3" s="3"/>
    </row>
    <row r="4" spans="1:28" s="1" customFormat="1" x14ac:dyDescent="0.2">
      <c r="B4" s="1" t="s">
        <v>9</v>
      </c>
      <c r="C4" s="3"/>
      <c r="D4" s="3"/>
      <c r="E4" s="3"/>
      <c r="F4" s="3"/>
      <c r="G4" s="3"/>
      <c r="H4" s="3">
        <v>197</v>
      </c>
      <c r="I4" s="3"/>
      <c r="J4" s="3"/>
      <c r="K4" s="3"/>
      <c r="L4" s="3">
        <v>195</v>
      </c>
      <c r="M4" s="3"/>
      <c r="N4" s="3"/>
    </row>
    <row r="5" spans="1:28" s="1" customFormat="1" x14ac:dyDescent="0.2">
      <c r="B5" s="1" t="s">
        <v>10</v>
      </c>
      <c r="C5" s="3"/>
      <c r="D5" s="3"/>
      <c r="E5" s="3"/>
      <c r="F5" s="3"/>
      <c r="G5" s="3"/>
      <c r="H5" s="3">
        <v>880</v>
      </c>
      <c r="I5" s="3"/>
      <c r="J5" s="3"/>
      <c r="K5" s="3"/>
      <c r="L5" s="3">
        <v>937</v>
      </c>
      <c r="M5" s="3"/>
      <c r="N5" s="3"/>
    </row>
    <row r="6" spans="1:28" s="4" customFormat="1" x14ac:dyDescent="0.2">
      <c r="B6" s="4" t="s">
        <v>11</v>
      </c>
      <c r="C6" s="5"/>
      <c r="D6" s="5"/>
      <c r="E6" s="5"/>
      <c r="F6" s="5"/>
      <c r="G6" s="5"/>
      <c r="H6" s="5">
        <f>SUM(H3:H5)</f>
        <v>14055</v>
      </c>
      <c r="I6" s="5"/>
      <c r="J6" s="5"/>
      <c r="K6" s="5"/>
      <c r="L6" s="5">
        <f>SUM(L3:L5)</f>
        <v>14334</v>
      </c>
      <c r="M6" s="5"/>
      <c r="N6" s="5"/>
    </row>
    <row r="7" spans="1:28" s="1" customFormat="1" x14ac:dyDescent="0.2">
      <c r="B7" s="1" t="s">
        <v>25</v>
      </c>
      <c r="C7" s="3"/>
      <c r="D7" s="3"/>
      <c r="E7" s="3"/>
      <c r="F7" s="3"/>
      <c r="G7" s="3"/>
      <c r="H7" s="3">
        <v>2723</v>
      </c>
      <c r="I7" s="3"/>
      <c r="J7" s="3"/>
      <c r="K7" s="3"/>
      <c r="L7" s="3">
        <v>3061</v>
      </c>
      <c r="M7" s="3"/>
      <c r="N7" s="3"/>
    </row>
    <row r="8" spans="1:28" s="1" customFormat="1" x14ac:dyDescent="0.2">
      <c r="B8" s="1" t="s">
        <v>26</v>
      </c>
      <c r="C8" s="3"/>
      <c r="D8" s="3"/>
      <c r="E8" s="3"/>
      <c r="F8" s="3"/>
      <c r="G8" s="3"/>
      <c r="H8" s="3">
        <v>3635</v>
      </c>
      <c r="I8" s="3"/>
      <c r="J8" s="3"/>
      <c r="K8" s="3"/>
      <c r="L8" s="3">
        <v>3953</v>
      </c>
      <c r="M8" s="3"/>
      <c r="N8" s="3"/>
    </row>
    <row r="9" spans="1:28" s="1" customFormat="1" x14ac:dyDescent="0.2">
      <c r="B9" s="1" t="s">
        <v>27</v>
      </c>
      <c r="C9" s="3"/>
      <c r="D9" s="3"/>
      <c r="E9" s="3"/>
      <c r="F9" s="3"/>
      <c r="G9" s="3"/>
      <c r="H9" s="3">
        <v>1153</v>
      </c>
      <c r="I9" s="3"/>
      <c r="J9" s="3"/>
      <c r="K9" s="3"/>
      <c r="L9" s="3">
        <v>1268</v>
      </c>
      <c r="M9" s="3"/>
      <c r="N9" s="3"/>
    </row>
    <row r="10" spans="1:28" s="1" customFormat="1" x14ac:dyDescent="0.2">
      <c r="B10" s="1" t="s">
        <v>28</v>
      </c>
      <c r="C10" s="3"/>
      <c r="D10" s="3"/>
      <c r="E10" s="3"/>
      <c r="F10" s="3"/>
      <c r="G10" s="3"/>
      <c r="H10" s="3">
        <v>808</v>
      </c>
      <c r="I10" s="3"/>
      <c r="J10" s="3"/>
      <c r="K10" s="3"/>
      <c r="L10" s="3">
        <v>950</v>
      </c>
      <c r="M10" s="3"/>
      <c r="N10" s="3"/>
    </row>
    <row r="11" spans="1:28" s="1" customFormat="1" x14ac:dyDescent="0.2">
      <c r="B11" s="1" t="s">
        <v>29</v>
      </c>
      <c r="C11" s="3"/>
      <c r="D11" s="3"/>
      <c r="E11" s="3"/>
      <c r="F11" s="3"/>
      <c r="G11" s="3"/>
      <c r="H11" s="3">
        <v>762</v>
      </c>
      <c r="I11" s="3"/>
      <c r="J11" s="3"/>
      <c r="K11" s="3"/>
      <c r="L11" s="3">
        <v>834</v>
      </c>
      <c r="M11" s="3"/>
      <c r="N11" s="3"/>
    </row>
    <row r="12" spans="1:28" s="1" customFormat="1" x14ac:dyDescent="0.2">
      <c r="B12" s="1" t="s">
        <v>30</v>
      </c>
      <c r="C12" s="3"/>
      <c r="D12" s="3"/>
      <c r="E12" s="3"/>
      <c r="F12" s="3"/>
      <c r="G12" s="3"/>
      <c r="H12" s="3">
        <v>344</v>
      </c>
      <c r="I12" s="3"/>
      <c r="J12" s="3"/>
      <c r="K12" s="3"/>
      <c r="L12" s="3">
        <v>314</v>
      </c>
      <c r="M12" s="3"/>
      <c r="N12" s="3"/>
    </row>
    <row r="13" spans="1:28" s="1" customFormat="1" x14ac:dyDescent="0.2">
      <c r="B13" s="1" t="s">
        <v>26</v>
      </c>
      <c r="C13" s="3"/>
      <c r="D13" s="3"/>
      <c r="E13" s="3"/>
      <c r="F13" s="3"/>
      <c r="G13" s="3"/>
      <c r="H13" s="3">
        <v>489</v>
      </c>
      <c r="I13" s="3"/>
      <c r="J13" s="3"/>
      <c r="K13" s="3"/>
      <c r="L13" s="3">
        <v>456</v>
      </c>
      <c r="M13" s="3"/>
      <c r="N13" s="3"/>
    </row>
    <row r="14" spans="1:28" s="1" customFormat="1" x14ac:dyDescent="0.2">
      <c r="B14" s="1" t="s">
        <v>31</v>
      </c>
      <c r="C14" s="3"/>
      <c r="D14" s="3"/>
      <c r="E14" s="3"/>
      <c r="F14" s="3"/>
      <c r="G14" s="3"/>
      <c r="H14" s="3">
        <v>483</v>
      </c>
      <c r="I14" s="3"/>
      <c r="J14" s="3"/>
      <c r="K14" s="3"/>
      <c r="L14" s="3">
        <v>474</v>
      </c>
      <c r="M14" s="3"/>
      <c r="N14" s="3"/>
    </row>
    <row r="15" spans="1:28" s="1" customFormat="1" x14ac:dyDescent="0.2">
      <c r="B15" s="1" t="s">
        <v>10</v>
      </c>
      <c r="C15" s="3"/>
      <c r="D15" s="3"/>
      <c r="E15" s="3"/>
      <c r="F15" s="3"/>
      <c r="G15" s="3"/>
      <c r="H15" s="3">
        <v>1495</v>
      </c>
      <c r="I15" s="3"/>
      <c r="J15" s="3"/>
      <c r="K15" s="3"/>
      <c r="L15" s="3">
        <v>1640</v>
      </c>
      <c r="M15" s="3"/>
      <c r="N15" s="3"/>
    </row>
    <row r="16" spans="1:28" s="1" customFormat="1" x14ac:dyDescent="0.2">
      <c r="B16" s="1" t="s">
        <v>24</v>
      </c>
      <c r="C16" s="3"/>
      <c r="D16" s="3"/>
      <c r="E16" s="3"/>
      <c r="F16" s="3"/>
      <c r="G16" s="3"/>
      <c r="H16" s="3">
        <f t="shared" ref="H16:K16" si="0">SUM(H7:H15)</f>
        <v>11892</v>
      </c>
      <c r="I16" s="3">
        <f t="shared" si="0"/>
        <v>0</v>
      </c>
      <c r="J16" s="3">
        <f t="shared" si="0"/>
        <v>0</v>
      </c>
      <c r="K16" s="3">
        <f t="shared" si="0"/>
        <v>0</v>
      </c>
      <c r="L16" s="3">
        <f>SUM(L7:L15)</f>
        <v>12950</v>
      </c>
      <c r="M16" s="3"/>
      <c r="N16" s="3"/>
    </row>
    <row r="17" spans="2:14" s="1" customFormat="1" x14ac:dyDescent="0.2">
      <c r="B17" s="1" t="s">
        <v>23</v>
      </c>
      <c r="C17" s="3"/>
      <c r="D17" s="3"/>
      <c r="E17" s="3"/>
      <c r="F17" s="3"/>
      <c r="G17" s="3"/>
      <c r="H17" s="3">
        <f t="shared" ref="H17:K17" si="1">+H6-H16</f>
        <v>2163</v>
      </c>
      <c r="I17" s="3">
        <f t="shared" si="1"/>
        <v>0</v>
      </c>
      <c r="J17" s="3">
        <f t="shared" si="1"/>
        <v>0</v>
      </c>
      <c r="K17" s="3">
        <f t="shared" si="1"/>
        <v>0</v>
      </c>
      <c r="L17" s="3">
        <f>+L6-L16</f>
        <v>1384</v>
      </c>
      <c r="M17" s="3"/>
      <c r="N17" s="3"/>
    </row>
    <row r="18" spans="2:14" x14ac:dyDescent="0.2">
      <c r="B18" s="1" t="s">
        <v>35</v>
      </c>
      <c r="H18" s="2">
        <f>162-548-14</f>
        <v>-400</v>
      </c>
      <c r="L18" s="2">
        <f>128-486+2</f>
        <v>-356</v>
      </c>
    </row>
    <row r="19" spans="2:14" x14ac:dyDescent="0.2">
      <c r="B19" s="1" t="s">
        <v>34</v>
      </c>
      <c r="H19" s="3">
        <f t="shared" ref="H19:K19" si="2">+H17+H18</f>
        <v>1763</v>
      </c>
      <c r="I19" s="3">
        <f t="shared" si="2"/>
        <v>0</v>
      </c>
      <c r="J19" s="3">
        <f t="shared" si="2"/>
        <v>0</v>
      </c>
      <c r="K19" s="3">
        <f t="shared" si="2"/>
        <v>0</v>
      </c>
      <c r="L19" s="3">
        <f>+L17+L18</f>
        <v>1028</v>
      </c>
    </row>
    <row r="20" spans="2:14" x14ac:dyDescent="0.2">
      <c r="B20" s="1" t="s">
        <v>33</v>
      </c>
      <c r="H20" s="2">
        <v>425</v>
      </c>
      <c r="L20" s="2">
        <v>311</v>
      </c>
    </row>
    <row r="21" spans="2:14" x14ac:dyDescent="0.2">
      <c r="B21" t="s">
        <v>32</v>
      </c>
      <c r="H21" s="3">
        <f t="shared" ref="H21:K21" si="3">+H19-H20</f>
        <v>1338</v>
      </c>
      <c r="I21" s="3">
        <f t="shared" si="3"/>
        <v>0</v>
      </c>
      <c r="J21" s="3">
        <f t="shared" si="3"/>
        <v>0</v>
      </c>
      <c r="K21" s="3">
        <f t="shared" si="3"/>
        <v>0</v>
      </c>
      <c r="L21" s="3">
        <f>+L19-L20</f>
        <v>717</v>
      </c>
    </row>
    <row r="22" spans="2:14" x14ac:dyDescent="0.2">
      <c r="B22" s="1" t="s">
        <v>36</v>
      </c>
      <c r="H22" s="6">
        <f>+H21/H23</f>
        <v>1.8600254398098268</v>
      </c>
      <c r="L22" s="6">
        <f>+L21/L23</f>
        <v>0.99541581170120308</v>
      </c>
    </row>
    <row r="23" spans="2:14" x14ac:dyDescent="0.2">
      <c r="B23" s="1" t="s">
        <v>1</v>
      </c>
      <c r="H23" s="3">
        <v>719.34500000000003</v>
      </c>
      <c r="I23" s="3"/>
      <c r="J23" s="3"/>
      <c r="K23" s="3"/>
      <c r="L23" s="3">
        <v>720.30200000000002</v>
      </c>
    </row>
    <row r="26" spans="2:14" x14ac:dyDescent="0.2">
      <c r="B26" t="s">
        <v>54</v>
      </c>
      <c r="L26" s="3">
        <f>+L27-L41</f>
        <v>-22435</v>
      </c>
    </row>
    <row r="27" spans="2:14" s="1" customFormat="1" x14ac:dyDescent="0.2">
      <c r="B27" s="1" t="s">
        <v>3</v>
      </c>
      <c r="C27" s="3"/>
      <c r="D27" s="3"/>
      <c r="E27" s="3"/>
      <c r="F27" s="3"/>
      <c r="G27" s="3"/>
      <c r="H27" s="3"/>
      <c r="I27" s="3"/>
      <c r="J27" s="3"/>
      <c r="K27" s="3"/>
      <c r="L27" s="3">
        <f>605+7841+875</f>
        <v>9321</v>
      </c>
      <c r="M27" s="3"/>
      <c r="N27" s="3"/>
    </row>
    <row r="28" spans="2:14" s="1" customFormat="1" x14ac:dyDescent="0.2">
      <c r="B28" s="1" t="s">
        <v>37</v>
      </c>
      <c r="C28" s="3"/>
      <c r="D28" s="3"/>
      <c r="E28" s="3"/>
      <c r="F28" s="3"/>
      <c r="G28" s="3"/>
      <c r="H28" s="3"/>
      <c r="I28" s="3"/>
      <c r="J28" s="3"/>
      <c r="K28" s="3"/>
      <c r="L28" s="3">
        <v>2067</v>
      </c>
      <c r="M28" s="3"/>
      <c r="N28" s="3"/>
    </row>
    <row r="29" spans="2:14" s="1" customFormat="1" x14ac:dyDescent="0.2">
      <c r="B29" s="1" t="s">
        <v>38</v>
      </c>
      <c r="C29" s="3"/>
      <c r="D29" s="3"/>
      <c r="E29" s="3"/>
      <c r="F29" s="3"/>
      <c r="G29" s="3"/>
      <c r="H29" s="3"/>
      <c r="I29" s="3"/>
      <c r="J29" s="3"/>
      <c r="K29" s="3"/>
      <c r="L29" s="3">
        <v>2575</v>
      </c>
      <c r="M29" s="3"/>
      <c r="N29" s="3"/>
    </row>
    <row r="30" spans="2:14" s="1" customFormat="1" x14ac:dyDescent="0.2">
      <c r="B30" s="1" t="s">
        <v>39</v>
      </c>
      <c r="C30" s="3"/>
      <c r="D30" s="3"/>
      <c r="E30" s="3"/>
      <c r="F30" s="3"/>
      <c r="G30" s="3"/>
      <c r="H30" s="3"/>
      <c r="I30" s="3"/>
      <c r="J30" s="3"/>
      <c r="K30" s="3"/>
      <c r="L30" s="3">
        <v>832</v>
      </c>
      <c r="M30" s="3"/>
      <c r="N30" s="3"/>
    </row>
    <row r="31" spans="2:14" s="1" customFormat="1" x14ac:dyDescent="0.2">
      <c r="B31" s="1" t="s">
        <v>40</v>
      </c>
      <c r="C31" s="3"/>
      <c r="D31" s="3"/>
      <c r="E31" s="3"/>
      <c r="F31" s="3"/>
      <c r="G31" s="3"/>
      <c r="H31" s="3"/>
      <c r="I31" s="3"/>
      <c r="J31" s="3"/>
      <c r="K31" s="3"/>
      <c r="L31" s="3">
        <v>42752</v>
      </c>
      <c r="M31" s="3"/>
      <c r="N31" s="3"/>
    </row>
    <row r="32" spans="2:14" s="1" customFormat="1" x14ac:dyDescent="0.2">
      <c r="B32" s="1" t="s">
        <v>41</v>
      </c>
      <c r="C32" s="3"/>
      <c r="D32" s="3"/>
      <c r="E32" s="3"/>
      <c r="F32" s="3"/>
      <c r="G32" s="3"/>
      <c r="H32" s="3"/>
      <c r="I32" s="3"/>
      <c r="J32" s="3"/>
      <c r="K32" s="3"/>
      <c r="L32" s="3">
        <v>10198</v>
      </c>
      <c r="M32" s="3"/>
      <c r="N32" s="3"/>
    </row>
    <row r="33" spans="2:14" s="1" customFormat="1" x14ac:dyDescent="0.2">
      <c r="B33" s="1" t="s">
        <v>42</v>
      </c>
      <c r="C33" s="3"/>
      <c r="D33" s="3"/>
      <c r="E33" s="3"/>
      <c r="F33" s="3"/>
      <c r="G33" s="3"/>
      <c r="H33" s="3"/>
      <c r="I33" s="3"/>
      <c r="J33" s="3"/>
      <c r="K33" s="3"/>
      <c r="L33" s="3">
        <v>1052</v>
      </c>
      <c r="M33" s="3"/>
      <c r="N33" s="3"/>
    </row>
    <row r="34" spans="2:14" s="1" customFormat="1" x14ac:dyDescent="0.2">
      <c r="B34" s="1" t="s">
        <v>43</v>
      </c>
      <c r="C34" s="3"/>
      <c r="D34" s="3"/>
      <c r="E34" s="3"/>
      <c r="F34" s="3"/>
      <c r="G34" s="3"/>
      <c r="H34" s="3"/>
      <c r="I34" s="3"/>
      <c r="J34" s="3"/>
      <c r="K34" s="3"/>
      <c r="L34" s="3">
        <v>-22958</v>
      </c>
      <c r="M34" s="3"/>
      <c r="N34" s="3"/>
    </row>
    <row r="35" spans="2:14" s="1" customFormat="1" x14ac:dyDescent="0.2">
      <c r="B35" s="1" t="s">
        <v>44</v>
      </c>
      <c r="C35" s="3"/>
      <c r="D35" s="3"/>
      <c r="E35" s="3"/>
      <c r="F35" s="3"/>
      <c r="G35" s="3"/>
      <c r="H35" s="3"/>
      <c r="I35" s="3"/>
      <c r="J35" s="3"/>
      <c r="K35" s="3"/>
      <c r="L35" s="3">
        <v>7873</v>
      </c>
      <c r="M35" s="3"/>
      <c r="N35" s="3"/>
    </row>
    <row r="36" spans="2:14" s="1" customFormat="1" x14ac:dyDescent="0.2">
      <c r="B36" s="1" t="s">
        <v>45</v>
      </c>
      <c r="C36" s="3"/>
      <c r="D36" s="3"/>
      <c r="E36" s="3"/>
      <c r="F36" s="3"/>
      <c r="G36" s="3"/>
      <c r="H36" s="3"/>
      <c r="I36" s="3"/>
      <c r="J36" s="3"/>
      <c r="K36" s="3"/>
      <c r="L36" s="3">
        <f>4091+2047</f>
        <v>6138</v>
      </c>
      <c r="M36" s="3"/>
      <c r="N36" s="3"/>
    </row>
    <row r="37" spans="2:14" s="1" customFormat="1" x14ac:dyDescent="0.2">
      <c r="B37" s="1" t="s">
        <v>46</v>
      </c>
      <c r="C37" s="3"/>
      <c r="D37" s="3"/>
      <c r="E37" s="3"/>
      <c r="F37" s="3"/>
      <c r="G37" s="3"/>
      <c r="H37" s="3"/>
      <c r="I37" s="3"/>
      <c r="J37" s="3"/>
      <c r="K37" s="3"/>
      <c r="L37" s="3">
        <v>2668</v>
      </c>
      <c r="M37" s="3"/>
      <c r="N37" s="3"/>
    </row>
    <row r="38" spans="2:14" s="1" customFormat="1" x14ac:dyDescent="0.2">
      <c r="B38" s="1" t="s">
        <v>10</v>
      </c>
      <c r="C38" s="3"/>
      <c r="D38" s="3"/>
      <c r="E38" s="3"/>
      <c r="F38" s="3"/>
      <c r="G38" s="3"/>
      <c r="H38" s="3"/>
      <c r="I38" s="3"/>
      <c r="J38" s="3"/>
      <c r="K38" s="3"/>
      <c r="L38" s="3">
        <v>1607</v>
      </c>
      <c r="M38" s="3"/>
      <c r="N38" s="3"/>
    </row>
    <row r="39" spans="2:14" s="1" customFormat="1" x14ac:dyDescent="0.2">
      <c r="B39" s="1" t="s">
        <v>47</v>
      </c>
      <c r="C39" s="3"/>
      <c r="D39" s="3"/>
      <c r="E39" s="3"/>
      <c r="F39" s="3"/>
      <c r="G39" s="3"/>
      <c r="H39" s="3"/>
      <c r="I39" s="3"/>
      <c r="J39" s="3"/>
      <c r="K39" s="3"/>
      <c r="L39" s="3">
        <f>SUM(L27:L38)</f>
        <v>64125</v>
      </c>
      <c r="M39" s="3"/>
      <c r="N39" s="3"/>
    </row>
    <row r="41" spans="2:14" s="1" customFormat="1" x14ac:dyDescent="0.2">
      <c r="B41" s="1" t="s">
        <v>4</v>
      </c>
      <c r="C41" s="3"/>
      <c r="D41" s="3"/>
      <c r="E41" s="3"/>
      <c r="F41" s="3"/>
      <c r="G41" s="3"/>
      <c r="H41" s="3"/>
      <c r="I41" s="3"/>
      <c r="J41" s="3"/>
      <c r="K41" s="3"/>
      <c r="L41" s="3">
        <f>4120+27636</f>
        <v>31756</v>
      </c>
      <c r="M41" s="3"/>
      <c r="N41" s="3"/>
    </row>
    <row r="42" spans="2:14" s="1" customFormat="1" x14ac:dyDescent="0.2">
      <c r="B42" s="1" t="s">
        <v>50</v>
      </c>
      <c r="C42" s="3"/>
      <c r="D42" s="3"/>
      <c r="E42" s="3"/>
      <c r="F42" s="3"/>
      <c r="G42" s="3"/>
      <c r="H42" s="3"/>
      <c r="I42" s="3"/>
      <c r="J42" s="3"/>
      <c r="K42" s="3"/>
      <c r="L42" s="3">
        <v>3016</v>
      </c>
      <c r="M42" s="3"/>
      <c r="N42" s="3"/>
    </row>
    <row r="43" spans="2:14" s="1" customFormat="1" x14ac:dyDescent="0.2">
      <c r="B43" s="1" t="s">
        <v>26</v>
      </c>
      <c r="C43" s="3"/>
      <c r="D43" s="3"/>
      <c r="E43" s="3"/>
      <c r="F43" s="3"/>
      <c r="G43" s="3"/>
      <c r="H43" s="3"/>
      <c r="I43" s="3"/>
      <c r="J43" s="3"/>
      <c r="K43" s="3"/>
      <c r="L43" s="3">
        <v>1767</v>
      </c>
      <c r="M43" s="3"/>
      <c r="N43" s="3"/>
    </row>
    <row r="44" spans="2:14" s="1" customFormat="1" x14ac:dyDescent="0.2">
      <c r="B44" s="1" t="s">
        <v>51</v>
      </c>
      <c r="C44" s="3"/>
      <c r="D44" s="3"/>
      <c r="E44" s="3"/>
      <c r="F44" s="3"/>
      <c r="G44" s="3"/>
      <c r="H44" s="3"/>
      <c r="I44" s="3"/>
      <c r="J44" s="3"/>
      <c r="K44" s="3"/>
      <c r="L44" s="3">
        <v>8030</v>
      </c>
      <c r="M44" s="3"/>
      <c r="N44" s="3"/>
    </row>
    <row r="45" spans="2:14" s="1" customFormat="1" x14ac:dyDescent="0.2">
      <c r="B45" s="1" t="s">
        <v>52</v>
      </c>
      <c r="C45" s="3"/>
      <c r="D45" s="3"/>
      <c r="E45" s="3"/>
      <c r="F45" s="3"/>
      <c r="G45" s="3"/>
      <c r="H45" s="3"/>
      <c r="I45" s="3"/>
      <c r="J45" s="3"/>
      <c r="K45" s="3"/>
      <c r="L45" s="3">
        <f>3619+6031</f>
        <v>9650</v>
      </c>
      <c r="M45" s="3"/>
      <c r="N45" s="3"/>
    </row>
    <row r="46" spans="2:14" s="1" customFormat="1" x14ac:dyDescent="0.2">
      <c r="B46" s="1" t="s">
        <v>44</v>
      </c>
      <c r="C46" s="3"/>
      <c r="D46" s="3"/>
      <c r="E46" s="3"/>
      <c r="F46" s="3"/>
      <c r="G46" s="3"/>
      <c r="H46" s="3"/>
      <c r="I46" s="3"/>
      <c r="J46" s="3"/>
      <c r="K46" s="3"/>
      <c r="L46" s="3">
        <f>1209+6482</f>
        <v>7691</v>
      </c>
      <c r="M46" s="3"/>
      <c r="N46" s="3"/>
    </row>
    <row r="47" spans="2:14" s="1" customFormat="1" x14ac:dyDescent="0.2">
      <c r="B47" s="1" t="s">
        <v>10</v>
      </c>
      <c r="C47" s="3"/>
      <c r="D47" s="3"/>
      <c r="E47" s="3"/>
      <c r="F47" s="3"/>
      <c r="G47" s="3"/>
      <c r="H47" s="3"/>
      <c r="I47" s="3"/>
      <c r="J47" s="3"/>
      <c r="K47" s="3"/>
      <c r="L47" s="3">
        <f>1460+2849</f>
        <v>4309</v>
      </c>
      <c r="M47" s="3"/>
      <c r="N47" s="3"/>
    </row>
    <row r="48" spans="2:14" s="1" customFormat="1" x14ac:dyDescent="0.2">
      <c r="B48" s="1" t="s">
        <v>53</v>
      </c>
      <c r="C48" s="3"/>
      <c r="D48" s="3"/>
      <c r="E48" s="3"/>
      <c r="F48" s="3"/>
      <c r="G48" s="3"/>
      <c r="H48" s="3"/>
      <c r="I48" s="3"/>
      <c r="J48" s="3"/>
      <c r="K48" s="3"/>
      <c r="L48" s="3">
        <v>2652</v>
      </c>
      <c r="M48" s="3"/>
      <c r="N48" s="3"/>
    </row>
    <row r="49" spans="2:30" s="1" customFormat="1" x14ac:dyDescent="0.2">
      <c r="B49" s="1" t="s">
        <v>48</v>
      </c>
      <c r="C49" s="3"/>
      <c r="D49" s="3"/>
      <c r="E49" s="3"/>
      <c r="F49" s="3"/>
      <c r="G49" s="3"/>
      <c r="H49" s="3"/>
      <c r="I49" s="3"/>
      <c r="J49" s="3"/>
      <c r="K49" s="3"/>
      <c r="L49" s="3">
        <v>-4746</v>
      </c>
      <c r="M49" s="3"/>
      <c r="N49" s="3"/>
    </row>
    <row r="50" spans="2:30" s="1" customFormat="1" x14ac:dyDescent="0.2">
      <c r="B50" s="1" t="s">
        <v>49</v>
      </c>
      <c r="C50" s="3"/>
      <c r="D50" s="3"/>
      <c r="E50" s="3"/>
      <c r="F50" s="3"/>
      <c r="G50" s="3"/>
      <c r="H50" s="3"/>
      <c r="I50" s="3"/>
      <c r="J50" s="3"/>
      <c r="K50" s="3"/>
      <c r="L50" s="3">
        <f>SUM(L41:L49)</f>
        <v>64125</v>
      </c>
      <c r="M50" s="3"/>
      <c r="N50" s="3"/>
    </row>
    <row r="54" spans="2:30" s="1" customFormat="1" x14ac:dyDescent="0.2">
      <c r="B54" s="1" t="s">
        <v>55</v>
      </c>
      <c r="C54" s="3"/>
      <c r="D54" s="3"/>
      <c r="E54" s="3"/>
      <c r="F54" s="3"/>
      <c r="G54" s="3"/>
      <c r="H54" s="3">
        <f>5096-G54</f>
        <v>5096</v>
      </c>
      <c r="I54" s="3"/>
      <c r="J54" s="3"/>
      <c r="K54" s="3"/>
      <c r="L54" s="3">
        <f>3308-K54</f>
        <v>3308</v>
      </c>
      <c r="M54" s="3"/>
      <c r="N54" s="3"/>
      <c r="P54" s="1">
        <v>1285</v>
      </c>
      <c r="Q54" s="1">
        <v>675</v>
      </c>
      <c r="R54" s="1">
        <v>3080</v>
      </c>
      <c r="S54" s="7">
        <v>6249</v>
      </c>
      <c r="T54" s="7">
        <v>6524</v>
      </c>
      <c r="U54" s="1">
        <v>2870</v>
      </c>
      <c r="V54" s="1">
        <v>3533</v>
      </c>
      <c r="W54" s="1">
        <v>3815</v>
      </c>
      <c r="X54" s="1">
        <v>-6543</v>
      </c>
      <c r="Y54" s="7">
        <v>704</v>
      </c>
      <c r="Z54" s="1">
        <v>2173</v>
      </c>
      <c r="AA54" s="7">
        <v>3803</v>
      </c>
    </row>
    <row r="55" spans="2:30" s="1" customFormat="1" x14ac:dyDescent="0.2">
      <c r="B55" s="1" t="s">
        <v>56</v>
      </c>
      <c r="C55" s="3"/>
      <c r="D55" s="3"/>
      <c r="E55" s="3"/>
      <c r="F55" s="3"/>
      <c r="G55" s="3"/>
      <c r="H55" s="3">
        <f>-1244-G55</f>
        <v>-1244</v>
      </c>
      <c r="I55" s="3"/>
      <c r="J55" s="3"/>
      <c r="K55" s="3"/>
      <c r="L55" s="3">
        <f>-1475-K55</f>
        <v>-1475</v>
      </c>
      <c r="M55" s="3"/>
      <c r="N55" s="3"/>
      <c r="P55" s="1">
        <v>-1888</v>
      </c>
      <c r="Q55" s="1">
        <v>-3114</v>
      </c>
      <c r="R55" s="1">
        <v>-5311</v>
      </c>
      <c r="S55" s="7">
        <v>-6151</v>
      </c>
      <c r="T55" s="7">
        <v>-5731</v>
      </c>
      <c r="U55" s="1">
        <v>-5881</v>
      </c>
      <c r="V55" s="1">
        <v>-3745</v>
      </c>
      <c r="W55" s="1">
        <v>-4268</v>
      </c>
      <c r="X55" s="1">
        <v>-1958</v>
      </c>
      <c r="Y55" s="7">
        <v>-208</v>
      </c>
      <c r="Z55" s="1">
        <v>-2546</v>
      </c>
      <c r="AA55" s="7">
        <v>-2596</v>
      </c>
    </row>
    <row r="56" spans="2:30" s="1" customFormat="1" x14ac:dyDescent="0.2">
      <c r="B56" s="1" t="s">
        <v>57</v>
      </c>
      <c r="C56" s="3"/>
      <c r="D56" s="3"/>
      <c r="E56" s="3"/>
      <c r="F56" s="3"/>
      <c r="G56" s="3"/>
      <c r="H56" s="3">
        <f>+H54+H55</f>
        <v>3852</v>
      </c>
      <c r="I56" s="3"/>
      <c r="J56" s="3"/>
      <c r="K56" s="3"/>
      <c r="L56" s="3">
        <f t="shared" ref="L56" si="4">+L54+L55</f>
        <v>1833</v>
      </c>
      <c r="M56" s="3"/>
      <c r="N56" s="3"/>
      <c r="P56" s="4">
        <f t="shared" ref="P56:T56" si="5">+P54+P55</f>
        <v>-603</v>
      </c>
      <c r="Q56" s="4">
        <f t="shared" si="5"/>
        <v>-2439</v>
      </c>
      <c r="R56" s="4">
        <f t="shared" si="5"/>
        <v>-2231</v>
      </c>
      <c r="S56" s="8">
        <f t="shared" si="5"/>
        <v>98</v>
      </c>
      <c r="T56" s="8">
        <f t="shared" si="5"/>
        <v>793</v>
      </c>
      <c r="U56" s="4">
        <f>+U54+U55</f>
        <v>-3011</v>
      </c>
      <c r="V56" s="4">
        <f>+V54+V55</f>
        <v>-212</v>
      </c>
      <c r="W56" s="4">
        <f>+W54+W55</f>
        <v>-453</v>
      </c>
      <c r="X56" s="4">
        <f>+X54+X55</f>
        <v>-8501</v>
      </c>
      <c r="Y56" s="8">
        <f>+Y54+Y55</f>
        <v>496</v>
      </c>
      <c r="Z56" s="4">
        <f>+Z54+Z55</f>
        <v>-373</v>
      </c>
      <c r="AA56" s="8">
        <f>+AA54+AA55</f>
        <v>1207</v>
      </c>
      <c r="AD56" s="1">
        <f>MAX(R56:AA56)</f>
        <v>1207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2024-09-26T16:36:21Z</dcterms:created>
  <dcterms:modified xsi:type="dcterms:W3CDTF">2024-09-26T17:37:57Z</dcterms:modified>
</cp:coreProperties>
</file>