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67C1AC7-DC35-4D5A-B9AA-B049CCB9747C}" xr6:coauthVersionLast="47" xr6:coauthVersionMax="47" xr10:uidLastSave="{00000000-0000-0000-0000-000000000000}"/>
  <bookViews>
    <workbookView xWindow="-25425" yWindow="2895" windowWidth="28905" windowHeight="1728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6" i="2" l="1"/>
  <c r="AD15" i="2"/>
  <c r="AD14" i="2"/>
  <c r="AD10" i="2"/>
  <c r="AD8" i="2"/>
  <c r="AD7" i="2"/>
  <c r="AD6" i="2"/>
  <c r="AD5" i="2"/>
  <c r="AD4" i="2"/>
  <c r="AC89" i="2"/>
  <c r="AB89" i="2"/>
  <c r="AA89" i="2"/>
  <c r="Z89" i="2"/>
  <c r="Z86" i="2"/>
  <c r="Y86" i="2"/>
  <c r="X86" i="2"/>
  <c r="Z84" i="2"/>
  <c r="Z83" i="2"/>
  <c r="Z82" i="2"/>
  <c r="Z81" i="2"/>
  <c r="Z80" i="2"/>
  <c r="Z79" i="2"/>
  <c r="Z74" i="2"/>
  <c r="Z77" i="2"/>
  <c r="Z76" i="2"/>
  <c r="Z75" i="2"/>
  <c r="Z72" i="2"/>
  <c r="Z71" i="2"/>
  <c r="Z70" i="2"/>
  <c r="Z69" i="2"/>
  <c r="Z68" i="2"/>
  <c r="Z67" i="2"/>
  <c r="Z61" i="2"/>
  <c r="Z49" i="2"/>
  <c r="Z16" i="2"/>
  <c r="Z15" i="2"/>
  <c r="Z14" i="2"/>
  <c r="Z10" i="2"/>
  <c r="R8" i="2"/>
  <c r="R7" i="2"/>
  <c r="R6" i="2"/>
  <c r="R5" i="2"/>
  <c r="R4" i="2"/>
  <c r="V8" i="2"/>
  <c r="V7" i="2"/>
  <c r="V6" i="2"/>
  <c r="V5" i="2"/>
  <c r="V4" i="2"/>
  <c r="Z8" i="2"/>
  <c r="Z7" i="2"/>
  <c r="Z6" i="2"/>
  <c r="Z5" i="2"/>
  <c r="Z4" i="2"/>
  <c r="Z88" i="2"/>
  <c r="Y88" i="2"/>
  <c r="X88" i="2"/>
  <c r="W88" i="2"/>
  <c r="Y81" i="2"/>
  <c r="Y84" i="2"/>
  <c r="Y83" i="2"/>
  <c r="Y82" i="2"/>
  <c r="Y80" i="2"/>
  <c r="Y79" i="2"/>
  <c r="Y75" i="2"/>
  <c r="Y77" i="2" s="1"/>
  <c r="Y76" i="2"/>
  <c r="Y74" i="2"/>
  <c r="Y72" i="2"/>
  <c r="Y71" i="2"/>
  <c r="Y70" i="2"/>
  <c r="Y69" i="2"/>
  <c r="Y68" i="2"/>
  <c r="Y67" i="2"/>
  <c r="Z66" i="2"/>
  <c r="Y66" i="2"/>
  <c r="Y61" i="2"/>
  <c r="Y49" i="2"/>
  <c r="Y56" i="2" s="1"/>
  <c r="AD89" i="2"/>
  <c r="AE89" i="2"/>
  <c r="AE88" i="2"/>
  <c r="AD88" i="2"/>
  <c r="AC88" i="2"/>
  <c r="AB88" i="2"/>
  <c r="AA88" i="2"/>
  <c r="AD86" i="2"/>
  <c r="AD84" i="2"/>
  <c r="AD83" i="2"/>
  <c r="AD82" i="2"/>
  <c r="AD81" i="2"/>
  <c r="AD80" i="2"/>
  <c r="AD79" i="2"/>
  <c r="AD77" i="2"/>
  <c r="AD76" i="2"/>
  <c r="AD75" i="2"/>
  <c r="AD74" i="2"/>
  <c r="AD72" i="2"/>
  <c r="AD71" i="2"/>
  <c r="AD70" i="2"/>
  <c r="AD69" i="2"/>
  <c r="AD68" i="2"/>
  <c r="AD67" i="2"/>
  <c r="AC86" i="2"/>
  <c r="AC84" i="2"/>
  <c r="AC83" i="2"/>
  <c r="AC82" i="2"/>
  <c r="AC81" i="2"/>
  <c r="AC80" i="2"/>
  <c r="AC79" i="2"/>
  <c r="AC77" i="2"/>
  <c r="AC76" i="2"/>
  <c r="AC75" i="2"/>
  <c r="AC74" i="2"/>
  <c r="AC72" i="2"/>
  <c r="AC71" i="2"/>
  <c r="AC70" i="2"/>
  <c r="AC69" i="2"/>
  <c r="AC68" i="2"/>
  <c r="AC67" i="2"/>
  <c r="AD64" i="2"/>
  <c r="AC64" i="2"/>
  <c r="AC61" i="2"/>
  <c r="AC49" i="2"/>
  <c r="AC56" i="2"/>
  <c r="AC48" i="2"/>
  <c r="AB86" i="2"/>
  <c r="AB82" i="2"/>
  <c r="AB84" i="2" s="1"/>
  <c r="AB83" i="2"/>
  <c r="AB81" i="2"/>
  <c r="AB80" i="2"/>
  <c r="AB79" i="2"/>
  <c r="AB77" i="2"/>
  <c r="AB76" i="2"/>
  <c r="AB75" i="2"/>
  <c r="AB74" i="2"/>
  <c r="AB72" i="2"/>
  <c r="AB71" i="2"/>
  <c r="AB70" i="2"/>
  <c r="AB69" i="2"/>
  <c r="AB68" i="2"/>
  <c r="AB67" i="2"/>
  <c r="AB61" i="2"/>
  <c r="AB64" i="2"/>
  <c r="AB49" i="2"/>
  <c r="AB56" i="2" s="1"/>
  <c r="AA86" i="2"/>
  <c r="AA84" i="2"/>
  <c r="AA77" i="2"/>
  <c r="AA74" i="2"/>
  <c r="AA71" i="2"/>
  <c r="AA66" i="2"/>
  <c r="AA72" i="2"/>
  <c r="AA64" i="2"/>
  <c r="Z64" i="2"/>
  <c r="Y64" i="2"/>
  <c r="AA61" i="2"/>
  <c r="AA56" i="2"/>
  <c r="Z56" i="2"/>
  <c r="AA49" i="2"/>
  <c r="AB48" i="2"/>
  <c r="AA48" i="2"/>
  <c r="Z48" i="2"/>
  <c r="Y48" i="2"/>
  <c r="BD88" i="2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B66" i="2"/>
  <c r="AC66" i="2"/>
  <c r="AD66" i="2"/>
  <c r="AD61" i="2"/>
  <c r="AD49" i="2"/>
  <c r="AD56" i="2" s="1"/>
  <c r="AH44" i="2"/>
  <c r="AG44" i="2"/>
  <c r="AF44" i="2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18" i="2"/>
  <c r="AF41" i="2" s="1"/>
  <c r="AF19" i="2"/>
  <c r="AF38" i="2" s="1"/>
  <c r="AF34" i="2"/>
  <c r="AG34" i="2" s="1"/>
  <c r="AH38" i="2"/>
  <c r="AG38" i="2"/>
  <c r="AH26" i="2"/>
  <c r="AG26" i="2"/>
  <c r="AF26" i="2"/>
  <c r="AH25" i="2"/>
  <c r="AG25" i="2"/>
  <c r="AF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AD48" i="2" l="1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B28" i="2" l="1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AF24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31" i="2"/>
  <c r="AF43" i="2" s="1"/>
  <c r="AF32" i="2"/>
  <c r="AF33" i="2" s="1"/>
  <c r="AE33" i="2"/>
  <c r="AE66" i="2"/>
  <c r="AH31" i="2"/>
  <c r="AH43" i="2" s="1"/>
  <c r="AH32" i="2"/>
  <c r="AH33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G32" i="2" l="1"/>
  <c r="AG33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<sst xmlns="http://schemas.openxmlformats.org/spreadsheetml/2006/main" count="174" uniqueCount="163">
  <si>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</si>
  <si>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</si>
  <si>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</si>
  <si>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</si>
  <si>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</si>
  <si>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</si>
  <si>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</si>
  <si>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</si>
  <si>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</si>
  <si>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</si>
  <si>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</si>
  <si>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</si>
  <si>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</si>
  <si>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</si>
  <si>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</si>
  <si>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</si>
  <si>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</si>
  <si>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</si>
  <si>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</si>
  <si>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</si>
  <si>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</si>
  <si>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</si>
  <si>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</si>
  <si>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</si>
  <si>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</si>
  <si>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</si>
  <si>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</si>
  <si>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</si>
  <si>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</si>
  <si>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</si>
  <si>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</si>
  <si>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</si>
  <si>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</si>
  <si>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</si>
  <si>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</si>
  <si>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</si>
  <si>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</si>
  <si>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</si>
  <si>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</si>
  <si>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</si>
  <si>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</si>
  <si>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</si>
  <si>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</si>
  <si>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</si>
  <si>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</si>
  <si>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</si>
  <si>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</si>
  <si>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</si>
  <si>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</si>
  <si>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</si>
  <si>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</si>
  <si>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</si>
  <si>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</si>
  <si>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</si>
  <si>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</si>
  <si>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</si>
  <si>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</si>
  <si>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</si>
  <si>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</si>
  <si>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</si>
  <si>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</si>
  <si>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</si>
  <si>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</si>
  <si>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</si>
  <si>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</si>
  <si>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</si>
  <si>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</si>
  <si>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</si>
  <si>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</si>
  <si>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</si>
  <si>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</si>
  <si>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</si>
  <si>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</si>
  <si>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</si>
  <si>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</si>
  <si>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</si>
  <si>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</si>
  <si>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</si>
  <si>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</si>
  <si>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</si>
  <si>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</si>
  <si>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</si>
  <si>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</si>
  <si>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</si>
  <si>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</si>
  <si>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</si>
  <si>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</si>
  <si>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</si>
  <si>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</si>
  <si>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</si>
  <si>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</si>
  <si>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</si>
  <si>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</si>
  <si>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</si>
  <si>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</si>
  <si>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</si>
  <si>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</si>
  <si>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</si>
  <si>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</si>
  <si>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</si>
  <si>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</si>
  <si>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</si>
  <si>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</si>
  <si>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</si>
  <si>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</si>
  <si>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</si>
  <si>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</si>
  <si>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</si>
  <si>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</si>
  <si>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</si>
  <si>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</si>
  <si>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</si>
  <si>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</si>
  <si>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</si>
  <si>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</si>
  <si>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</si>
  <si>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</si>
  <si>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</si>
  <si>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</si>
  <si>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</si>
  <si>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</si>
  <si>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</si>
  <si>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</si>
  <si>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</si>
  <si>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</si>
  <si>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</si>
  <si>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</si>
  <si>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</si>
  <si>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</si>
  <si>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</si>
  <si>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</si>
  <si>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</si>
  <si>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</si>
  <si>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</si>
  <si>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</si>
  <si>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</si>
  <si>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</si>
  <si>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</si>
  <si>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</si>
  <si>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</si>
  <si>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</si>
  <si>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</si>
  <si>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</si>
  <si>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</si>
  <si>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</si>
  <si>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</si>
  <si>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</si>
  <si>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</si>
  <si>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</si>
  <si>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</si>
  <si>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</si>
  <si>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</si>
  <si>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</si>
  <si>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</si>
  <si>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</si>
  <si>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</si>
  <si>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</si>
  <si>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</si>
  <si>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</si>
  <si>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</si>
  <si>
    <t>EPS y/y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</si>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</sst>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107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1604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zoomScale="160" zoomScaleNormal="160" workbookViewId="0">
      <selection activeCell="K12" sqref="K12"/>
    </sheetView>
  </sheetViews>
  <sheetFormatPr defaultColWidth="8.85546875"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203</v>
      </c>
    </row>
    <row r="3" spans="14:16" x14ac:dyDescent="0.2">
      <c r="N3" t="s">
        <v>1</v>
      </c>
      <c r="O3" s="2">
        <v>15151</v>
      </c>
      <c r="P3" s="1" t="s">
        <v>159</v>
      </c>
    </row>
    <row r="4" spans="14:16" x14ac:dyDescent="0.2">
      <c r="N4" t="s">
        <v>2</v>
      </c>
      <c r="O4" s="2">
        <f>+O2*O3</f>
        <v>3075653</v>
      </c>
    </row>
    <row r="5" spans="14:16" x14ac:dyDescent="0.2">
      <c r="N5" t="s">
        <v>3</v>
      </c>
      <c r="O5" s="2">
        <v>141368</v>
      </c>
      <c r="P5" s="1" t="s">
        <v>159</v>
      </c>
    </row>
    <row r="6" spans="14:16" x14ac:dyDescent="0.2">
      <c r="N6" t="s">
        <v>4</v>
      </c>
      <c r="O6" s="2">
        <v>96799</v>
      </c>
      <c r="P6" s="1" t="s">
        <v>159</v>
      </c>
    </row>
    <row r="7" spans="14:16" x14ac:dyDescent="0.2">
      <c r="N7" t="s">
        <v>5</v>
      </c>
      <c r="O7" s="2">
        <f>+O4-O5+O6</f>
        <v>3031084</v>
      </c>
    </row>
    <row r="10" spans="14:16" x14ac:dyDescent="0.2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Normal="100" workbookViewId="0">
      <pane xSplit="2" ySplit="3" topLeftCell="T4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ColWidth="8.85546875"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3" max="63" width="9.85546875" bestFit="1" customWidth="1"/>
    <col min="80" max="80" width="9.42578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7" customFormat="1" x14ac:dyDescent="0.2">
      <c r="B4" s="17" t="s">
        <v>144</v>
      </c>
      <c r="R4" s="7">
        <f>153306-Q4-P4-O4</f>
        <v>153306</v>
      </c>
      <c r="T4" s="7">
        <v>40882</v>
      </c>
      <c r="U4" s="7">
        <v>37472</v>
      </c>
      <c r="V4" s="7">
        <f>169658-U4-T4-S4</f>
        <v>91304</v>
      </c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  <c r="AC4" s="7">
        <v>37678</v>
      </c>
      <c r="AD4" s="7">
        <f>167045-AC4-AB4-AA4</f>
        <v>41664</v>
      </c>
      <c r="AE4" s="7">
        <v>52648</v>
      </c>
    </row>
    <row r="5" spans="1:80" s="7" customFormat="1" x14ac:dyDescent="0.2">
      <c r="B5" s="17" t="s">
        <v>145</v>
      </c>
      <c r="R5" s="7">
        <f>89307-Q5-P5-O5</f>
        <v>89307</v>
      </c>
      <c r="T5" s="7">
        <v>23287</v>
      </c>
      <c r="U5" s="7">
        <v>19287</v>
      </c>
      <c r="V5" s="7">
        <f>95118-U5-T5-S5</f>
        <v>52544</v>
      </c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  <c r="AC5" s="7">
        <v>21884</v>
      </c>
      <c r="AD5" s="7">
        <f>101328-AC5-AB5-AA5</f>
        <v>24924</v>
      </c>
      <c r="AE5" s="7">
        <v>33861</v>
      </c>
    </row>
    <row r="6" spans="1:80" s="7" customFormat="1" x14ac:dyDescent="0.2">
      <c r="B6" s="17" t="s">
        <v>146</v>
      </c>
      <c r="R6" s="7">
        <f>68366-Q6-P6-O6</f>
        <v>68366</v>
      </c>
      <c r="T6" s="7">
        <v>18343</v>
      </c>
      <c r="U6" s="7">
        <v>14604</v>
      </c>
      <c r="V6" s="7">
        <f>74200-U6-T6-S6</f>
        <v>41253</v>
      </c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  <c r="AC6" s="7">
        <v>14728</v>
      </c>
      <c r="AD6" s="7">
        <f>66952-AC6-AB6-AA6</f>
        <v>15033</v>
      </c>
      <c r="AE6" s="7">
        <v>18513</v>
      </c>
    </row>
    <row r="7" spans="1:80" s="7" customFormat="1" x14ac:dyDescent="0.2">
      <c r="B7" s="17" t="s">
        <v>147</v>
      </c>
      <c r="R7" s="7">
        <f>28482-Q7-P7-O7</f>
        <v>28482</v>
      </c>
      <c r="T7" s="7">
        <v>7724</v>
      </c>
      <c r="U7" s="7">
        <v>5446</v>
      </c>
      <c r="V7" s="7">
        <f>25977-U7-T7-S7</f>
        <v>12807</v>
      </c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  <c r="AC7" s="7">
        <v>5097</v>
      </c>
      <c r="AD7" s="7">
        <f>25052-AC7-AB7-AA7</f>
        <v>5926</v>
      </c>
      <c r="AE7" s="7">
        <v>8987</v>
      </c>
    </row>
    <row r="8" spans="1:80" s="7" customFormat="1" x14ac:dyDescent="0.2">
      <c r="B8" s="17" t="s">
        <v>148</v>
      </c>
      <c r="R8" s="7">
        <f>26356-Q8-P8-O8</f>
        <v>26356</v>
      </c>
      <c r="T8" s="7">
        <v>7042</v>
      </c>
      <c r="U8" s="7">
        <v>6150</v>
      </c>
      <c r="V8" s="7">
        <f>29375-U8-T8-S8</f>
        <v>16183</v>
      </c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  <c r="AC8" s="7">
        <v>6390</v>
      </c>
      <c r="AD8" s="7">
        <f>30658-AC8-AB8-AA8</f>
        <v>7383</v>
      </c>
      <c r="AE8" s="7">
        <v>10291</v>
      </c>
    </row>
    <row r="9" spans="1:80" s="1" customFormat="1" x14ac:dyDescent="0.2"/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200583-Y10-X10-W10</f>
        <v>43805</v>
      </c>
      <c r="AA10" s="7">
        <v>69702</v>
      </c>
      <c r="AB10" s="7">
        <v>45963</v>
      </c>
      <c r="AC10" s="7">
        <v>39296</v>
      </c>
      <c r="AD10" s="7">
        <f>201183-AC10-AB10-AA10</f>
        <v>46222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2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">
      <c r="B13" s="2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v>7009</v>
      </c>
      <c r="AD14" s="7">
        <f>29984-AC14-AB14-AA14</f>
        <v>7744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v>7162</v>
      </c>
      <c r="AD15" s="7">
        <f>26694-AC15-AB15-AA15</f>
        <v>6950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v>8097</v>
      </c>
      <c r="AD16" s="7">
        <f>37005-AC16-AB16-AA16</f>
        <v>9042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2">
      <c r="B17" s="2"/>
    </row>
    <row r="18" spans="2:192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x14ac:dyDescent="0.2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94047.23000000001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E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2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E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2">+AB26</f>
        <v>6468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3">+BL26*1.03</f>
        <v>26879.91</v>
      </c>
      <c r="BN26" s="2">
        <f t="shared" si="73"/>
        <v>27686.3073</v>
      </c>
      <c r="BO26" s="2">
        <f t="shared" si="73"/>
        <v>28516.896519000002</v>
      </c>
      <c r="BP26" s="2">
        <f t="shared" si="73"/>
        <v>29372.403414570002</v>
      </c>
      <c r="BQ26" s="2">
        <f t="shared" si="73"/>
        <v>30253.575517007102</v>
      </c>
      <c r="BR26" s="2">
        <f t="shared" si="73"/>
        <v>31161.182782517317</v>
      </c>
      <c r="BS26" s="2">
        <f t="shared" si="73"/>
        <v>32096.018265992836</v>
      </c>
      <c r="BT26" s="2">
        <f t="shared" si="73"/>
        <v>33058.898813972621</v>
      </c>
      <c r="BU26" s="2">
        <f t="shared" si="73"/>
        <v>34050.665778391798</v>
      </c>
      <c r="BV26" s="2">
        <f t="shared" si="73"/>
        <v>35072.185751743556</v>
      </c>
      <c r="BW26" s="2">
        <f t="shared" si="73"/>
        <v>36124.351324295865</v>
      </c>
      <c r="BX26" s="2">
        <f t="shared" si="73"/>
        <v>37208.081864024745</v>
      </c>
      <c r="BY26" s="2">
        <f t="shared" si="73"/>
        <v>38324.324319945488</v>
      </c>
      <c r="BZ26" s="2">
        <f t="shared" si="73"/>
        <v>39474.054049543854</v>
      </c>
      <c r="CA26" s="2">
        <f t="shared" si="73"/>
        <v>40658.275671030169</v>
      </c>
      <c r="CB26" s="2">
        <f t="shared" si="73"/>
        <v>41878.023941161075</v>
      </c>
    </row>
    <row r="27" spans="2:192" s="2" customFormat="1" x14ac:dyDescent="0.2">
      <c r="B27" s="2" t="s">
        <v>28</v>
      </c>
      <c r="C27" s="2">
        <f t="shared" ref="C27" si="74">+C25+C26</f>
        <v>7638</v>
      </c>
      <c r="D27" s="2">
        <f t="shared" ref="D27:F27" si="75">+D25+D26</f>
        <v>7528</v>
      </c>
      <c r="E27" s="2">
        <f t="shared" si="75"/>
        <v>7809</v>
      </c>
      <c r="F27" s="2">
        <f t="shared" si="75"/>
        <v>7966</v>
      </c>
      <c r="K27" s="2">
        <f t="shared" ref="K27:N27" si="76">+K25+K26</f>
        <v>9648</v>
      </c>
      <c r="L27" s="2">
        <f t="shared" si="76"/>
        <v>9517</v>
      </c>
      <c r="M27" s="2">
        <f t="shared" si="76"/>
        <v>9589</v>
      </c>
      <c r="N27" s="2">
        <f t="shared" si="7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7">+R25+R26</f>
        <v>11388</v>
      </c>
      <c r="S27" s="2">
        <f t="shared" ref="S27" si="78">+S25+S26</f>
        <v>12755</v>
      </c>
      <c r="T27" s="2">
        <f>+T25+T26</f>
        <v>12580</v>
      </c>
      <c r="U27" s="2">
        <f t="shared" ref="U27" si="79">+U25+U26</f>
        <v>12809</v>
      </c>
      <c r="V27" s="2">
        <f t="shared" ref="V27:Z27" si="80">+V25+V26</f>
        <v>13201</v>
      </c>
      <c r="W27" s="2">
        <f t="shared" si="80"/>
        <v>14316</v>
      </c>
      <c r="X27" s="2">
        <f t="shared" si="80"/>
        <v>13658</v>
      </c>
      <c r="Y27" s="2">
        <f t="shared" si="80"/>
        <v>13415</v>
      </c>
      <c r="Z27" s="2">
        <f t="shared" si="80"/>
        <v>13458</v>
      </c>
      <c r="AA27" s="2">
        <f t="shared" ref="AA27:AB27" si="81">+AA25+AA26</f>
        <v>14482</v>
      </c>
      <c r="AB27" s="2">
        <f t="shared" si="81"/>
        <v>14371</v>
      </c>
      <c r="AC27" s="2">
        <f t="shared" ref="AC27:AD27" si="82">+AC25+AC26</f>
        <v>14326</v>
      </c>
      <c r="AD27" s="2">
        <f t="shared" si="82"/>
        <v>14288</v>
      </c>
      <c r="AE27" s="2">
        <f t="shared" ref="AE27:AH27" si="83">+AE25+AE26</f>
        <v>15443</v>
      </c>
      <c r="AF27" s="2">
        <f t="shared" si="83"/>
        <v>14371</v>
      </c>
      <c r="AG27" s="2">
        <f t="shared" si="83"/>
        <v>14326</v>
      </c>
      <c r="AH27" s="2">
        <f t="shared" si="83"/>
        <v>14288</v>
      </c>
      <c r="AN27" s="2">
        <f t="shared" ref="AN27:AO27" si="84">+AN25+AN26</f>
        <v>1546</v>
      </c>
      <c r="AO27" s="2">
        <f t="shared" si="84"/>
        <v>1568</v>
      </c>
      <c r="AP27" s="2">
        <f t="shared" ref="AP27:AR27" si="85">+AP25+AP26</f>
        <v>1555</v>
      </c>
      <c r="AQ27" s="2">
        <f t="shared" si="85"/>
        <v>1683</v>
      </c>
      <c r="AR27" s="2">
        <f t="shared" si="85"/>
        <v>1910</v>
      </c>
      <c r="AS27" s="2">
        <f t="shared" ref="AS27:AT27" si="86">+AS25+AS26</f>
        <v>2393</v>
      </c>
      <c r="AT27" s="2">
        <f t="shared" si="86"/>
        <v>3145</v>
      </c>
      <c r="AU27" s="2">
        <f t="shared" ref="AU27:AV27" si="87">+AU25+AU26</f>
        <v>3745</v>
      </c>
      <c r="AV27" s="2">
        <f t="shared" si="87"/>
        <v>4870</v>
      </c>
      <c r="AW27" s="2">
        <f t="shared" ref="AW27:AY27" si="88">+AW25+AW26</f>
        <v>5482</v>
      </c>
      <c r="AX27" s="2">
        <f t="shared" si="88"/>
        <v>7299</v>
      </c>
      <c r="AY27" s="2">
        <f t="shared" si="88"/>
        <v>10028</v>
      </c>
      <c r="AZ27" s="2">
        <f t="shared" ref="AZ27:BE27" si="89">+AZ25+AZ26</f>
        <v>13421</v>
      </c>
      <c r="BA27" s="2">
        <f t="shared" si="89"/>
        <v>15305</v>
      </c>
      <c r="BB27" s="2">
        <f t="shared" si="89"/>
        <v>18034</v>
      </c>
      <c r="BC27" s="2">
        <f t="shared" si="89"/>
        <v>22396</v>
      </c>
      <c r="BD27" s="2">
        <f t="shared" si="89"/>
        <v>24239</v>
      </c>
      <c r="BE27" s="2">
        <f t="shared" si="89"/>
        <v>26842</v>
      </c>
      <c r="BF27" s="2">
        <f t="shared" ref="BF27:BG27" si="90">+BF25+BF26</f>
        <v>30941</v>
      </c>
      <c r="BG27" s="2">
        <f t="shared" si="90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1">+BK25+BK26</f>
        <v>54847</v>
      </c>
      <c r="BL27" s="2">
        <f t="shared" si="91"/>
        <v>57467</v>
      </c>
      <c r="BM27" s="2">
        <f t="shared" si="91"/>
        <v>59191.01</v>
      </c>
      <c r="BN27" s="2">
        <f t="shared" si="91"/>
        <v>60966.740300000005</v>
      </c>
      <c r="BO27" s="2">
        <f t="shared" si="91"/>
        <v>62795.742509000011</v>
      </c>
      <c r="BP27" s="2">
        <f t="shared" si="91"/>
        <v>64679.614784270016</v>
      </c>
      <c r="BQ27" s="2">
        <f t="shared" si="91"/>
        <v>66620.003227798108</v>
      </c>
      <c r="BR27" s="2">
        <f t="shared" si="91"/>
        <v>68618.603324632059</v>
      </c>
      <c r="BS27" s="2">
        <f t="shared" si="91"/>
        <v>70677.161424371021</v>
      </c>
      <c r="BT27" s="2">
        <f t="shared" si="91"/>
        <v>72797.476267102145</v>
      </c>
      <c r="BU27" s="2">
        <f t="shared" si="91"/>
        <v>74981.400555115208</v>
      </c>
      <c r="BV27" s="2">
        <f t="shared" si="91"/>
        <v>77230.842571768677</v>
      </c>
      <c r="BW27" s="2">
        <f t="shared" si="91"/>
        <v>79547.767848921736</v>
      </c>
      <c r="BX27" s="2">
        <f t="shared" si="91"/>
        <v>81934.2008843894</v>
      </c>
      <c r="BY27" s="2">
        <f t="shared" si="91"/>
        <v>84392.226910921076</v>
      </c>
      <c r="BZ27" s="2">
        <f t="shared" si="91"/>
        <v>86923.993718248705</v>
      </c>
      <c r="CA27" s="2">
        <f t="shared" si="91"/>
        <v>89531.713529796165</v>
      </c>
      <c r="CB27" s="2">
        <f t="shared" si="91"/>
        <v>92217.66493569006</v>
      </c>
    </row>
    <row r="28" spans="2:192" s="2" customFormat="1" x14ac:dyDescent="0.2">
      <c r="B28" s="2" t="s">
        <v>29</v>
      </c>
      <c r="C28" s="2">
        <f t="shared" ref="C28" si="92">+C24-C27</f>
        <v>26274</v>
      </c>
      <c r="D28" s="2">
        <f t="shared" ref="D28:F28" si="93">+D24-D27</f>
        <v>15894</v>
      </c>
      <c r="E28" s="2">
        <f t="shared" si="93"/>
        <v>12612</v>
      </c>
      <c r="F28" s="2">
        <f t="shared" si="93"/>
        <v>16118</v>
      </c>
      <c r="K28" s="2">
        <f t="shared" ref="K28:N28" si="94">+K24-K27</f>
        <v>25569</v>
      </c>
      <c r="L28" s="2">
        <f t="shared" si="94"/>
        <v>12853</v>
      </c>
      <c r="M28" s="2">
        <f t="shared" si="94"/>
        <v>13091</v>
      </c>
      <c r="N28" s="2">
        <f t="shared" si="94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5">+R24-R27</f>
        <v>23786</v>
      </c>
      <c r="S28" s="2">
        <f t="shared" ref="S28" si="96">+S24-S27</f>
        <v>41488</v>
      </c>
      <c r="T28" s="2">
        <f>+T24-T27</f>
        <v>29979</v>
      </c>
      <c r="U28" s="2">
        <f t="shared" ref="U28" si="97">+U24-U27</f>
        <v>23076</v>
      </c>
      <c r="V28" s="2">
        <f t="shared" ref="V28:Z28" si="98">+V24-V27</f>
        <v>24894</v>
      </c>
      <c r="W28" s="2">
        <f t="shared" si="98"/>
        <v>36016</v>
      </c>
      <c r="X28" s="2">
        <f t="shared" si="98"/>
        <v>28318</v>
      </c>
      <c r="Y28" s="2">
        <f t="shared" si="98"/>
        <v>22998</v>
      </c>
      <c r="Z28" s="2">
        <f t="shared" si="98"/>
        <v>26969</v>
      </c>
      <c r="AA28" s="2">
        <f t="shared" ref="AA28:AB28" si="99">+AA24-AA27</f>
        <v>40373</v>
      </c>
      <c r="AB28" s="2">
        <f t="shared" si="99"/>
        <v>27900</v>
      </c>
      <c r="AC28" s="2">
        <f t="shared" ref="AC28:AD28" si="100">+AC24-AC27</f>
        <v>25352</v>
      </c>
      <c r="AD28" s="2">
        <f t="shared" si="100"/>
        <v>29591</v>
      </c>
      <c r="AE28" s="2">
        <f t="shared" ref="AE28:AH28" si="101">+AE24-AE27</f>
        <v>42832</v>
      </c>
      <c r="AF28" s="2">
        <f t="shared" si="101"/>
        <v>29831.198100000001</v>
      </c>
      <c r="AG28" s="2">
        <f t="shared" si="101"/>
        <v>26847.546300000002</v>
      </c>
      <c r="AH28" s="2">
        <f t="shared" si="101"/>
        <v>31244.744599999998</v>
      </c>
      <c r="AN28" s="2">
        <f t="shared" ref="AN28:AO28" si="102">+AN24-AN27</f>
        <v>620</v>
      </c>
      <c r="AO28" s="2">
        <f t="shared" si="102"/>
        <v>-333</v>
      </c>
      <c r="AP28" s="2">
        <f t="shared" ref="AP28:AR28" si="103">+AP24-AP27</f>
        <v>48</v>
      </c>
      <c r="AQ28" s="2">
        <f t="shared" si="103"/>
        <v>25</v>
      </c>
      <c r="AR28" s="2">
        <f t="shared" si="103"/>
        <v>349</v>
      </c>
      <c r="AS28" s="2">
        <f t="shared" ref="AS28:AT28" si="104">+AS24-AS27</f>
        <v>1650</v>
      </c>
      <c r="AT28" s="2">
        <f t="shared" si="104"/>
        <v>2453</v>
      </c>
      <c r="AU28" s="2">
        <f t="shared" ref="AU28:AV28" si="105">+AU24-AU27</f>
        <v>4409</v>
      </c>
      <c r="AV28" s="2">
        <f t="shared" si="105"/>
        <v>8327</v>
      </c>
      <c r="AW28" s="2">
        <f t="shared" ref="AW28:AY28" si="106">+AW24-AW27</f>
        <v>11740</v>
      </c>
      <c r="AX28" s="2">
        <f t="shared" si="106"/>
        <v>18385</v>
      </c>
      <c r="AY28" s="2">
        <f t="shared" si="106"/>
        <v>33790</v>
      </c>
      <c r="AZ28" s="2">
        <f t="shared" ref="AZ28:BE28" si="107">+AZ24-AZ27</f>
        <v>55241</v>
      </c>
      <c r="BA28" s="2">
        <f t="shared" si="107"/>
        <v>48999</v>
      </c>
      <c r="BB28" s="2">
        <f t="shared" si="107"/>
        <v>52503</v>
      </c>
      <c r="BC28" s="2">
        <f t="shared" si="107"/>
        <v>71230</v>
      </c>
      <c r="BD28" s="2">
        <f t="shared" si="107"/>
        <v>60024</v>
      </c>
      <c r="BE28" s="2">
        <f t="shared" si="107"/>
        <v>61344</v>
      </c>
      <c r="BF28" s="2">
        <f t="shared" ref="BF28:BG28" si="108">+BF24-BF27</f>
        <v>70898</v>
      </c>
      <c r="BG28" s="2">
        <f t="shared" si="108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9">+BK24-BK27</f>
        <v>114301</v>
      </c>
      <c r="BL28" s="2">
        <f t="shared" si="109"/>
        <v>123216</v>
      </c>
      <c r="BM28" s="2">
        <f t="shared" si="109"/>
        <v>139063.61999429748</v>
      </c>
      <c r="BN28" s="2">
        <f t="shared" si="109"/>
        <v>151775.11280931855</v>
      </c>
      <c r="BO28" s="2">
        <f t="shared" si="109"/>
        <v>165598.87969255034</v>
      </c>
      <c r="BP28" s="2">
        <f t="shared" si="109"/>
        <v>180634.46636454249</v>
      </c>
      <c r="BQ28" s="2">
        <f t="shared" si="109"/>
        <v>191617.78812544863</v>
      </c>
      <c r="BR28" s="2">
        <f t="shared" si="109"/>
        <v>202043.13562531775</v>
      </c>
      <c r="BS28" s="2">
        <f t="shared" si="109"/>
        <v>213010.89772704628</v>
      </c>
      <c r="BT28" s="2">
        <f t="shared" si="109"/>
        <v>224548.71447310344</v>
      </c>
      <c r="BU28" s="2">
        <f t="shared" si="109"/>
        <v>236685.62254490727</v>
      </c>
      <c r="BV28" s="2">
        <f t="shared" si="109"/>
        <v>248204.78470747796</v>
      </c>
      <c r="BW28" s="2">
        <f t="shared" si="109"/>
        <v>260079.70672053329</v>
      </c>
      <c r="BX28" s="2">
        <f t="shared" si="109"/>
        <v>272517.92097923666</v>
      </c>
      <c r="BY28" s="2">
        <f t="shared" si="109"/>
        <v>285546.14318630204</v>
      </c>
      <c r="BZ28" s="2">
        <f t="shared" si="109"/>
        <v>299192.36142075481</v>
      </c>
      <c r="CA28" s="2">
        <f t="shared" si="109"/>
        <v>313485.89711021993</v>
      </c>
      <c r="CB28" s="2">
        <f t="shared" si="109"/>
        <v>328457.46894459665</v>
      </c>
    </row>
    <row r="29" spans="2:192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0">SUM(O29:R29)</f>
        <v>258</v>
      </c>
      <c r="BJ29" s="7">
        <f t="shared" ref="BJ29" si="111">SUM(S29:V29)</f>
        <v>-334</v>
      </c>
      <c r="BK29" s="2">
        <f>SUM(W29:Z29)</f>
        <v>-565</v>
      </c>
      <c r="BL29" s="2">
        <f t="shared" ref="BL29:BL31" si="112">SUM(AA29:AD29)</f>
        <v>269</v>
      </c>
    </row>
    <row r="30" spans="2:192" s="2" customFormat="1" x14ac:dyDescent="0.2">
      <c r="B30" s="2" t="s">
        <v>34</v>
      </c>
      <c r="C30" s="2">
        <f t="shared" ref="C30" si="113">+C28+C29</f>
        <v>27030</v>
      </c>
      <c r="D30" s="2">
        <f t="shared" ref="D30:F30" si="114">+D28+D29</f>
        <v>16168</v>
      </c>
      <c r="E30" s="2">
        <f t="shared" si="114"/>
        <v>13284</v>
      </c>
      <c r="F30" s="2">
        <f t="shared" si="114"/>
        <v>16421</v>
      </c>
      <c r="K30" s="2">
        <f t="shared" ref="K30:N30" si="115">+K28+K29</f>
        <v>25918</v>
      </c>
      <c r="L30" s="2">
        <f t="shared" si="115"/>
        <v>13135</v>
      </c>
      <c r="M30" s="2">
        <f t="shared" si="115"/>
        <v>13137</v>
      </c>
      <c r="N30" s="2">
        <f t="shared" si="115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6">+R28+R29</f>
        <v>23248</v>
      </c>
      <c r="S30" s="2">
        <f t="shared" ref="S30" si="117">+S28+S29</f>
        <v>41241</v>
      </c>
      <c r="T30" s="2">
        <f>+T28+T29</f>
        <v>30139</v>
      </c>
      <c r="U30" s="2">
        <f t="shared" ref="U30:Z30" si="118">+U28+U29</f>
        <v>23066</v>
      </c>
      <c r="V30" s="2">
        <f t="shared" si="118"/>
        <v>24657</v>
      </c>
      <c r="W30" s="2">
        <f t="shared" si="118"/>
        <v>35623</v>
      </c>
      <c r="X30" s="2">
        <f t="shared" si="118"/>
        <v>28382</v>
      </c>
      <c r="Y30" s="2">
        <f t="shared" si="118"/>
        <v>22733</v>
      </c>
      <c r="Z30" s="2">
        <f t="shared" si="118"/>
        <v>26998</v>
      </c>
      <c r="AA30" s="2">
        <f t="shared" ref="AA30:AB30" si="119">+AA28+AA29</f>
        <v>40323</v>
      </c>
      <c r="AB30" s="2">
        <f t="shared" si="119"/>
        <v>28058</v>
      </c>
      <c r="AC30" s="2">
        <f t="shared" ref="AC30:AD30" si="120">+AC28+AC29</f>
        <v>25494</v>
      </c>
      <c r="AD30" s="2">
        <f t="shared" si="120"/>
        <v>29610</v>
      </c>
      <c r="AE30" s="2">
        <f t="shared" ref="AE30:AH30" si="121">+AE28+AE29</f>
        <v>42584</v>
      </c>
      <c r="AF30" s="2">
        <f t="shared" si="121"/>
        <v>29831.198100000001</v>
      </c>
      <c r="AG30" s="2">
        <f t="shared" si="121"/>
        <v>26847.546300000002</v>
      </c>
      <c r="AH30" s="2">
        <f t="shared" si="121"/>
        <v>31244.744599999998</v>
      </c>
      <c r="AN30" s="2">
        <f t="shared" ref="AN30:AO30" si="122">+AN28+AN29</f>
        <v>823</v>
      </c>
      <c r="AO30" s="2">
        <f t="shared" si="122"/>
        <v>-116</v>
      </c>
      <c r="AP30" s="2">
        <f t="shared" ref="AP30:AR30" si="123">+AP28+AP29</f>
        <v>118</v>
      </c>
      <c r="AQ30" s="2">
        <f t="shared" si="123"/>
        <v>118</v>
      </c>
      <c r="AR30" s="2">
        <f t="shared" si="123"/>
        <v>406</v>
      </c>
      <c r="AS30" s="2">
        <f t="shared" ref="AS30:AT30" si="124">+AS28+AS29</f>
        <v>1815</v>
      </c>
      <c r="AT30" s="2">
        <f t="shared" si="124"/>
        <v>2818</v>
      </c>
      <c r="AU30" s="2">
        <f t="shared" ref="AU30:AV30" si="125">+AU28+AU29</f>
        <v>5008</v>
      </c>
      <c r="AV30" s="2">
        <f t="shared" si="125"/>
        <v>8947</v>
      </c>
      <c r="AW30" s="2">
        <f t="shared" ref="AW30:AY30" si="126">+AW28+AW29</f>
        <v>12066</v>
      </c>
      <c r="AX30" s="2">
        <f t="shared" si="126"/>
        <v>18540</v>
      </c>
      <c r="AY30" s="2">
        <f t="shared" si="126"/>
        <v>34205</v>
      </c>
      <c r="AZ30" s="2">
        <f t="shared" ref="AZ30:BE30" si="127">+AZ28+AZ29</f>
        <v>55763</v>
      </c>
      <c r="BA30" s="2">
        <f t="shared" si="127"/>
        <v>50155</v>
      </c>
      <c r="BB30" s="2">
        <f t="shared" si="127"/>
        <v>53483</v>
      </c>
      <c r="BC30" s="2">
        <f t="shared" si="127"/>
        <v>72515</v>
      </c>
      <c r="BD30" s="2">
        <f t="shared" si="127"/>
        <v>61372</v>
      </c>
      <c r="BE30" s="2">
        <f t="shared" si="127"/>
        <v>64089</v>
      </c>
      <c r="BF30" s="2">
        <f t="shared" ref="BF30:BG30" si="128">+BF28+BF29</f>
        <v>72903</v>
      </c>
      <c r="BG30" s="2">
        <f t="shared" si="128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9">+BK28+BK29</f>
        <v>113736</v>
      </c>
      <c r="BL30" s="2">
        <f t="shared" si="129"/>
        <v>123485</v>
      </c>
      <c r="BM30" s="2">
        <f t="shared" si="129"/>
        <v>139063.61999429748</v>
      </c>
      <c r="BN30" s="2">
        <f t="shared" si="129"/>
        <v>151775.11280931855</v>
      </c>
      <c r="BO30" s="2">
        <f t="shared" si="129"/>
        <v>165598.87969255034</v>
      </c>
      <c r="BP30" s="2">
        <f t="shared" si="129"/>
        <v>180634.46636454249</v>
      </c>
      <c r="BQ30" s="2">
        <f t="shared" si="129"/>
        <v>191617.78812544863</v>
      </c>
      <c r="BR30" s="2">
        <f t="shared" si="129"/>
        <v>202043.13562531775</v>
      </c>
      <c r="BS30" s="2">
        <f t="shared" si="129"/>
        <v>213010.89772704628</v>
      </c>
      <c r="BT30" s="2">
        <f t="shared" si="129"/>
        <v>224548.71447310344</v>
      </c>
      <c r="BU30" s="2">
        <f t="shared" si="129"/>
        <v>236685.62254490727</v>
      </c>
      <c r="BV30" s="2">
        <f t="shared" si="129"/>
        <v>248204.78470747796</v>
      </c>
      <c r="BW30" s="2">
        <f t="shared" si="129"/>
        <v>260079.70672053329</v>
      </c>
      <c r="BX30" s="2">
        <f t="shared" si="129"/>
        <v>272517.92097923666</v>
      </c>
      <c r="BY30" s="2">
        <f t="shared" si="129"/>
        <v>285546.14318630204</v>
      </c>
      <c r="BZ30" s="2">
        <f t="shared" si="129"/>
        <v>299192.36142075481</v>
      </c>
      <c r="CA30" s="2">
        <f t="shared" si="129"/>
        <v>313485.89711021993</v>
      </c>
      <c r="CB30" s="2">
        <f t="shared" si="129"/>
        <v>328457.46894459665</v>
      </c>
    </row>
    <row r="31" spans="2:192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0">SUM(O31:R31)</f>
        <v>14527</v>
      </c>
      <c r="BJ31" s="7">
        <f t="shared" ref="BJ31" si="131">SUM(S31:V31)</f>
        <v>19300</v>
      </c>
      <c r="BK31" s="2">
        <f>SUM(W31:Z31)</f>
        <v>16741</v>
      </c>
      <c r="BL31" s="2">
        <f t="shared" si="112"/>
        <v>29749</v>
      </c>
      <c r="BM31" s="2">
        <f t="shared" ref="BM31:CB31" si="132">+BM30*0.2</f>
        <v>27812.723998859496</v>
      </c>
      <c r="BN31" s="2">
        <f t="shared" si="132"/>
        <v>30355.022561863712</v>
      </c>
      <c r="BO31" s="2">
        <f t="shared" si="132"/>
        <v>33119.775938510073</v>
      </c>
      <c r="BP31" s="2">
        <f t="shared" si="132"/>
        <v>36126.893272908499</v>
      </c>
      <c r="BQ31" s="2">
        <f t="shared" si="132"/>
        <v>38323.557625089728</v>
      </c>
      <c r="BR31" s="2">
        <f t="shared" si="132"/>
        <v>40408.627125063555</v>
      </c>
      <c r="BS31" s="2">
        <f t="shared" si="132"/>
        <v>42602.179545409257</v>
      </c>
      <c r="BT31" s="2">
        <f t="shared" si="132"/>
        <v>44909.742894620693</v>
      </c>
      <c r="BU31" s="2">
        <f t="shared" si="132"/>
        <v>47337.124508981455</v>
      </c>
      <c r="BV31" s="2">
        <f t="shared" si="132"/>
        <v>49640.956941495591</v>
      </c>
      <c r="BW31" s="2">
        <f t="shared" si="132"/>
        <v>52015.941344106657</v>
      </c>
      <c r="BX31" s="2">
        <f t="shared" si="132"/>
        <v>54503.584195847332</v>
      </c>
      <c r="BY31" s="2">
        <f t="shared" si="132"/>
        <v>57109.228637260414</v>
      </c>
      <c r="BZ31" s="2">
        <f t="shared" si="132"/>
        <v>59838.472284150965</v>
      </c>
      <c r="CA31" s="2">
        <f t="shared" si="132"/>
        <v>62697.179422043992</v>
      </c>
      <c r="CB31" s="2">
        <f t="shared" si="132"/>
        <v>65691.493788919339</v>
      </c>
    </row>
    <row r="32" spans="2:192" s="2" customFormat="1" x14ac:dyDescent="0.2">
      <c r="B32" s="2" t="s">
        <v>32</v>
      </c>
      <c r="C32" s="2">
        <f t="shared" ref="C32" si="133">+C30-C31</f>
        <v>20065</v>
      </c>
      <c r="D32" s="2">
        <f t="shared" ref="D32:F32" si="134">+D30-D31</f>
        <v>13822</v>
      </c>
      <c r="E32" s="2">
        <f t="shared" si="134"/>
        <v>11519</v>
      </c>
      <c r="F32" s="2">
        <f t="shared" si="134"/>
        <v>14125</v>
      </c>
      <c r="K32" s="2">
        <f t="shared" ref="K32:N32" si="135">+K30-K31</f>
        <v>22236</v>
      </c>
      <c r="L32" s="2">
        <f t="shared" si="135"/>
        <v>11249</v>
      </c>
      <c r="M32" s="2">
        <f t="shared" si="135"/>
        <v>11253</v>
      </c>
      <c r="N32" s="2">
        <f t="shared" si="135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6">+R30-R31</f>
        <v>20551</v>
      </c>
      <c r="S32" s="2">
        <f t="shared" ref="S32" si="137">+S30-S31</f>
        <v>34630</v>
      </c>
      <c r="T32" s="2">
        <f>+T30-T31</f>
        <v>25010</v>
      </c>
      <c r="U32" s="2">
        <f t="shared" ref="U32:AA32" si="138">+U30-U31</f>
        <v>19442</v>
      </c>
      <c r="V32" s="2">
        <f t="shared" si="138"/>
        <v>20721</v>
      </c>
      <c r="W32" s="2">
        <f t="shared" si="138"/>
        <v>29998</v>
      </c>
      <c r="X32" s="2">
        <f t="shared" si="138"/>
        <v>24160</v>
      </c>
      <c r="Y32" s="2">
        <f t="shared" si="138"/>
        <v>19881</v>
      </c>
      <c r="Z32" s="2">
        <f t="shared" si="138"/>
        <v>22956</v>
      </c>
      <c r="AA32" s="2">
        <f t="shared" si="138"/>
        <v>33916</v>
      </c>
      <c r="AB32" s="2">
        <f t="shared" ref="AB32:AC32" si="139">+AB30-AB31</f>
        <v>23636</v>
      </c>
      <c r="AC32" s="2">
        <f t="shared" si="139"/>
        <v>21448</v>
      </c>
      <c r="AD32" s="2">
        <f t="shared" ref="AD32:AH32" si="140">+AD30-AD31</f>
        <v>14736</v>
      </c>
      <c r="AE32" s="2">
        <f t="shared" si="140"/>
        <v>36330</v>
      </c>
      <c r="AF32" s="2">
        <f t="shared" si="140"/>
        <v>25356.518385000003</v>
      </c>
      <c r="AG32" s="2">
        <f t="shared" si="140"/>
        <v>22820.414355000001</v>
      </c>
      <c r="AH32" s="2">
        <f t="shared" si="140"/>
        <v>26558.032909999998</v>
      </c>
      <c r="AN32" s="2">
        <f t="shared" ref="AN32:AO32" si="141">+AN30-AN31</f>
        <v>517</v>
      </c>
      <c r="AO32" s="2">
        <f t="shared" si="141"/>
        <v>-116</v>
      </c>
      <c r="AP32" s="2">
        <f t="shared" ref="AP32:AR32" si="142">+AP30-AP31</f>
        <v>96</v>
      </c>
      <c r="AQ32" s="2">
        <f t="shared" si="142"/>
        <v>94</v>
      </c>
      <c r="AR32" s="2">
        <f t="shared" si="142"/>
        <v>299</v>
      </c>
      <c r="AS32" s="2">
        <f t="shared" ref="AS32:AT32" si="143">+AS30-AS31</f>
        <v>1335</v>
      </c>
      <c r="AT32" s="2">
        <f t="shared" si="143"/>
        <v>1989</v>
      </c>
      <c r="AU32" s="2">
        <f t="shared" ref="AU32:AV32" si="144">+AU30-AU31</f>
        <v>3496</v>
      </c>
      <c r="AV32" s="2">
        <f t="shared" si="144"/>
        <v>6119</v>
      </c>
      <c r="AW32" s="2">
        <f t="shared" ref="AW32:AY32" si="145">+AW30-AW31</f>
        <v>8235</v>
      </c>
      <c r="AX32" s="2">
        <f t="shared" si="145"/>
        <v>14013</v>
      </c>
      <c r="AY32" s="2">
        <f t="shared" si="145"/>
        <v>25922</v>
      </c>
      <c r="AZ32" s="2">
        <f t="shared" ref="AZ32:BE32" si="146">+AZ30-AZ31</f>
        <v>41733</v>
      </c>
      <c r="BA32" s="2">
        <f t="shared" si="146"/>
        <v>37037</v>
      </c>
      <c r="BB32" s="2">
        <f t="shared" si="146"/>
        <v>39510</v>
      </c>
      <c r="BC32" s="2">
        <f t="shared" si="146"/>
        <v>53394</v>
      </c>
      <c r="BD32" s="2">
        <f t="shared" si="146"/>
        <v>45687</v>
      </c>
      <c r="BE32" s="2">
        <f t="shared" si="146"/>
        <v>48351</v>
      </c>
      <c r="BF32" s="2">
        <f t="shared" ref="BF32:BG32" si="147">+BF30-BF31</f>
        <v>59531</v>
      </c>
      <c r="BG32" s="2">
        <f t="shared" si="14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8">+BL30-BL31</f>
        <v>93736</v>
      </c>
      <c r="BM32" s="2">
        <f t="shared" si="148"/>
        <v>111250.89599543798</v>
      </c>
      <c r="BN32" s="2">
        <f t="shared" si="148"/>
        <v>121420.09024745485</v>
      </c>
      <c r="BO32" s="2">
        <f t="shared" si="148"/>
        <v>132479.10375404026</v>
      </c>
      <c r="BP32" s="2">
        <f t="shared" si="148"/>
        <v>144507.573091634</v>
      </c>
      <c r="BQ32" s="2">
        <f t="shared" si="148"/>
        <v>153294.23050035891</v>
      </c>
      <c r="BR32" s="2">
        <f t="shared" si="148"/>
        <v>161634.50850025419</v>
      </c>
      <c r="BS32" s="2">
        <f t="shared" si="148"/>
        <v>170408.71818163703</v>
      </c>
      <c r="BT32" s="2">
        <f t="shared" si="148"/>
        <v>179638.97157848274</v>
      </c>
      <c r="BU32" s="2">
        <f t="shared" si="148"/>
        <v>189348.49803592582</v>
      </c>
      <c r="BV32" s="2">
        <f t="shared" si="148"/>
        <v>198563.82776598237</v>
      </c>
      <c r="BW32" s="2">
        <f t="shared" si="148"/>
        <v>208063.76537642663</v>
      </c>
      <c r="BX32" s="2">
        <f t="shared" si="148"/>
        <v>218014.33678338933</v>
      </c>
      <c r="BY32" s="2">
        <f t="shared" si="148"/>
        <v>228436.91454904163</v>
      </c>
      <c r="BZ32" s="2">
        <f t="shared" si="148"/>
        <v>239353.88913660386</v>
      </c>
      <c r="CA32" s="2">
        <f t="shared" si="148"/>
        <v>250788.71768817594</v>
      </c>
      <c r="CB32" s="2">
        <f t="shared" si="148"/>
        <v>262765.9751556773</v>
      </c>
      <c r="CC32" s="2">
        <f>+CB32*(1+$CE$37)</f>
        <v>260138.31540412051</v>
      </c>
      <c r="CD32" s="2">
        <f t="shared" ref="CD32:EO32" si="149">+CC32*(1+$CE$37)</f>
        <v>257536.93225007929</v>
      </c>
      <c r="CE32" s="2">
        <f t="shared" si="149"/>
        <v>254961.56292757849</v>
      </c>
      <c r="CF32" s="2">
        <f t="shared" si="149"/>
        <v>252411.94729830269</v>
      </c>
      <c r="CG32" s="2">
        <f t="shared" si="149"/>
        <v>249887.82782531966</v>
      </c>
      <c r="CH32" s="2">
        <f t="shared" si="149"/>
        <v>247388.94954706647</v>
      </c>
      <c r="CI32" s="2">
        <f t="shared" si="149"/>
        <v>244915.06005159579</v>
      </c>
      <c r="CJ32" s="2">
        <f t="shared" si="149"/>
        <v>242465.90945107985</v>
      </c>
      <c r="CK32" s="2">
        <f t="shared" si="149"/>
        <v>240041.25035656904</v>
      </c>
      <c r="CL32" s="2">
        <f t="shared" si="149"/>
        <v>237640.83785300335</v>
      </c>
      <c r="CM32" s="2">
        <f t="shared" si="149"/>
        <v>235264.42947447332</v>
      </c>
      <c r="CN32" s="2">
        <f t="shared" si="149"/>
        <v>232911.78517972858</v>
      </c>
      <c r="CO32" s="2">
        <f t="shared" si="149"/>
        <v>230582.6673279313</v>
      </c>
      <c r="CP32" s="2">
        <f t="shared" si="149"/>
        <v>228276.84065465198</v>
      </c>
      <c r="CQ32" s="2">
        <f t="shared" si="149"/>
        <v>225994.07224810545</v>
      </c>
      <c r="CR32" s="2">
        <f t="shared" si="149"/>
        <v>223734.1315256244</v>
      </c>
      <c r="CS32" s="2">
        <f t="shared" si="149"/>
        <v>221496.79021036814</v>
      </c>
      <c r="CT32" s="2">
        <f t="shared" si="149"/>
        <v>219281.82230826447</v>
      </c>
      <c r="CU32" s="2">
        <f t="shared" si="149"/>
        <v>217089.00408518183</v>
      </c>
      <c r="CV32" s="2">
        <f t="shared" si="149"/>
        <v>214918.11404433002</v>
      </c>
      <c r="CW32" s="2">
        <f t="shared" si="149"/>
        <v>212768.93290388671</v>
      </c>
      <c r="CX32" s="2">
        <f t="shared" si="149"/>
        <v>210641.24357484785</v>
      </c>
      <c r="CY32" s="2">
        <f t="shared" si="149"/>
        <v>208534.83113909938</v>
      </c>
      <c r="CZ32" s="2">
        <f t="shared" si="149"/>
        <v>206449.48282770839</v>
      </c>
      <c r="DA32" s="2">
        <f t="shared" si="149"/>
        <v>204384.98799943129</v>
      </c>
      <c r="DB32" s="2">
        <f t="shared" si="149"/>
        <v>202341.13811943698</v>
      </c>
      <c r="DC32" s="2">
        <f t="shared" si="149"/>
        <v>200317.72673824261</v>
      </c>
      <c r="DD32" s="2">
        <f t="shared" si="149"/>
        <v>198314.54947086019</v>
      </c>
      <c r="DE32" s="2">
        <f t="shared" si="149"/>
        <v>196331.40397615157</v>
      </c>
      <c r="DF32" s="2">
        <f t="shared" si="149"/>
        <v>194368.08993639005</v>
      </c>
      <c r="DG32" s="2">
        <f t="shared" si="149"/>
        <v>192424.40903702614</v>
      </c>
      <c r="DH32" s="2">
        <f t="shared" si="149"/>
        <v>190500.16494665589</v>
      </c>
      <c r="DI32" s="2">
        <f t="shared" si="149"/>
        <v>188595.16329718934</v>
      </c>
      <c r="DJ32" s="2">
        <f t="shared" si="149"/>
        <v>186709.21166421744</v>
      </c>
      <c r="DK32" s="2">
        <f t="shared" si="149"/>
        <v>184842.11954757525</v>
      </c>
      <c r="DL32" s="2">
        <f t="shared" si="149"/>
        <v>182993.69835209948</v>
      </c>
      <c r="DM32" s="2">
        <f t="shared" si="149"/>
        <v>181163.76136857847</v>
      </c>
      <c r="DN32" s="2">
        <f t="shared" si="149"/>
        <v>179352.1237548927</v>
      </c>
      <c r="DO32" s="2">
        <f t="shared" si="149"/>
        <v>177558.60251734377</v>
      </c>
      <c r="DP32" s="2">
        <f t="shared" si="149"/>
        <v>175783.01649217034</v>
      </c>
      <c r="DQ32" s="2">
        <f t="shared" si="149"/>
        <v>174025.18632724864</v>
      </c>
      <c r="DR32" s="2">
        <f t="shared" si="149"/>
        <v>172284.93446397615</v>
      </c>
      <c r="DS32" s="2">
        <f t="shared" si="149"/>
        <v>170562.08511933638</v>
      </c>
      <c r="DT32" s="2">
        <f t="shared" si="149"/>
        <v>168856.46426814303</v>
      </c>
      <c r="DU32" s="2">
        <f t="shared" si="149"/>
        <v>167167.89962546161</v>
      </c>
      <c r="DV32" s="2">
        <f t="shared" si="149"/>
        <v>165496.22062920697</v>
      </c>
      <c r="DW32" s="2">
        <f t="shared" si="149"/>
        <v>163841.25842291489</v>
      </c>
      <c r="DX32" s="2">
        <f t="shared" si="149"/>
        <v>162202.84583868575</v>
      </c>
      <c r="DY32" s="2">
        <f t="shared" si="149"/>
        <v>160580.81738029889</v>
      </c>
      <c r="DZ32" s="2">
        <f t="shared" si="149"/>
        <v>158975.00920649589</v>
      </c>
      <c r="EA32" s="2">
        <f t="shared" si="149"/>
        <v>157385.25911443093</v>
      </c>
      <c r="EB32" s="2">
        <f t="shared" si="149"/>
        <v>155811.40652328663</v>
      </c>
      <c r="EC32" s="2">
        <f t="shared" si="149"/>
        <v>154253.29245805377</v>
      </c>
      <c r="ED32" s="2">
        <f t="shared" si="149"/>
        <v>152710.75953347323</v>
      </c>
      <c r="EE32" s="2">
        <f t="shared" si="149"/>
        <v>151183.6519381385</v>
      </c>
      <c r="EF32" s="2">
        <f t="shared" si="149"/>
        <v>149671.81541875712</v>
      </c>
      <c r="EG32" s="2">
        <f t="shared" si="149"/>
        <v>148175.09726456954</v>
      </c>
      <c r="EH32" s="2">
        <f t="shared" si="149"/>
        <v>146693.34629192384</v>
      </c>
      <c r="EI32" s="2">
        <f t="shared" si="149"/>
        <v>145226.41282900461</v>
      </c>
      <c r="EJ32" s="2">
        <f t="shared" si="149"/>
        <v>143774.14870071455</v>
      </c>
      <c r="EK32" s="2">
        <f t="shared" si="149"/>
        <v>142336.4072137074</v>
      </c>
      <c r="EL32" s="2">
        <f t="shared" si="149"/>
        <v>140913.04314157032</v>
      </c>
      <c r="EM32" s="2">
        <f t="shared" si="149"/>
        <v>139503.9127101546</v>
      </c>
      <c r="EN32" s="2">
        <f t="shared" si="149"/>
        <v>138108.87358305306</v>
      </c>
      <c r="EO32" s="2">
        <f t="shared" si="149"/>
        <v>136727.78484722253</v>
      </c>
      <c r="EP32" s="2">
        <f t="shared" ref="EP32:GJ32" si="150">+EO32*(1+$CE$37)</f>
        <v>135360.50699875029</v>
      </c>
      <c r="EQ32" s="2">
        <f t="shared" si="150"/>
        <v>134006.90192876279</v>
      </c>
      <c r="ER32" s="2">
        <f t="shared" si="150"/>
        <v>132666.83290947517</v>
      </c>
      <c r="ES32" s="2">
        <f t="shared" si="150"/>
        <v>131340.16458038043</v>
      </c>
      <c r="ET32" s="2">
        <f t="shared" si="150"/>
        <v>130026.76293457662</v>
      </c>
      <c r="EU32" s="2">
        <f t="shared" si="150"/>
        <v>128726.49530523086</v>
      </c>
      <c r="EV32" s="2">
        <f t="shared" si="150"/>
        <v>127439.23035217855</v>
      </c>
      <c r="EW32" s="2">
        <f t="shared" si="150"/>
        <v>126164.83804865676</v>
      </c>
      <c r="EX32" s="2">
        <f t="shared" si="150"/>
        <v>124903.18966817019</v>
      </c>
      <c r="EY32" s="2">
        <f t="shared" si="150"/>
        <v>123654.15777148849</v>
      </c>
      <c r="EZ32" s="2">
        <f t="shared" si="150"/>
        <v>122417.6161937736</v>
      </c>
      <c r="FA32" s="2">
        <f t="shared" si="150"/>
        <v>121193.44003183587</v>
      </c>
      <c r="FB32" s="2">
        <f t="shared" si="150"/>
        <v>119981.5056315175</v>
      </c>
      <c r="FC32" s="2">
        <f t="shared" si="150"/>
        <v>118781.69057520233</v>
      </c>
      <c r="FD32" s="2">
        <f t="shared" si="150"/>
        <v>117593.8736694503</v>
      </c>
      <c r="FE32" s="2">
        <f t="shared" si="150"/>
        <v>116417.9349327558</v>
      </c>
      <c r="FF32" s="2">
        <f t="shared" si="150"/>
        <v>115253.75558342824</v>
      </c>
      <c r="FG32" s="2">
        <f t="shared" si="150"/>
        <v>114101.21802759396</v>
      </c>
      <c r="FH32" s="2">
        <f t="shared" si="150"/>
        <v>112960.20584731802</v>
      </c>
      <c r="FI32" s="2">
        <f t="shared" si="150"/>
        <v>111830.60378884485</v>
      </c>
      <c r="FJ32" s="2">
        <f t="shared" si="150"/>
        <v>110712.29775095639</v>
      </c>
      <c r="FK32" s="2">
        <f t="shared" si="150"/>
        <v>109605.17477344682</v>
      </c>
      <c r="FL32" s="2">
        <f t="shared" si="150"/>
        <v>108509.12302571235</v>
      </c>
      <c r="FM32" s="2">
        <f t="shared" si="150"/>
        <v>107424.03179545523</v>
      </c>
      <c r="FN32" s="2">
        <f t="shared" si="150"/>
        <v>106349.79147750068</v>
      </c>
      <c r="FO32" s="2">
        <f t="shared" si="150"/>
        <v>105286.29356272567</v>
      </c>
      <c r="FP32" s="2">
        <f t="shared" si="150"/>
        <v>104233.43062709841</v>
      </c>
      <c r="FQ32" s="2">
        <f t="shared" si="150"/>
        <v>103191.09632082742</v>
      </c>
      <c r="FR32" s="2">
        <f t="shared" si="150"/>
        <v>102159.18535761915</v>
      </c>
      <c r="FS32" s="2">
        <f t="shared" si="150"/>
        <v>101137.59350404296</v>
      </c>
      <c r="FT32" s="2">
        <f t="shared" si="150"/>
        <v>100126.21756900253</v>
      </c>
      <c r="FU32" s="2">
        <f t="shared" si="150"/>
        <v>99124.955393312499</v>
      </c>
      <c r="FV32" s="2">
        <f t="shared" si="150"/>
        <v>98133.70583937937</v>
      </c>
      <c r="FW32" s="2">
        <f t="shared" si="150"/>
        <v>97152.368780985576</v>
      </c>
      <c r="FX32" s="2">
        <f t="shared" si="150"/>
        <v>96180.845093175725</v>
      </c>
      <c r="FY32" s="2">
        <f t="shared" si="150"/>
        <v>95219.036642243969</v>
      </c>
      <c r="FZ32" s="2">
        <f t="shared" si="150"/>
        <v>94266.846275821532</v>
      </c>
      <c r="GA32" s="2">
        <f t="shared" si="150"/>
        <v>93324.177813063317</v>
      </c>
      <c r="GB32" s="2">
        <f t="shared" si="150"/>
        <v>92390.936034932689</v>
      </c>
      <c r="GC32" s="2">
        <f t="shared" si="150"/>
        <v>91467.026674583365</v>
      </c>
      <c r="GD32" s="2">
        <f t="shared" si="150"/>
        <v>90552.356407837535</v>
      </c>
      <c r="GE32" s="2">
        <f t="shared" si="150"/>
        <v>89646.832843759155</v>
      </c>
      <c r="GF32" s="2">
        <f t="shared" si="150"/>
        <v>88750.364515321562</v>
      </c>
      <c r="GG32" s="2">
        <f t="shared" si="150"/>
        <v>87862.860870168341</v>
      </c>
      <c r="GH32" s="2">
        <f t="shared" si="150"/>
        <v>86984.232261466663</v>
      </c>
      <c r="GI32" s="2">
        <f t="shared" si="150"/>
        <v>86114.389938851993</v>
      </c>
      <c r="GJ32" s="2">
        <f t="shared" si="150"/>
        <v>85253.246039463469</v>
      </c>
    </row>
    <row r="33" spans="2:83" s="4" customFormat="1" x14ac:dyDescent="0.2">
      <c r="B33" s="4" t="s">
        <v>36</v>
      </c>
      <c r="C33" s="12">
        <f t="shared" ref="C33" si="151">+C32/C34</f>
        <v>0.97255857987156114</v>
      </c>
      <c r="D33" s="12">
        <f t="shared" ref="D33:F33" si="152">+D32/D34</f>
        <v>0.68176083107937602</v>
      </c>
      <c r="E33" s="12">
        <f t="shared" si="152"/>
        <v>0.58452984598534197</v>
      </c>
      <c r="F33" s="12">
        <f t="shared" si="152"/>
        <v>0.70623460408563088</v>
      </c>
      <c r="G33" s="12"/>
      <c r="H33" s="12"/>
      <c r="I33" s="12"/>
      <c r="J33" s="12"/>
      <c r="K33" s="12">
        <f t="shared" ref="K33:N33" si="153">+K32/K34</f>
        <v>1.2479223042091785</v>
      </c>
      <c r="L33" s="12">
        <f t="shared" si="153"/>
        <v>0.63846699811252383</v>
      </c>
      <c r="M33" s="12">
        <f t="shared" si="153"/>
        <v>0.64601300384622584</v>
      </c>
      <c r="N33" s="12">
        <f t="shared" si="153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4">+R32/R34</f>
        <v>1.2354000701047909</v>
      </c>
      <c r="S33" s="12">
        <f t="shared" ref="S33" si="155">+S32/S34</f>
        <v>2.0963369432743812</v>
      </c>
      <c r="T33" s="12">
        <f>+T32/T34</f>
        <v>1.5246917147727936</v>
      </c>
      <c r="U33" s="12">
        <f t="shared" ref="U33:Z33" si="156">+U32/U34</f>
        <v>1.1955329791418789</v>
      </c>
      <c r="V33" s="12">
        <f t="shared" si="156"/>
        <v>1.2855442500262897</v>
      </c>
      <c r="W33" s="12">
        <f t="shared" si="156"/>
        <v>1.8800783518485347</v>
      </c>
      <c r="X33" s="12">
        <f t="shared" si="156"/>
        <v>1.5245739743359175</v>
      </c>
      <c r="Y33" s="12">
        <f t="shared" si="156"/>
        <v>1.2602852614896989</v>
      </c>
      <c r="Z33" s="12">
        <f t="shared" si="156"/>
        <v>1.4647405630279984</v>
      </c>
      <c r="AA33" s="12">
        <f t="shared" ref="AA33:AB33" si="157">+AA32/AA34</f>
        <v>2.1773628858750742</v>
      </c>
      <c r="AB33" s="12">
        <f t="shared" si="157"/>
        <v>1.5283831076291186</v>
      </c>
      <c r="AC33" s="12">
        <f t="shared" ref="AC33:AD33" si="158">+AC32/AC34</f>
        <v>1.3974299876043894</v>
      </c>
      <c r="AD33" s="12">
        <f t="shared" si="158"/>
        <v>0.96674815403651804</v>
      </c>
      <c r="AE33" s="12">
        <f t="shared" ref="AE33:AH33" si="159">+AE32/AE34</f>
        <v>2.3978828931549452</v>
      </c>
      <c r="AF33" s="12">
        <f t="shared" si="159"/>
        <v>1.6736020276730077</v>
      </c>
      <c r="AG33" s="12">
        <f t="shared" si="159"/>
        <v>1.5062119789860184</v>
      </c>
      <c r="AH33" s="12">
        <f t="shared" si="159"/>
        <v>1.7529053892302517</v>
      </c>
      <c r="AI33" s="12"/>
      <c r="AJ33" s="12"/>
      <c r="AN33" s="12">
        <f t="shared" ref="AN33:AO33" si="160">+AN32/AN34</f>
        <v>1.4348197733151276</v>
      </c>
      <c r="AO33" s="12">
        <f t="shared" si="160"/>
        <v>-0.33563552296933274</v>
      </c>
      <c r="AP33" s="12">
        <f t="shared" ref="AP33:AR33" si="161">+AP32/AP34</f>
        <v>0.26535096811642273</v>
      </c>
      <c r="AQ33" s="12">
        <f t="shared" si="161"/>
        <v>0.12931058200767059</v>
      </c>
      <c r="AR33" s="12">
        <f t="shared" si="161"/>
        <v>0.38599471742346592</v>
      </c>
      <c r="AS33" s="12">
        <f t="shared" ref="AS33:AT33" si="162">+AS32/AS34</f>
        <v>1.5581596209061837</v>
      </c>
      <c r="AT33" s="12">
        <f t="shared" si="162"/>
        <v>2.266599508162721</v>
      </c>
      <c r="AU33" s="12">
        <f t="shared" ref="AU33:AV33" si="163">+AU32/AU34</f>
        <v>3.9312171930029729</v>
      </c>
      <c r="AV33" s="12">
        <f t="shared" si="163"/>
        <v>6.7827685090656757</v>
      </c>
      <c r="AW33" s="12">
        <f t="shared" ref="AW33:AY33" si="164">+AW32/AW34</f>
        <v>9.0793325284866118</v>
      </c>
      <c r="AX33" s="12">
        <f t="shared" si="164"/>
        <v>15.15390737872981</v>
      </c>
      <c r="AY33" s="12">
        <f t="shared" si="164"/>
        <v>27.675373273759003</v>
      </c>
      <c r="AZ33" s="12">
        <f t="shared" ref="AZ33:BE33" si="165">+AZ32/AZ34</f>
        <v>6.3064763445557777</v>
      </c>
      <c r="BA33" s="12">
        <f t="shared" si="165"/>
        <v>5.6790982137298718</v>
      </c>
      <c r="BB33" s="12">
        <f t="shared" si="165"/>
        <v>6.4530744220284548</v>
      </c>
      <c r="BC33" s="12">
        <f t="shared" si="165"/>
        <v>9.216876236067618</v>
      </c>
      <c r="BD33" s="12">
        <f t="shared" si="165"/>
        <v>8.3063028961611227</v>
      </c>
      <c r="BE33" s="12">
        <f t="shared" si="165"/>
        <v>9.2067470826545037</v>
      </c>
      <c r="BF33" s="12">
        <f t="shared" ref="BF33:BG33" si="166">+BF32/BF34</f>
        <v>2.9764851126245446</v>
      </c>
      <c r="BG33" s="12">
        <f t="shared" si="16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7">+BL32/BL34</f>
        <v>6.0835556272062066</v>
      </c>
      <c r="BM33" s="12">
        <f t="shared" si="167"/>
        <v>7.3428742184316196</v>
      </c>
      <c r="BN33" s="12">
        <f t="shared" si="167"/>
        <v>8.0140698400688581</v>
      </c>
      <c r="BO33" s="12">
        <f t="shared" si="167"/>
        <v>8.7439960526372769</v>
      </c>
      <c r="BP33" s="12">
        <f t="shared" si="167"/>
        <v>9.5379090957271409</v>
      </c>
      <c r="BQ33" s="12">
        <f t="shared" si="167"/>
        <v>10.117853370111799</v>
      </c>
      <c r="BR33" s="12">
        <f t="shared" si="167"/>
        <v>10.668335339286186</v>
      </c>
      <c r="BS33" s="12">
        <f t="shared" si="167"/>
        <v>11.247458028412042</v>
      </c>
      <c r="BT33" s="12">
        <f t="shared" si="167"/>
        <v>11.856680894357037</v>
      </c>
      <c r="BU33" s="12">
        <f t="shared" si="167"/>
        <v>12.497537139689769</v>
      </c>
      <c r="BV33" s="12">
        <f t="shared" si="167"/>
        <v>13.105775001360145</v>
      </c>
      <c r="BW33" s="12">
        <f t="shared" si="167"/>
        <v>13.732797789197292</v>
      </c>
      <c r="BX33" s="12">
        <f t="shared" si="167"/>
        <v>14.389563683881372</v>
      </c>
      <c r="BY33" s="12">
        <f t="shared" si="167"/>
        <v>15.077483335046654</v>
      </c>
      <c r="BZ33" s="12">
        <f t="shared" si="167"/>
        <v>15.798034576679541</v>
      </c>
      <c r="CA33" s="12">
        <f t="shared" si="167"/>
        <v>16.552765646593507</v>
      </c>
      <c r="CB33" s="12">
        <f t="shared" si="167"/>
        <v>17.343298561215963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N34:CB34" si="168">+BM34</f>
        <v>15150.865</v>
      </c>
      <c r="BO34" s="2">
        <f t="shared" si="168"/>
        <v>15150.865</v>
      </c>
      <c r="BP34" s="2">
        <f t="shared" si="168"/>
        <v>15150.865</v>
      </c>
      <c r="BQ34" s="2">
        <f t="shared" si="168"/>
        <v>15150.865</v>
      </c>
      <c r="BR34" s="2">
        <f t="shared" si="168"/>
        <v>15150.865</v>
      </c>
      <c r="BS34" s="2">
        <f t="shared" si="168"/>
        <v>15150.865</v>
      </c>
      <c r="BT34" s="2">
        <f t="shared" si="168"/>
        <v>15150.865</v>
      </c>
      <c r="BU34" s="2">
        <f t="shared" si="168"/>
        <v>15150.865</v>
      </c>
      <c r="BV34" s="2">
        <f t="shared" si="168"/>
        <v>15150.865</v>
      </c>
      <c r="BW34" s="2">
        <f t="shared" si="168"/>
        <v>15150.865</v>
      </c>
      <c r="BX34" s="2">
        <f t="shared" si="168"/>
        <v>15150.865</v>
      </c>
      <c r="BY34" s="2">
        <f t="shared" si="168"/>
        <v>15150.865</v>
      </c>
      <c r="BZ34" s="2">
        <f t="shared" si="168"/>
        <v>15150.865</v>
      </c>
      <c r="CA34" s="2">
        <f t="shared" si="168"/>
        <v>15150.865</v>
      </c>
      <c r="CB34" s="2">
        <f t="shared" si="168"/>
        <v>15150.865</v>
      </c>
    </row>
    <row r="36" spans="2:83" s="4" customFormat="1" x14ac:dyDescent="0.2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9">P20/L20-1</f>
        <v>0.53626121105070901</v>
      </c>
      <c r="Q36" s="9">
        <f t="shared" ref="Q36" si="170">Q20/M20-1</f>
        <v>0.36439641450950822</v>
      </c>
      <c r="R36" s="9">
        <f t="shared" ref="R36" si="171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2">W20/S20-1</f>
        <v>-5.4790431239662762E-2</v>
      </c>
      <c r="X36" s="9">
        <f t="shared" si="172"/>
        <v>-2.5103312156911084E-2</v>
      </c>
      <c r="Y36" s="9">
        <f t="shared" si="172"/>
        <v>-1.4006919080509661E-2</v>
      </c>
      <c r="Z36" s="9">
        <f t="shared" si="172"/>
        <v>-7.1883389168682088E-3</v>
      </c>
      <c r="AA36" s="9">
        <f t="shared" ref="AA36" si="173">AA20/W20-1</f>
        <v>2.0665107465387411E-2</v>
      </c>
      <c r="AB36" s="9">
        <f t="shared" ref="AB36" si="174">AB20/X20-1</f>
        <v>-4.3053270909781061E-2</v>
      </c>
      <c r="AC36" s="9">
        <f t="shared" ref="AC36" si="175">AC20/Y20-1</f>
        <v>4.8657041211780383E-2</v>
      </c>
      <c r="AD36" s="9">
        <f t="shared" ref="AD36:AH36" si="176">AD20/Z20-1</f>
        <v>6.0694093722764686E-2</v>
      </c>
      <c r="AE36" s="9">
        <f t="shared" si="176"/>
        <v>3.9514948776918191E-2</v>
      </c>
      <c r="AF36" s="9">
        <f t="shared" si="176"/>
        <v>3.6298855134265562E-2</v>
      </c>
      <c r="AG36" s="9">
        <f t="shared" si="176"/>
        <v>2.1291138650221031E-2</v>
      </c>
      <c r="AH36" s="9">
        <f t="shared" si="176"/>
        <v>2.0522279574423319E-2</v>
      </c>
      <c r="AI36" s="9"/>
      <c r="AJ36" s="9"/>
      <c r="AN36" s="9">
        <f t="shared" ref="AN36:AT36" si="177">+AN20/AM20-1</f>
        <v>0.30143462667101395</v>
      </c>
      <c r="AO36" s="9">
        <f t="shared" si="177"/>
        <v>-0.32819741951647252</v>
      </c>
      <c r="AP36" s="9">
        <f t="shared" si="177"/>
        <v>7.0669401454409808E-2</v>
      </c>
      <c r="AQ36" s="9">
        <f t="shared" si="177"/>
        <v>8.0982236154649945E-2</v>
      </c>
      <c r="AR36" s="9">
        <f t="shared" si="177"/>
        <v>0.33381665861124543</v>
      </c>
      <c r="AS36" s="9">
        <f t="shared" si="177"/>
        <v>0.68269114627370464</v>
      </c>
      <c r="AT36" s="9">
        <f t="shared" si="177"/>
        <v>0.38647620414902017</v>
      </c>
      <c r="AU36" s="9">
        <f t="shared" ref="AU36:AV36" si="178">+AU20/AT20-1</f>
        <v>0.24286823712140815</v>
      </c>
      <c r="AV36" s="9">
        <f t="shared" si="178"/>
        <v>0.56173456635841035</v>
      </c>
      <c r="AW36" s="9">
        <f t="shared" ref="AW36:BB36" si="179">+AW20/AV20-1</f>
        <v>0.14440799125123371</v>
      </c>
      <c r="AX36" s="9">
        <f t="shared" si="179"/>
        <v>0.52021908868430256</v>
      </c>
      <c r="AY36" s="9">
        <f t="shared" si="179"/>
        <v>0.65962437715599842</v>
      </c>
      <c r="AZ36" s="9">
        <f t="shared" si="179"/>
        <v>0.44581474193756976</v>
      </c>
      <c r="BA36" s="9">
        <f t="shared" si="179"/>
        <v>9.2020855163953197E-2</v>
      </c>
      <c r="BB36" s="9">
        <f t="shared" si="179"/>
        <v>6.9539523725937524E-2</v>
      </c>
      <c r="BC36" s="9">
        <f t="shared" ref="BC36:BF36" si="180">+BC20/BB20-1</f>
        <v>0.27856341803659834</v>
      </c>
      <c r="BD36" s="9">
        <f t="shared" si="180"/>
        <v>-7.7342061913013738E-2</v>
      </c>
      <c r="BE36" s="9">
        <f t="shared" si="180"/>
        <v>6.304518199398057E-2</v>
      </c>
      <c r="BF36" s="9">
        <f t="shared" si="180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1">+BI20/BH20-1</f>
        <v>0.33259384733074704</v>
      </c>
      <c r="BJ36" s="9">
        <f t="shared" si="181"/>
        <v>7.7937876041846099E-2</v>
      </c>
      <c r="BK36" s="9">
        <f t="shared" si="181"/>
        <v>-2.800460530319937E-2</v>
      </c>
      <c r="BL36" s="9">
        <f t="shared" si="181"/>
        <v>2.021994077514111E-2</v>
      </c>
      <c r="BM36" s="9">
        <f t="shared" si="181"/>
        <v>0.11765159195963926</v>
      </c>
      <c r="BN36" s="9">
        <f t="shared" si="181"/>
        <v>6.6070808352805876E-2</v>
      </c>
      <c r="BO36" s="9">
        <f t="shared" si="181"/>
        <v>6.6485316846670361E-2</v>
      </c>
      <c r="BP36" s="9">
        <f t="shared" si="181"/>
        <v>6.6905452919508779E-2</v>
      </c>
      <c r="BQ36" s="9">
        <f t="shared" si="181"/>
        <v>5.3447771782809683E-2</v>
      </c>
      <c r="BR36" s="9">
        <f t="shared" si="181"/>
        <v>4.7573033802885023E-2</v>
      </c>
      <c r="BS36" s="9">
        <f t="shared" si="181"/>
        <v>4.7593868549967722E-2</v>
      </c>
      <c r="BT36" s="9">
        <f t="shared" si="181"/>
        <v>4.7614782229041364E-2</v>
      </c>
      <c r="BU36" s="9">
        <f t="shared" si="181"/>
        <v>4.7635775550880277E-2</v>
      </c>
      <c r="BV36" s="9">
        <f t="shared" si="181"/>
        <v>4.2505849062257406E-2</v>
      </c>
      <c r="BW36" s="9">
        <f t="shared" si="181"/>
        <v>4.1760944585279347E-2</v>
      </c>
      <c r="BX36" s="9">
        <f t="shared" si="181"/>
        <v>4.1799225996251632E-2</v>
      </c>
      <c r="BY36" s="9">
        <f t="shared" si="181"/>
        <v>4.183761544036968E-2</v>
      </c>
      <c r="BZ36" s="9">
        <f t="shared" si="181"/>
        <v>4.1876110527089283E-2</v>
      </c>
      <c r="CA36" s="9">
        <f t="shared" si="181"/>
        <v>4.1914708836016112E-2</v>
      </c>
      <c r="CB36" s="9">
        <f t="shared" si="181"/>
        <v>4.1953407917453944E-2</v>
      </c>
      <c r="CD36" s="4" t="s">
        <v>93</v>
      </c>
      <c r="CE36" s="15">
        <v>7.4999999999999997E-2</v>
      </c>
    </row>
    <row r="37" spans="2:83" s="4" customFormat="1" x14ac:dyDescent="0.2">
      <c r="B37" s="8" t="s">
        <v>42</v>
      </c>
      <c r="L37" s="9"/>
      <c r="M37" s="9"/>
      <c r="N37" s="9"/>
      <c r="O37" s="9">
        <f t="shared" ref="O37:X37" si="182">+O10/K10-1</f>
        <v>0.1722751398395197</v>
      </c>
      <c r="P37" s="9">
        <f t="shared" si="182"/>
        <v>0.65520336993301576</v>
      </c>
      <c r="Q37" s="9">
        <f t="shared" si="182"/>
        <v>0.49784238019532134</v>
      </c>
      <c r="R37" s="9">
        <f t="shared" si="182"/>
        <v>0.46982302223566785</v>
      </c>
      <c r="S37" s="9">
        <f t="shared" si="182"/>
        <v>9.1940180191167231E-2</v>
      </c>
      <c r="T37" s="9">
        <f t="shared" si="182"/>
        <v>5.4904251324627618E-2</v>
      </c>
      <c r="U37" s="9">
        <f t="shared" si="182"/>
        <v>2.7672479150871787E-2</v>
      </c>
      <c r="V37" s="9">
        <f t="shared" si="182"/>
        <v>9.6686220026757308E-2</v>
      </c>
      <c r="W37" s="9">
        <f t="shared" si="182"/>
        <v>-8.1713854917071505E-2</v>
      </c>
      <c r="X37" s="9">
        <f t="shared" si="182"/>
        <v>1.510777140597197E-2</v>
      </c>
      <c r="AU37" s="9"/>
      <c r="AV37" s="9">
        <f t="shared" ref="AV37" si="183">+AV10/AU10-1</f>
        <v>53.8130081300813</v>
      </c>
      <c r="AW37" s="9">
        <f t="shared" ref="AW37:BD37" si="184">+AW10/AV10-1</f>
        <v>0.93310590329279153</v>
      </c>
      <c r="AX37" s="9">
        <f t="shared" si="184"/>
        <v>0.93194199340136574</v>
      </c>
      <c r="AY37" s="9">
        <f t="shared" si="184"/>
        <v>0.82683982683982693</v>
      </c>
      <c r="AZ37" s="9">
        <f t="shared" si="184"/>
        <v>0.71077003347971646</v>
      </c>
      <c r="BA37" s="9">
        <f t="shared" si="184"/>
        <v>0.15995272708788688</v>
      </c>
      <c r="BB37" s="9">
        <f t="shared" si="184"/>
        <v>0.11735448460215392</v>
      </c>
      <c r="BC37" s="9">
        <f t="shared" si="184"/>
        <v>0.52014393426870997</v>
      </c>
      <c r="BD37" s="9">
        <f t="shared" si="184"/>
        <v>-0.11829774059764842</v>
      </c>
      <c r="BE37" s="9">
        <f t="shared" ref="BE37:BI37" si="185">+BE10/BD10-1</f>
        <v>3.3789319678127372E-2</v>
      </c>
      <c r="BF37" s="9">
        <f t="shared" si="185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5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6">+BL10/BK10-1</f>
        <v>2.9912804175826757E-3</v>
      </c>
      <c r="BM37" s="9">
        <f t="shared" si="186"/>
        <v>0.13387662109590526</v>
      </c>
      <c r="BN37" s="9">
        <f t="shared" si="186"/>
        <v>5.6640000000000024E-2</v>
      </c>
      <c r="BO37" s="9">
        <f t="shared" si="186"/>
        <v>5.6640000000000024E-2</v>
      </c>
      <c r="BP37" s="9">
        <f t="shared" si="186"/>
        <v>5.6640000000000246E-2</v>
      </c>
      <c r="BQ37" s="9">
        <f t="shared" si="186"/>
        <v>5.6639999999999802E-2</v>
      </c>
      <c r="BR37" s="9">
        <f t="shared" si="186"/>
        <v>4.6479999999999855E-2</v>
      </c>
      <c r="BS37" s="9">
        <f t="shared" si="186"/>
        <v>4.6480000000000299E-2</v>
      </c>
      <c r="BT37" s="9">
        <f t="shared" si="186"/>
        <v>4.6479999999999855E-2</v>
      </c>
      <c r="BU37" s="9">
        <f t="shared" si="186"/>
        <v>4.6480000000000077E-2</v>
      </c>
      <c r="BV37" s="9">
        <f t="shared" si="186"/>
        <v>3.6320000000000352E-2</v>
      </c>
      <c r="BW37" s="9">
        <f t="shared" si="186"/>
        <v>3.6319999999999908E-2</v>
      </c>
      <c r="BX37" s="9">
        <f t="shared" si="186"/>
        <v>3.632000000000013E-2</v>
      </c>
      <c r="BY37" s="9">
        <f t="shared" si="186"/>
        <v>3.6319999999999908E-2</v>
      </c>
      <c r="BZ37" s="9">
        <f t="shared" si="186"/>
        <v>3.632000000000013E-2</v>
      </c>
      <c r="CA37" s="9">
        <f t="shared" si="186"/>
        <v>3.6319999999999908E-2</v>
      </c>
      <c r="CB37" s="9">
        <f t="shared" si="186"/>
        <v>3.632000000000013E-2</v>
      </c>
      <c r="CD37" s="4" t="s">
        <v>95</v>
      </c>
      <c r="CE37" s="15">
        <v>-0.01</v>
      </c>
    </row>
    <row r="38" spans="2:83" s="4" customFormat="1" x14ac:dyDescent="0.2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7">+P19/L19-1</f>
        <v>0.26618219958046141</v>
      </c>
      <c r="Q38" s="9">
        <f t="shared" si="187"/>
        <v>0.32912739434478566</v>
      </c>
      <c r="R38" s="9">
        <f t="shared" si="187"/>
        <v>0.25623754209911342</v>
      </c>
      <c r="S38" s="9">
        <f t="shared" si="187"/>
        <v>0.23824630416851722</v>
      </c>
      <c r="T38" s="9">
        <f t="shared" si="187"/>
        <v>0.17277084196201398</v>
      </c>
      <c r="U38" s="9">
        <f t="shared" si="187"/>
        <v>0.12112547180601618</v>
      </c>
      <c r="V38" s="9">
        <f t="shared" si="187"/>
        <v>4.984406631285232E-2</v>
      </c>
      <c r="W38" s="9">
        <f t="shared" si="187"/>
        <v>6.4050010248001721E-2</v>
      </c>
      <c r="X38" s="9">
        <f>+X19/T19-1</f>
        <v>5.4790373845921003E-2</v>
      </c>
      <c r="Y38" s="9">
        <f t="shared" ref="Y38:Z38" si="188">+Y19/U19-1</f>
        <v>8.2075086716996593E-2</v>
      </c>
      <c r="Z38" s="9">
        <f t="shared" si="188"/>
        <v>0.16291432145090678</v>
      </c>
      <c r="AA38" s="9">
        <f t="shared" ref="AA38" si="189">+AA19/W19-1</f>
        <v>0.11321390734855052</v>
      </c>
      <c r="AB38" s="9">
        <f t="shared" ref="AB38" si="190">+AB19/X19-1</f>
        <v>0.14157937532883724</v>
      </c>
      <c r="AC38" s="9">
        <f t="shared" ref="AC38" si="191">+AC19/Y19-1</f>
        <v>0.1414227124876255</v>
      </c>
      <c r="AD38" s="9">
        <f t="shared" ref="AD38:AE38" si="192">+AD19/Z19-1</f>
        <v>0.11911804248453883</v>
      </c>
      <c r="AE38" s="9">
        <f t="shared" si="192"/>
        <v>0.13942120517368162</v>
      </c>
      <c r="AF38" s="9">
        <f t="shared" ref="AF38" si="193">+AF19/AB19-1</f>
        <v>0.1100000000000001</v>
      </c>
      <c r="AG38" s="9">
        <f t="shared" ref="AG38" si="194">+AG19/AC19-1</f>
        <v>5.0000000000000044E-2</v>
      </c>
      <c r="AH38" s="9">
        <f t="shared" ref="AH38" si="195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6">+BH19/BG19-1</f>
        <v>0.16152167807997242</v>
      </c>
      <c r="BI38" s="9">
        <f t="shared" si="196"/>
        <v>0.27259708376729663</v>
      </c>
      <c r="BJ38" s="9">
        <f t="shared" si="196"/>
        <v>0.14181951041286078</v>
      </c>
      <c r="BK38" s="9">
        <f>+BK19/BJ19-1</f>
        <v>9.0504166186691215E-2</v>
      </c>
      <c r="BL38" s="9">
        <f t="shared" ref="BL38:CB38" si="197">+BL19/BK19-1</f>
        <v>0.12874413145539898</v>
      </c>
      <c r="BM38" s="9">
        <f t="shared" si="197"/>
        <v>0.14999999999999991</v>
      </c>
      <c r="BN38" s="9">
        <f t="shared" si="197"/>
        <v>0.10000000000000009</v>
      </c>
      <c r="BO38" s="9">
        <f t="shared" si="197"/>
        <v>0.10000000000000009</v>
      </c>
      <c r="BP38" s="9">
        <f t="shared" si="197"/>
        <v>0.10000000000000009</v>
      </c>
      <c r="BQ38" s="9">
        <f t="shared" si="197"/>
        <v>5.0000000000000044E-2</v>
      </c>
      <c r="BR38" s="9">
        <f t="shared" si="197"/>
        <v>5.0000000000000044E-2</v>
      </c>
      <c r="BS38" s="9">
        <f t="shared" si="197"/>
        <v>5.0000000000000044E-2</v>
      </c>
      <c r="BT38" s="9">
        <f t="shared" si="197"/>
        <v>5.0000000000000044E-2</v>
      </c>
      <c r="BU38" s="9">
        <f t="shared" si="197"/>
        <v>5.0000000000000044E-2</v>
      </c>
      <c r="BV38" s="9">
        <f t="shared" si="197"/>
        <v>5.0000000000000044E-2</v>
      </c>
      <c r="BW38" s="9">
        <f t="shared" si="197"/>
        <v>5.0000000000000044E-2</v>
      </c>
      <c r="BX38" s="9">
        <f t="shared" si="197"/>
        <v>5.0000000000000044E-2</v>
      </c>
      <c r="BY38" s="9">
        <f t="shared" si="197"/>
        <v>5.0000000000000044E-2</v>
      </c>
      <c r="BZ38" s="9">
        <f t="shared" si="197"/>
        <v>5.0000000000000044E-2</v>
      </c>
      <c r="CA38" s="9">
        <f t="shared" si="197"/>
        <v>5.0000000000000044E-2</v>
      </c>
      <c r="CB38" s="9">
        <f t="shared" si="197"/>
        <v>5.0000000000000044E-2</v>
      </c>
      <c r="CD38" s="4" t="s">
        <v>94</v>
      </c>
      <c r="CE38" s="8">
        <f>NPV(CE36,BK32:GJ32)+Main!O5-Main!O6</f>
        <v>2400459.1071151011</v>
      </c>
    </row>
    <row r="39" spans="2:83" x14ac:dyDescent="0.2">
      <c r="B39" t="s">
        <v>31</v>
      </c>
      <c r="C39" s="5"/>
      <c r="D39" s="5"/>
      <c r="E39" s="5">
        <f t="shared" ref="E39" si="198">+E24/E20</f>
        <v>0.38338496198254013</v>
      </c>
      <c r="K39" s="5">
        <f t="shared" ref="K39" si="199">+K24/K20</f>
        <v>0.38354806739345887</v>
      </c>
      <c r="L39" s="5">
        <f t="shared" ref="L39:N39" si="200">+L24/L20</f>
        <v>0.38361943305952362</v>
      </c>
      <c r="M39" s="5">
        <f t="shared" si="200"/>
        <v>0.37999497361146017</v>
      </c>
      <c r="N39" s="5">
        <f t="shared" si="200"/>
        <v>0.38160375900336951</v>
      </c>
      <c r="O39" s="5">
        <f t="shared" ref="O39:Q39" si="201">+O24/O20</f>
        <v>0.39777815665969724</v>
      </c>
      <c r="P39" s="5">
        <f t="shared" si="201"/>
        <v>0.42506474370423292</v>
      </c>
      <c r="Q39" s="5">
        <f t="shared" si="201"/>
        <v>0.43292727853230839</v>
      </c>
      <c r="R39" s="5">
        <f t="shared" ref="R39" si="202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3">+V24/V20</f>
        <v>0.4225922392563175</v>
      </c>
      <c r="W39" s="5">
        <f t="shared" si="203"/>
        <v>0.42962254809908323</v>
      </c>
      <c r="X39" s="5">
        <f t="shared" si="203"/>
        <v>0.44261672782487665</v>
      </c>
      <c r="Y39" s="5">
        <f t="shared" ref="Y39:Z39" si="204">+Y24/Y20</f>
        <v>0.44516302553883397</v>
      </c>
      <c r="Z39" s="5">
        <f t="shared" si="204"/>
        <v>0.45170841806520817</v>
      </c>
      <c r="AA39" s="5">
        <f t="shared" ref="AA39:AD39" si="205">+AA24/AA20</f>
        <v>0.45874973865774621</v>
      </c>
      <c r="AB39" s="5">
        <f t="shared" si="205"/>
        <v>0.46578074554009236</v>
      </c>
      <c r="AC39" s="5">
        <f t="shared" si="205"/>
        <v>0.46257155181458898</v>
      </c>
      <c r="AD39" s="5">
        <f t="shared" si="205"/>
        <v>0.4622247972190035</v>
      </c>
      <c r="AE39" s="5">
        <f t="shared" ref="AE39" si="206">+AE24/AE20</f>
        <v>0.46882542236524538</v>
      </c>
      <c r="AF39" s="5">
        <f t="shared" ref="AF39:AH39" si="207">+AF24/AF20</f>
        <v>0.47</v>
      </c>
      <c r="AG39" s="5">
        <f t="shared" si="207"/>
        <v>0.47</v>
      </c>
      <c r="AH39" s="5">
        <f t="shared" si="207"/>
        <v>0.46999999999999992</v>
      </c>
      <c r="AI39" s="5"/>
      <c r="AJ39" s="5"/>
      <c r="AN39" s="5">
        <f t="shared" ref="AN39:AO39" si="208">+AN24/AN20</f>
        <v>0.27132656895903795</v>
      </c>
      <c r="AO39" s="5">
        <f t="shared" si="208"/>
        <v>0.23028155882901361</v>
      </c>
      <c r="AP39" s="5">
        <f t="shared" ref="AP39:AS39" si="209">+AP24/AP20</f>
        <v>0.27917102055033088</v>
      </c>
      <c r="AQ39" s="5">
        <f t="shared" si="209"/>
        <v>0.27517319155791847</v>
      </c>
      <c r="AR39" s="5">
        <f t="shared" si="209"/>
        <v>0.27285904094697427</v>
      </c>
      <c r="AS39" s="5">
        <f t="shared" si="209"/>
        <v>0.29021606489124974</v>
      </c>
      <c r="AT39" s="5">
        <f t="shared" ref="AT39:AV39" si="210">+AT24/AT20</f>
        <v>0.28982655966865128</v>
      </c>
      <c r="AU39" s="5">
        <f t="shared" si="210"/>
        <v>0.33966508372906773</v>
      </c>
      <c r="AV39" s="5">
        <f t="shared" si="210"/>
        <v>0.35200448107545812</v>
      </c>
      <c r="AW39" s="5">
        <f t="shared" ref="AW39:AX39" si="211">+AW24/AW20</f>
        <v>0.40139843841044165</v>
      </c>
      <c r="AX39" s="5">
        <f t="shared" si="211"/>
        <v>0.39377539287083174</v>
      </c>
      <c r="AY39" s="5">
        <f t="shared" ref="AY39:BB39" si="212">+AY24/AY20</f>
        <v>0.40478895878945764</v>
      </c>
      <c r="AZ39" s="5">
        <f t="shared" si="212"/>
        <v>0.43871239808827661</v>
      </c>
      <c r="BA39" s="5">
        <f t="shared" si="212"/>
        <v>0.37624480720847231</v>
      </c>
      <c r="BB39" s="5">
        <f t="shared" si="212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3">+BF24/BF20</f>
        <v>0.38343718820007905</v>
      </c>
      <c r="BG39" s="5">
        <f t="shared" si="213"/>
        <v>0.37817768109034722</v>
      </c>
      <c r="BH39" s="5">
        <f t="shared" si="213"/>
        <v>0.38233247727810865</v>
      </c>
      <c r="BI39" s="5">
        <f t="shared" si="213"/>
        <v>0.41779359625167778</v>
      </c>
      <c r="BJ39" s="5">
        <f t="shared" si="213"/>
        <v>0.43309630561360085</v>
      </c>
      <c r="BK39" s="5">
        <f>+BK24/BK20</f>
        <v>0.44131129577207562</v>
      </c>
      <c r="BL39" s="5">
        <f t="shared" ref="BL39:BU39" si="214">+BL24/BL20</f>
        <v>0.46206349815233932</v>
      </c>
      <c r="BM39" s="5">
        <f t="shared" si="214"/>
        <v>0.45362947589520725</v>
      </c>
      <c r="BN39" s="5">
        <f t="shared" si="214"/>
        <v>0.45660936466674518</v>
      </c>
      <c r="BO39" s="5">
        <f t="shared" si="214"/>
        <v>0.45964534856197958</v>
      </c>
      <c r="BP39" s="5">
        <f t="shared" si="214"/>
        <v>0.46273626694683956</v>
      </c>
      <c r="BQ39" s="5">
        <f t="shared" si="214"/>
        <v>0.46240002701949035</v>
      </c>
      <c r="BR39" s="5">
        <f t="shared" si="214"/>
        <v>0.46263726241610775</v>
      </c>
      <c r="BS39" s="5">
        <f t="shared" si="214"/>
        <v>0.46287300142953525</v>
      </c>
      <c r="BT39" s="5">
        <f t="shared" si="214"/>
        <v>0.46310722350746308</v>
      </c>
      <c r="BU39" s="5">
        <f t="shared" si="214"/>
        <v>0.46333990801899477</v>
      </c>
      <c r="BV39" s="5">
        <f t="shared" ref="BV39:CB39" si="215">+BV24/BV20</f>
        <v>0.46408277662667069</v>
      </c>
      <c r="BW39" s="5">
        <f t="shared" si="215"/>
        <v>0.46490594413818304</v>
      </c>
      <c r="BX39" s="5">
        <f t="shared" si="215"/>
        <v>0.46573173659229478</v>
      </c>
      <c r="BY39" s="5">
        <f t="shared" si="215"/>
        <v>0.46656010281888677</v>
      </c>
      <c r="BZ39" s="5">
        <f t="shared" si="215"/>
        <v>0.4673909909530668</v>
      </c>
      <c r="CA39" s="5">
        <f t="shared" si="215"/>
        <v>0.46822434844661281</v>
      </c>
      <c r="CB39" s="5">
        <f t="shared" si="215"/>
        <v>0.46906012207980208</v>
      </c>
      <c r="CD39" s="4" t="s">
        <v>96</v>
      </c>
      <c r="CE39" s="6">
        <f>CE38/Main!O3</f>
        <v>158.43568788298469</v>
      </c>
    </row>
    <row r="40" spans="2:83" x14ac:dyDescent="0.2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6">(L19-L22)/L19</f>
        <v>0.65373089601438417</v>
      </c>
      <c r="M40" s="5">
        <f t="shared" si="216"/>
        <v>0.67224080267558528</v>
      </c>
      <c r="N40" s="5">
        <f t="shared" si="216"/>
        <v>0.66925561894288266</v>
      </c>
      <c r="O40" s="5">
        <f t="shared" si="216"/>
        <v>0.6839667533785927</v>
      </c>
      <c r="P40" s="5">
        <f t="shared" si="216"/>
        <v>0.70072776758771671</v>
      </c>
      <c r="Q40" s="5">
        <f t="shared" si="216"/>
        <v>0.69804414960539862</v>
      </c>
      <c r="R40" s="5">
        <f t="shared" si="216"/>
        <v>0.704765552333534</v>
      </c>
      <c r="S40" s="5">
        <f t="shared" si="216"/>
        <v>0.72366263578602175</v>
      </c>
      <c r="T40" s="5">
        <f t="shared" si="216"/>
        <v>0.72609858231168967</v>
      </c>
      <c r="U40" s="5">
        <f t="shared" si="216"/>
        <v>0.71490512140379514</v>
      </c>
      <c r="V40" s="5">
        <f t="shared" ref="V40:X40" si="217">(V19-V22)/V19</f>
        <v>0.70481550969355844</v>
      </c>
      <c r="W40" s="5">
        <f t="shared" si="217"/>
        <v>0.70832129442357705</v>
      </c>
      <c r="X40" s="5">
        <f t="shared" si="217"/>
        <v>0.70990577318601422</v>
      </c>
      <c r="Y40" s="5">
        <f t="shared" ref="Y40:Z40" si="218">(Y19-Y22)/Y19</f>
        <v>0.70546363079243857</v>
      </c>
      <c r="Z40" s="5">
        <f t="shared" si="218"/>
        <v>0.70937528009321504</v>
      </c>
      <c r="AA40" s="5">
        <f t="shared" ref="AA40:AD40" si="219">(AA19-AA22)/AA19</f>
        <v>0.728338452221309</v>
      </c>
      <c r="AB40" s="5">
        <f t="shared" si="219"/>
        <v>0.74617672937528801</v>
      </c>
      <c r="AC40" s="5">
        <f t="shared" si="219"/>
        <v>0.73997439392062114</v>
      </c>
      <c r="AD40" s="5">
        <f t="shared" si="219"/>
        <v>0.74030914624379307</v>
      </c>
      <c r="AE40" s="5">
        <f t="shared" ref="AE40" si="220">(AE19-AE22)/AE19</f>
        <v>0.75026575550493546</v>
      </c>
      <c r="AF40" s="5">
        <f t="shared" ref="AF40:AH40" si="221">(AF19-AF22)/AF19</f>
        <v>1</v>
      </c>
      <c r="AG40" s="5">
        <f t="shared" si="221"/>
        <v>1</v>
      </c>
      <c r="AH40" s="5">
        <f t="shared" si="221"/>
        <v>1</v>
      </c>
      <c r="AI40" s="5"/>
      <c r="AJ40" s="5"/>
      <c r="AN40" s="5">
        <f t="shared" ref="AN40:AO40" si="222">(AN19-AN22)/AN19</f>
        <v>1</v>
      </c>
      <c r="AO40" s="5">
        <f t="shared" si="222"/>
        <v>1</v>
      </c>
      <c r="AP40" s="5">
        <f t="shared" ref="AP40:AS40" si="223">(AP19-AP22)/AP19</f>
        <v>1</v>
      </c>
      <c r="AQ40" s="5">
        <f t="shared" si="223"/>
        <v>1</v>
      </c>
      <c r="AR40" s="5">
        <f t="shared" si="223"/>
        <v>1</v>
      </c>
      <c r="AS40" s="5">
        <f t="shared" si="223"/>
        <v>1</v>
      </c>
      <c r="AT40" s="5">
        <f t="shared" ref="AT40:AV40" si="224">(AT19-AT22)/AT19</f>
        <v>1</v>
      </c>
      <c r="AU40" s="5">
        <f t="shared" si="224"/>
        <v>1</v>
      </c>
      <c r="AV40" s="5">
        <f t="shared" si="224"/>
        <v>1</v>
      </c>
      <c r="AW40" s="5">
        <f t="shared" ref="AW40:AX40" si="225">(AW19-AW22)/AW19</f>
        <v>1</v>
      </c>
      <c r="AX40" s="5">
        <f t="shared" si="225"/>
        <v>1</v>
      </c>
      <c r="AY40" s="5">
        <f t="shared" ref="AY40:BB40" si="226">(AY19-AY22)/AY19</f>
        <v>1</v>
      </c>
      <c r="AZ40" s="5">
        <f t="shared" si="226"/>
        <v>1</v>
      </c>
      <c r="BA40" s="5">
        <f t="shared" si="226"/>
        <v>1</v>
      </c>
      <c r="BB40" s="5">
        <f t="shared" si="226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7">(BF19-BF22)/BF19</f>
        <v>0.60772869075173597</v>
      </c>
      <c r="BG40" s="5">
        <f t="shared" si="227"/>
        <v>0.63738091637683347</v>
      </c>
      <c r="BH40" s="5">
        <f t="shared" si="227"/>
        <v>0.66015101919357233</v>
      </c>
      <c r="BI40" s="5">
        <f t="shared" si="227"/>
        <v>0.69725977347460721</v>
      </c>
      <c r="BJ40" s="5">
        <f t="shared" si="227"/>
        <v>0.71745446633132381</v>
      </c>
      <c r="BK40" s="5">
        <f>(BK19-BK22)/BK19</f>
        <v>0.70827464788732397</v>
      </c>
      <c r="BL40" s="5">
        <f t="shared" ref="BL40:BU40" si="228">(BL19-BL22)/BL19</f>
        <v>0.7388035645582256</v>
      </c>
      <c r="BM40" s="5">
        <f t="shared" si="228"/>
        <v>0.73</v>
      </c>
      <c r="BN40" s="5">
        <f t="shared" si="228"/>
        <v>0.73000000000000009</v>
      </c>
      <c r="BO40" s="5">
        <f t="shared" si="228"/>
        <v>0.73</v>
      </c>
      <c r="BP40" s="5">
        <f t="shared" si="228"/>
        <v>0.73</v>
      </c>
      <c r="BQ40" s="5">
        <f t="shared" si="228"/>
        <v>0.73</v>
      </c>
      <c r="BR40" s="5">
        <f t="shared" si="228"/>
        <v>0.73</v>
      </c>
      <c r="BS40" s="5">
        <f t="shared" si="228"/>
        <v>0.73</v>
      </c>
      <c r="BT40" s="5">
        <f t="shared" si="228"/>
        <v>0.73</v>
      </c>
      <c r="BU40" s="5">
        <f t="shared" si="228"/>
        <v>0.73</v>
      </c>
      <c r="BV40" s="5">
        <f t="shared" ref="BV40:CB40" si="229">(BV19-BV22)/BV19</f>
        <v>0.73</v>
      </c>
      <c r="BW40" s="5">
        <f t="shared" si="229"/>
        <v>0.73000000000000009</v>
      </c>
      <c r="BX40" s="5">
        <f t="shared" si="229"/>
        <v>0.73</v>
      </c>
      <c r="BY40" s="5">
        <f t="shared" si="229"/>
        <v>0.73</v>
      </c>
      <c r="BZ40" s="5">
        <f t="shared" si="229"/>
        <v>0.73</v>
      </c>
      <c r="CA40" s="5">
        <f t="shared" si="229"/>
        <v>0.73</v>
      </c>
      <c r="CB40" s="5">
        <f t="shared" si="229"/>
        <v>0.73</v>
      </c>
      <c r="CD40" s="4" t="s">
        <v>97</v>
      </c>
      <c r="CE40" s="5">
        <f>CE39/Main!O2-1</f>
        <v>-0.21952863111830201</v>
      </c>
    </row>
    <row r="41" spans="2:83" x14ac:dyDescent="0.2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0">(L18-L21)/L18</f>
        <v>0.30343600578227509</v>
      </c>
      <c r="M41" s="5">
        <f t="shared" si="230"/>
        <v>0.29736293494379851</v>
      </c>
      <c r="N41" s="5">
        <f t="shared" si="230"/>
        <v>0.2981515085046561</v>
      </c>
      <c r="O41" s="5">
        <f t="shared" si="230"/>
        <v>0.35063441961579467</v>
      </c>
      <c r="P41" s="5">
        <f t="shared" si="230"/>
        <v>0.3609647372838215</v>
      </c>
      <c r="Q41" s="5">
        <f t="shared" si="230"/>
        <v>0.36043347720022517</v>
      </c>
      <c r="R41" s="5">
        <f t="shared" si="230"/>
        <v>0.34253184395310604</v>
      </c>
      <c r="S41" s="5">
        <f t="shared" si="230"/>
        <v>0.38418446983117716</v>
      </c>
      <c r="T41" s="5">
        <f t="shared" si="230"/>
        <v>0.36364692668190091</v>
      </c>
      <c r="U41" s="5">
        <f t="shared" si="230"/>
        <v>0.34519769552521506</v>
      </c>
      <c r="V41" s="5">
        <f t="shared" si="230"/>
        <v>0.34627526142224979</v>
      </c>
      <c r="W41" s="5">
        <f t="shared" ref="W41:X41" si="231">(W18-W21)/W18</f>
        <v>0.36957920073038136</v>
      </c>
      <c r="X41" s="5">
        <f t="shared" si="231"/>
        <v>0.36702782399329087</v>
      </c>
      <c r="Y41" s="5">
        <f t="shared" ref="Y41:Z41" si="232">(Y18-Y21)/Y18</f>
        <v>0.35402086359434837</v>
      </c>
      <c r="Z41" s="5">
        <f t="shared" si="232"/>
        <v>0.36612884020004766</v>
      </c>
      <c r="AA41" s="5">
        <f t="shared" ref="AA41:AD41" si="233">(AA18-AA21)/AA18</f>
        <v>0.39414045491301913</v>
      </c>
      <c r="AB41" s="5">
        <f t="shared" si="233"/>
        <v>0.36572675896301171</v>
      </c>
      <c r="AC41" s="5">
        <f t="shared" si="233"/>
        <v>0.35346956013254499</v>
      </c>
      <c r="AD41" s="5">
        <f t="shared" si="233"/>
        <v>0.36296063352297092</v>
      </c>
      <c r="AE41" s="5">
        <f t="shared" ref="AE41" si="234">(AE18-AE21)/AE18</f>
        <v>0.39315026541445486</v>
      </c>
      <c r="AF41" s="5">
        <f t="shared" ref="AF41:AH41" si="235">(AF18-AF21)/AF18</f>
        <v>1</v>
      </c>
      <c r="AG41" s="5">
        <f t="shared" si="235"/>
        <v>1</v>
      </c>
      <c r="AH41" s="5">
        <f t="shared" si="235"/>
        <v>1</v>
      </c>
      <c r="AI41" s="5"/>
      <c r="AJ41" s="5"/>
      <c r="AN41" s="5">
        <f t="shared" ref="AN41:AO41" si="236">(AN18-AN21)/AN18</f>
        <v>1</v>
      </c>
      <c r="AO41" s="5">
        <f t="shared" si="236"/>
        <v>1</v>
      </c>
      <c r="AP41" s="5">
        <f t="shared" ref="AP41:AS41" si="237">(AP18-AP21)/AP18</f>
        <v>1</v>
      </c>
      <c r="AQ41" s="5">
        <f t="shared" si="237"/>
        <v>1</v>
      </c>
      <c r="AR41" s="5">
        <f t="shared" si="237"/>
        <v>1</v>
      </c>
      <c r="AS41" s="5">
        <f t="shared" si="237"/>
        <v>1</v>
      </c>
      <c r="AT41" s="5">
        <f t="shared" ref="AT41:AV41" si="238">(AT18-AT21)/AT18</f>
        <v>1</v>
      </c>
      <c r="AU41" s="5">
        <f t="shared" si="238"/>
        <v>1</v>
      </c>
      <c r="AV41" s="5">
        <f t="shared" si="238"/>
        <v>1</v>
      </c>
      <c r="AW41" s="5">
        <f t="shared" ref="AW41:AX41" si="239">(AW18-AW21)/AW18</f>
        <v>1</v>
      </c>
      <c r="AX41" s="5">
        <f t="shared" si="239"/>
        <v>1</v>
      </c>
      <c r="AY41" s="5">
        <f t="shared" ref="AY41:BB41" si="240">(AY18-AY21)/AY18</f>
        <v>1</v>
      </c>
      <c r="AZ41" s="5">
        <f t="shared" si="240"/>
        <v>1</v>
      </c>
      <c r="BA41" s="5">
        <f t="shared" si="240"/>
        <v>1</v>
      </c>
      <c r="BB41" s="5">
        <f t="shared" si="240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1">(BF18-BF21)/BF18</f>
        <v>0.34396294836770025</v>
      </c>
      <c r="BG41" s="5">
        <f t="shared" si="241"/>
        <v>0.32207795851002652</v>
      </c>
      <c r="BH41" s="5">
        <f t="shared" si="241"/>
        <v>0.31466339293399231</v>
      </c>
      <c r="BI41" s="5">
        <f t="shared" si="241"/>
        <v>0.35349303276483562</v>
      </c>
      <c r="BJ41" s="5">
        <f t="shared" si="241"/>
        <v>0.36283479707399452</v>
      </c>
      <c r="BK41" s="5">
        <f>(BK18-BK21)/BK18</f>
        <v>0.36500662562691849</v>
      </c>
      <c r="BL41" s="5">
        <f t="shared" ref="BL41:BU41" si="242">(BL18-BL21)/BL18</f>
        <v>0.37180617636485724</v>
      </c>
      <c r="BM41" s="5">
        <f t="shared" si="242"/>
        <v>0.36000000000000004</v>
      </c>
      <c r="BN41" s="5">
        <f t="shared" si="242"/>
        <v>0.36</v>
      </c>
      <c r="BO41" s="5">
        <f t="shared" si="242"/>
        <v>0.36</v>
      </c>
      <c r="BP41" s="5">
        <f t="shared" si="242"/>
        <v>0.35999999999999993</v>
      </c>
      <c r="BQ41" s="5">
        <f t="shared" si="242"/>
        <v>0.36</v>
      </c>
      <c r="BR41" s="5">
        <f t="shared" si="242"/>
        <v>0.35999999999999993</v>
      </c>
      <c r="BS41" s="5">
        <f t="shared" si="242"/>
        <v>0.35999999999999993</v>
      </c>
      <c r="BT41" s="5">
        <f t="shared" si="242"/>
        <v>0.36</v>
      </c>
      <c r="BU41" s="5">
        <f t="shared" si="242"/>
        <v>0.36000000000000004</v>
      </c>
      <c r="BV41" s="5">
        <f t="shared" ref="BV41:CB41" si="243">(BV18-BV21)/BV18</f>
        <v>0.36</v>
      </c>
      <c r="BW41" s="5">
        <f t="shared" si="243"/>
        <v>0.35999999999999993</v>
      </c>
      <c r="BX41" s="5">
        <f t="shared" si="243"/>
        <v>0.36</v>
      </c>
      <c r="BY41" s="5">
        <f t="shared" si="243"/>
        <v>0.36</v>
      </c>
      <c r="BZ41" s="5">
        <f t="shared" si="243"/>
        <v>0.36</v>
      </c>
      <c r="CA41" s="5">
        <f t="shared" si="243"/>
        <v>0.36</v>
      </c>
      <c r="CB41" s="5">
        <f t="shared" si="243"/>
        <v>0.36</v>
      </c>
    </row>
    <row r="42" spans="2:83" x14ac:dyDescent="0.2">
      <c r="B42" t="s">
        <v>30</v>
      </c>
      <c r="C42" s="5"/>
      <c r="D42" s="5"/>
      <c r="E42" s="5">
        <f t="shared" ref="E42" si="244">+E28/E20</f>
        <v>0.23677837228949591</v>
      </c>
      <c r="K42" s="5">
        <f t="shared" ref="K42" si="245">+K28/K20</f>
        <v>0.2784717759940753</v>
      </c>
      <c r="L42" s="5">
        <f t="shared" ref="L42:N42" si="246">+L28/L20</f>
        <v>0.22041397287054346</v>
      </c>
      <c r="M42" s="5">
        <f t="shared" si="246"/>
        <v>0.21933484124989527</v>
      </c>
      <c r="N42" s="5">
        <f t="shared" si="246"/>
        <v>0.2283687285542057</v>
      </c>
      <c r="O42" s="5">
        <f t="shared" ref="O42:Q42" si="247">+O28/O20</f>
        <v>0.30091799100853384</v>
      </c>
      <c r="P42" s="5">
        <f t="shared" si="247"/>
        <v>0.30700794784782998</v>
      </c>
      <c r="Q42" s="5">
        <f t="shared" si="247"/>
        <v>0.29626445956234498</v>
      </c>
      <c r="R42" s="5">
        <f t="shared" ref="R42" si="248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9">+V28/V20</f>
        <v>0.27615202005635303</v>
      </c>
      <c r="W42" s="5">
        <f t="shared" si="249"/>
        <v>0.30742441572630896</v>
      </c>
      <c r="X42" s="5">
        <f t="shared" si="249"/>
        <v>0.29859968788223878</v>
      </c>
      <c r="Y42" s="5">
        <f t="shared" ref="Y42:Z42" si="250">+Y28/Y20</f>
        <v>0.28115945572576012</v>
      </c>
      <c r="Z42" s="5">
        <f t="shared" si="250"/>
        <v>0.30133634271156895</v>
      </c>
      <c r="AA42" s="5">
        <f t="shared" ref="AA42:AD42" si="251">+AA28/AA20</f>
        <v>0.33763746602550698</v>
      </c>
      <c r="AB42" s="5">
        <f t="shared" si="251"/>
        <v>0.30742785362467356</v>
      </c>
      <c r="AC42" s="5">
        <f t="shared" si="251"/>
        <v>0.29555708406682446</v>
      </c>
      <c r="AD42" s="5">
        <f t="shared" si="251"/>
        <v>0.31171389444854103</v>
      </c>
      <c r="AE42" s="5">
        <f t="shared" ref="AE42" si="252">+AE28/AE20</f>
        <v>0.34458567980691873</v>
      </c>
      <c r="AF42" s="5">
        <f t="shared" ref="AF42:AH42" si="253">+AF28/AF20</f>
        <v>0.31719379826497812</v>
      </c>
      <c r="AG42" s="5">
        <f t="shared" si="253"/>
        <v>0.30646732902383006</v>
      </c>
      <c r="AH42" s="5">
        <f t="shared" si="253"/>
        <v>0.32251580902944293</v>
      </c>
      <c r="AI42" s="5"/>
      <c r="AJ42" s="5"/>
      <c r="AN42" s="5">
        <f t="shared" ref="AN42:AO42" si="254">+AN28/AN20</f>
        <v>7.7665038206188156E-2</v>
      </c>
      <c r="AO42" s="5">
        <f t="shared" si="254"/>
        <v>-6.2092112623531606E-2</v>
      </c>
      <c r="AP42" s="5">
        <f t="shared" ref="AP42:AS42" si="255">+AP28/AP20</f>
        <v>8.3594566353187051E-3</v>
      </c>
      <c r="AQ42" s="5">
        <f t="shared" si="255"/>
        <v>4.0277106492669565E-3</v>
      </c>
      <c r="AR42" s="5">
        <f t="shared" si="255"/>
        <v>4.2154849619519263E-2</v>
      </c>
      <c r="AS42" s="5">
        <f t="shared" si="255"/>
        <v>0.11844088722991888</v>
      </c>
      <c r="AT42" s="5">
        <f t="shared" ref="AT42:AV42" si="256">+AT28/AT20</f>
        <v>0.1269997411338338</v>
      </c>
      <c r="AU42" s="5">
        <f t="shared" si="256"/>
        <v>0.1836624177289011</v>
      </c>
      <c r="AV42" s="5">
        <f t="shared" si="256"/>
        <v>0.22210663892667573</v>
      </c>
      <c r="AW42" s="5">
        <f t="shared" ref="AW42:AX42" si="257">+AW28/AW20</f>
        <v>0.2736277823097541</v>
      </c>
      <c r="AX42" s="5">
        <f t="shared" si="257"/>
        <v>0.28187044844768111</v>
      </c>
      <c r="AY42" s="5">
        <f t="shared" ref="AY42:BB42" si="258">+AY28/AY20</f>
        <v>0.31215068961376086</v>
      </c>
      <c r="AZ42" s="5">
        <f t="shared" si="258"/>
        <v>0.35295959311984054</v>
      </c>
      <c r="BA42" s="5">
        <f t="shared" si="258"/>
        <v>0.28669475162366159</v>
      </c>
      <c r="BB42" s="5">
        <f t="shared" si="258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9">+BF28/BF20</f>
        <v>0.26694026619477024</v>
      </c>
      <c r="BG42" s="5">
        <f t="shared" si="259"/>
        <v>0.24572017188496928</v>
      </c>
      <c r="BH42" s="5">
        <f t="shared" si="259"/>
        <v>0.24147314354406862</v>
      </c>
      <c r="BI42" s="5">
        <f t="shared" si="259"/>
        <v>0.29782377527561593</v>
      </c>
      <c r="BJ42" s="5">
        <f t="shared" si="259"/>
        <v>0.30288744395528594</v>
      </c>
      <c r="BK42" s="5">
        <f>+BK28/BK20</f>
        <v>0.29821412265024722</v>
      </c>
      <c r="BL42" s="5">
        <f t="shared" ref="BL42:BU42" si="260">+BL28/BL20</f>
        <v>0.31510222870075566</v>
      </c>
      <c r="BM42" s="5">
        <f t="shared" si="260"/>
        <v>0.318193613213058</v>
      </c>
      <c r="BN42" s="5">
        <f t="shared" si="260"/>
        <v>0.32575601283530864</v>
      </c>
      <c r="BO42" s="5">
        <f t="shared" si="260"/>
        <v>0.33326859469828157</v>
      </c>
      <c r="BP42" s="5">
        <f t="shared" si="260"/>
        <v>0.34073102634804647</v>
      </c>
      <c r="BQ42" s="5">
        <f t="shared" si="260"/>
        <v>0.3431103942699843</v>
      </c>
      <c r="BR42" s="5">
        <f t="shared" si="260"/>
        <v>0.34534871281880053</v>
      </c>
      <c r="BS42" s="5">
        <f t="shared" si="260"/>
        <v>0.34755426034865977</v>
      </c>
      <c r="BT42" s="5">
        <f t="shared" si="260"/>
        <v>0.34972747235449292</v>
      </c>
      <c r="BU42" s="5">
        <f t="shared" si="260"/>
        <v>0.35186877805863043</v>
      </c>
      <c r="BV42" s="5">
        <f t="shared" ref="BV42:CB42" si="261">+BV28/BV20</f>
        <v>0.35394884887705413</v>
      </c>
      <c r="BW42" s="5">
        <f t="shared" si="261"/>
        <v>0.35601537171682562</v>
      </c>
      <c r="BX42" s="5">
        <f t="shared" si="261"/>
        <v>0.35807443872211797</v>
      </c>
      <c r="BY42" s="5">
        <f t="shared" si="261"/>
        <v>0.3601260336675135</v>
      </c>
      <c r="BZ42" s="5">
        <f t="shared" si="261"/>
        <v>0.36217013972301637</v>
      </c>
      <c r="CA42" s="5">
        <f t="shared" si="261"/>
        <v>0.36420673947358395</v>
      </c>
      <c r="CB42" s="5">
        <f t="shared" si="261"/>
        <v>0.3662358149388944</v>
      </c>
    </row>
    <row r="43" spans="2:83" x14ac:dyDescent="0.2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2">L31/L30</f>
        <v>0.14358583936048724</v>
      </c>
      <c r="M43" s="5">
        <f t="shared" si="262"/>
        <v>0.14341173783968944</v>
      </c>
      <c r="N43" s="5">
        <f t="shared" si="262"/>
        <v>0.14952016643178309</v>
      </c>
      <c r="O43" s="5">
        <f t="shared" si="262"/>
        <v>0.14366121683194855</v>
      </c>
      <c r="P43" s="5">
        <f t="shared" si="262"/>
        <v>0.1564028417407447</v>
      </c>
      <c r="Q43" s="5">
        <f t="shared" si="262"/>
        <v>0.10771882309491568</v>
      </c>
      <c r="R43" s="5">
        <f t="shared" si="262"/>
        <v>0.11600997935306263</v>
      </c>
      <c r="S43" s="5">
        <f t="shared" si="262"/>
        <v>0.16030164157028201</v>
      </c>
      <c r="T43" s="5">
        <f t="shared" si="262"/>
        <v>0.17017817445834302</v>
      </c>
      <c r="U43" s="5">
        <f t="shared" si="262"/>
        <v>0.15711436746726784</v>
      </c>
      <c r="V43" s="5">
        <f t="shared" ref="V43:X43" si="263">V31/V30</f>
        <v>0.15963012531938192</v>
      </c>
      <c r="W43" s="5">
        <f t="shared" si="263"/>
        <v>0.15790360160570419</v>
      </c>
      <c r="X43" s="5">
        <f t="shared" si="263"/>
        <v>0.14875625396377987</v>
      </c>
      <c r="Y43" s="5">
        <f t="shared" ref="Y43:Z43" si="264">Y31/Y30</f>
        <v>0.12545638499098227</v>
      </c>
      <c r="Z43" s="5">
        <f t="shared" si="264"/>
        <v>0.14971479368842136</v>
      </c>
      <c r="AA43" s="5">
        <f t="shared" ref="AA43:AD43" si="265">AA31/AA30</f>
        <v>0.15889194752374575</v>
      </c>
      <c r="AB43" s="5">
        <f t="shared" si="265"/>
        <v>0.1576021099151757</v>
      </c>
      <c r="AC43" s="5">
        <f t="shared" si="265"/>
        <v>0.15870400878638111</v>
      </c>
      <c r="AD43" s="5">
        <f t="shared" si="265"/>
        <v>0.50233029381965555</v>
      </c>
      <c r="AE43" s="5">
        <f t="shared" ref="AE43" si="266">AE31/AE30</f>
        <v>0.14686267142588766</v>
      </c>
      <c r="AF43" s="5">
        <f t="shared" ref="AF43:AH43" si="267">AF31/AF30</f>
        <v>0.15</v>
      </c>
      <c r="AG43" s="5">
        <f t="shared" si="267"/>
        <v>0.15</v>
      </c>
      <c r="AH43" s="5">
        <f t="shared" si="267"/>
        <v>0.15</v>
      </c>
      <c r="AI43" s="5"/>
      <c r="AJ43" s="5"/>
      <c r="AN43" s="5">
        <f t="shared" ref="AN43:AO43" si="268">AN31/AN30</f>
        <v>0.37181044957472659</v>
      </c>
      <c r="AO43" s="5">
        <f t="shared" si="268"/>
        <v>0</v>
      </c>
      <c r="AP43" s="5">
        <f t="shared" ref="AP43:AS43" si="269">AP31/AP30</f>
        <v>0.1864406779661017</v>
      </c>
      <c r="AQ43" s="5">
        <f t="shared" si="269"/>
        <v>0.20338983050847459</v>
      </c>
      <c r="AR43" s="5">
        <f t="shared" si="269"/>
        <v>0.26354679802955666</v>
      </c>
      <c r="AS43" s="5">
        <f t="shared" si="269"/>
        <v>0.26446280991735538</v>
      </c>
      <c r="AT43" s="5">
        <f t="shared" ref="AT43:AV43" si="270">AT31/AT30</f>
        <v>0.29418026969481903</v>
      </c>
      <c r="AU43" s="5">
        <f t="shared" si="270"/>
        <v>0.30191693290734822</v>
      </c>
      <c r="AV43" s="5">
        <f t="shared" si="270"/>
        <v>0.3160836034424947</v>
      </c>
      <c r="AW43" s="5">
        <f t="shared" ref="AW43:AX43" si="271">AW31/AW30</f>
        <v>0.31750372948781702</v>
      </c>
      <c r="AX43" s="5">
        <f t="shared" si="271"/>
        <v>0.24417475728155341</v>
      </c>
      <c r="AY43" s="5">
        <f t="shared" ref="AY43:BB43" si="272">AY31/AY30</f>
        <v>0.24215757930127174</v>
      </c>
      <c r="AZ43" s="5">
        <f t="shared" si="272"/>
        <v>0.25160052364471064</v>
      </c>
      <c r="BA43" s="5">
        <f t="shared" si="272"/>
        <v>0.26154919748778788</v>
      </c>
      <c r="BB43" s="5">
        <f t="shared" si="272"/>
        <v>0.26126058747639436</v>
      </c>
      <c r="BC43" s="5">
        <f t="shared" ref="BC43:BD43" si="273">BC31/BC30</f>
        <v>0.26368337585327173</v>
      </c>
      <c r="BD43" s="5">
        <f t="shared" si="273"/>
        <v>0.25557257381216192</v>
      </c>
      <c r="BE43" s="5">
        <f t="shared" ref="BE43" si="274">BE31/BE30</f>
        <v>0.24556476150353415</v>
      </c>
      <c r="BF43" s="5">
        <f t="shared" ref="BF43:BJ43" si="275">BF31/BF30</f>
        <v>0.18342180705869443</v>
      </c>
      <c r="BG43" s="5">
        <f t="shared" si="275"/>
        <v>0.15943836804235059</v>
      </c>
      <c r="BH43" s="5">
        <f t="shared" si="275"/>
        <v>0.14428164731484103</v>
      </c>
      <c r="BI43" s="5">
        <f t="shared" si="275"/>
        <v>0.13302260844085087</v>
      </c>
      <c r="BJ43" s="5">
        <f t="shared" si="275"/>
        <v>0.16204461684424407</v>
      </c>
      <c r="BK43" s="5">
        <f>BK31/BK30</f>
        <v>0.14719174228036858</v>
      </c>
      <c r="BL43" s="5">
        <f t="shared" ref="BL43:BU43" si="276">BL31/BL30</f>
        <v>0.24091185164189982</v>
      </c>
      <c r="BM43" s="5">
        <f t="shared" si="276"/>
        <v>0.2</v>
      </c>
      <c r="BN43" s="5">
        <f t="shared" si="276"/>
        <v>0.2</v>
      </c>
      <c r="BO43" s="5">
        <f t="shared" si="276"/>
        <v>0.20000000000000004</v>
      </c>
      <c r="BP43" s="5">
        <f t="shared" si="276"/>
        <v>0.2</v>
      </c>
      <c r="BQ43" s="5">
        <f t="shared" si="276"/>
        <v>0.2</v>
      </c>
      <c r="BR43" s="5">
        <f t="shared" si="276"/>
        <v>0.2</v>
      </c>
      <c r="BS43" s="5">
        <f t="shared" si="276"/>
        <v>0.2</v>
      </c>
      <c r="BT43" s="5">
        <f t="shared" si="276"/>
        <v>0.20000000000000004</v>
      </c>
      <c r="BU43" s="5">
        <f t="shared" si="276"/>
        <v>0.2</v>
      </c>
      <c r="BV43" s="5">
        <f t="shared" ref="BV43:CB43" si="277">BV31/BV30</f>
        <v>0.2</v>
      </c>
      <c r="BW43" s="5">
        <f t="shared" si="277"/>
        <v>0.2</v>
      </c>
      <c r="BX43" s="5">
        <f t="shared" si="277"/>
        <v>0.2</v>
      </c>
      <c r="BY43" s="5">
        <f t="shared" si="277"/>
        <v>0.2</v>
      </c>
      <c r="BZ43" s="5">
        <f t="shared" si="277"/>
        <v>0.2</v>
      </c>
      <c r="CA43" s="5">
        <f t="shared" si="277"/>
        <v>0.2</v>
      </c>
      <c r="CB43" s="5">
        <f t="shared" si="277"/>
        <v>0.20000000000000004</v>
      </c>
    </row>
    <row r="44" spans="2:83" x14ac:dyDescent="0.2">
      <c r="B44" t="s">
        <v>160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8">+V33/R33-1</f>
        <v>4.058942615831751E-2</v>
      </c>
      <c r="W44" s="5">
        <f t="shared" si="278"/>
        <v>-0.10316022532525748</v>
      </c>
      <c r="X44" s="5">
        <f t="shared" si="278"/>
        <v>-7.7222454700431875E-5</v>
      </c>
      <c r="Y44" s="5">
        <f t="shared" si="278"/>
        <v>5.4161853731795384E-2</v>
      </c>
      <c r="Z44" s="5">
        <f t="shared" si="278"/>
        <v>0.13939334487945021</v>
      </c>
      <c r="AA44" s="5">
        <f t="shared" si="278"/>
        <v>0.15812348125504605</v>
      </c>
      <c r="AB44" s="5">
        <f t="shared" si="278"/>
        <v>2.4984903043883122E-3</v>
      </c>
      <c r="AC44" s="5">
        <f t="shared" si="278"/>
        <v>0.10882038400780858</v>
      </c>
      <c r="AD44" s="5">
        <f t="shared" si="278"/>
        <v>-0.33998676732349176</v>
      </c>
      <c r="AE44" s="5">
        <f>+AE33/AA33-1</f>
        <v>0.10127848174065157</v>
      </c>
      <c r="AF44" s="5">
        <f t="shared" ref="AF44:AH44" si="279">+AF33/AB33-1</f>
        <v>9.5014737678668748E-2</v>
      </c>
      <c r="AG44" s="5">
        <f t="shared" si="279"/>
        <v>7.7844323040550778E-2</v>
      </c>
      <c r="AH44" s="5">
        <f t="shared" si="279"/>
        <v>0.81319755503152202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2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"/>
    <row r="48" spans="2:83" x14ac:dyDescent="0.2">
      <c r="B48" t="s">
        <v>128</v>
      </c>
      <c r="W48" s="2">
        <f t="shared" ref="W48:AE48" si="280">W49-W61</f>
        <v>54340</v>
      </c>
      <c r="X48" s="2">
        <f t="shared" si="280"/>
        <v>56718</v>
      </c>
      <c r="Y48" s="2">
        <f t="shared" si="280"/>
        <v>57263</v>
      </c>
      <c r="Z48" s="2">
        <f t="shared" si="280"/>
        <v>51011</v>
      </c>
      <c r="AA48" s="2">
        <f t="shared" si="280"/>
        <v>64535</v>
      </c>
      <c r="AB48" s="2">
        <f t="shared" si="280"/>
        <v>57747</v>
      </c>
      <c r="AC48" s="2">
        <f t="shared" si="280"/>
        <v>51737</v>
      </c>
      <c r="AD48" s="2">
        <f t="shared" si="280"/>
        <v>50021</v>
      </c>
      <c r="AE48" s="2">
        <f t="shared" si="280"/>
        <v>44569</v>
      </c>
    </row>
    <row r="49" spans="2:31" s="2" customFormat="1" x14ac:dyDescent="0.2">
      <c r="B49" s="2" t="s">
        <v>3</v>
      </c>
      <c r="W49" s="2">
        <f>20535+30820+114095</f>
        <v>165450</v>
      </c>
      <c r="X49" s="2">
        <f>24687+31185+110461</f>
        <v>166333</v>
      </c>
      <c r="Y49" s="2">
        <f>28408+34074+104061</f>
        <v>166543</v>
      </c>
      <c r="Z49" s="2">
        <f>29965+31590+100544</f>
        <v>162099</v>
      </c>
      <c r="AA49" s="2">
        <f>40760+32340+99475</f>
        <v>172575</v>
      </c>
      <c r="AB49" s="2">
        <f>32695+34455+95187</f>
        <v>162337</v>
      </c>
      <c r="AC49" s="2">
        <f>25565+36236+91240</f>
        <v>153041</v>
      </c>
      <c r="AD49" s="2">
        <f>29943+35228+91479</f>
        <v>156650</v>
      </c>
      <c r="AE49" s="2">
        <f>30299+23476+87593</f>
        <v>141368</v>
      </c>
    </row>
    <row r="50" spans="2:31" s="2" customFormat="1" x14ac:dyDescent="0.2">
      <c r="B50" s="2" t="s">
        <v>115</v>
      </c>
      <c r="W50" s="2">
        <v>23752</v>
      </c>
      <c r="X50" s="2">
        <v>17936</v>
      </c>
      <c r="Y50" s="2">
        <v>19549</v>
      </c>
      <c r="Z50" s="2">
        <v>29508</v>
      </c>
      <c r="AA50" s="2">
        <v>23194</v>
      </c>
      <c r="AB50" s="2">
        <v>21837</v>
      </c>
      <c r="AC50" s="2">
        <v>22795</v>
      </c>
      <c r="AD50" s="2">
        <v>33410</v>
      </c>
      <c r="AE50" s="2">
        <v>29639</v>
      </c>
    </row>
    <row r="51" spans="2:31" s="2" customFormat="1" x14ac:dyDescent="0.2">
      <c r="B51" s="2" t="s">
        <v>116</v>
      </c>
      <c r="W51" s="2">
        <v>6820</v>
      </c>
      <c r="X51" s="2">
        <v>7482</v>
      </c>
      <c r="Y51" s="2">
        <v>7351</v>
      </c>
      <c r="Z51" s="2">
        <v>31477</v>
      </c>
      <c r="AA51" s="2">
        <v>26908</v>
      </c>
      <c r="AB51" s="2">
        <v>19313</v>
      </c>
      <c r="AC51" s="2">
        <v>20377</v>
      </c>
      <c r="AD51" s="2">
        <v>32833</v>
      </c>
      <c r="AE51" s="2">
        <v>29667</v>
      </c>
    </row>
    <row r="52" spans="2:31" s="2" customFormat="1" x14ac:dyDescent="0.2">
      <c r="B52" s="2" t="s">
        <v>117</v>
      </c>
      <c r="W52" s="2">
        <v>30428</v>
      </c>
      <c r="X52" s="2">
        <v>17963</v>
      </c>
      <c r="Y52" s="2">
        <v>19637</v>
      </c>
      <c r="Z52" s="2">
        <v>6331</v>
      </c>
      <c r="AA52" s="2">
        <v>6511</v>
      </c>
      <c r="AB52" s="2">
        <v>6232</v>
      </c>
      <c r="AC52" s="2">
        <v>6165</v>
      </c>
      <c r="AD52" s="2">
        <v>7286</v>
      </c>
      <c r="AE52" s="2">
        <v>6911</v>
      </c>
    </row>
    <row r="53" spans="2:31" s="2" customFormat="1" x14ac:dyDescent="0.2">
      <c r="B53" s="2" t="s">
        <v>118</v>
      </c>
      <c r="W53" s="2">
        <v>16422</v>
      </c>
      <c r="X53" s="2">
        <v>13660</v>
      </c>
      <c r="Y53" s="2">
        <v>13640</v>
      </c>
      <c r="Z53" s="2">
        <v>14695</v>
      </c>
      <c r="AA53" s="2">
        <v>13979</v>
      </c>
      <c r="AB53" s="2">
        <v>13884</v>
      </c>
      <c r="AC53" s="2">
        <v>14297</v>
      </c>
      <c r="AD53" s="2">
        <v>14287</v>
      </c>
      <c r="AE53" s="2">
        <v>13248</v>
      </c>
    </row>
    <row r="54" spans="2:31" s="2" customFormat="1" x14ac:dyDescent="0.2">
      <c r="B54" s="2" t="s">
        <v>119</v>
      </c>
      <c r="W54" s="2">
        <v>42951</v>
      </c>
      <c r="X54" s="2">
        <v>43398</v>
      </c>
      <c r="Y54" s="2">
        <v>43550</v>
      </c>
      <c r="Z54" s="2">
        <v>43715</v>
      </c>
      <c r="AA54" s="2">
        <v>43666</v>
      </c>
      <c r="AB54" s="2">
        <v>43546</v>
      </c>
      <c r="AC54" s="2">
        <v>44502</v>
      </c>
      <c r="AD54" s="2">
        <v>45680</v>
      </c>
      <c r="AE54" s="2">
        <v>46069</v>
      </c>
    </row>
    <row r="55" spans="2:31" s="2" customFormat="1" x14ac:dyDescent="0.2">
      <c r="B55" s="2" t="s">
        <v>120</v>
      </c>
      <c r="W55" s="2">
        <v>60924</v>
      </c>
      <c r="X55" s="2">
        <v>65388</v>
      </c>
      <c r="Y55" s="2">
        <v>64768</v>
      </c>
      <c r="Z55" s="2">
        <v>64758</v>
      </c>
      <c r="AA55" s="2">
        <v>66681</v>
      </c>
      <c r="AB55" s="2">
        <v>70262</v>
      </c>
      <c r="AC55" s="2">
        <v>70435</v>
      </c>
      <c r="AD55" s="2">
        <v>74834</v>
      </c>
      <c r="AE55" s="2">
        <v>77183</v>
      </c>
    </row>
    <row r="56" spans="2:31" s="2" customFormat="1" x14ac:dyDescent="0.2">
      <c r="B56" s="2" t="s">
        <v>121</v>
      </c>
      <c r="W56" s="2">
        <f t="shared" ref="W56:AE56" si="281">SUM(W49:W55)</f>
        <v>346747</v>
      </c>
      <c r="X56" s="2">
        <f t="shared" si="281"/>
        <v>332160</v>
      </c>
      <c r="Y56" s="2">
        <f t="shared" si="281"/>
        <v>335038</v>
      </c>
      <c r="Z56" s="2">
        <f t="shared" si="281"/>
        <v>352583</v>
      </c>
      <c r="AA56" s="2">
        <f t="shared" si="281"/>
        <v>353514</v>
      </c>
      <c r="AB56" s="2">
        <f t="shared" si="281"/>
        <v>337411</v>
      </c>
      <c r="AC56" s="2">
        <f t="shared" si="281"/>
        <v>331612</v>
      </c>
      <c r="AD56" s="2">
        <f t="shared" si="281"/>
        <v>364980</v>
      </c>
      <c r="AE56" s="2">
        <f t="shared" si="281"/>
        <v>344085</v>
      </c>
    </row>
    <row r="58" spans="2:31" x14ac:dyDescent="0.2">
      <c r="B58" s="2" t="s">
        <v>122</v>
      </c>
      <c r="W58" s="2">
        <v>57918</v>
      </c>
      <c r="X58" s="2">
        <v>42945</v>
      </c>
      <c r="Y58" s="2">
        <v>46699</v>
      </c>
      <c r="Z58" s="2">
        <v>62611</v>
      </c>
      <c r="AA58" s="2">
        <v>58146</v>
      </c>
      <c r="AB58" s="2">
        <v>45753</v>
      </c>
      <c r="AC58" s="2">
        <v>47574</v>
      </c>
      <c r="AD58" s="2">
        <v>68960</v>
      </c>
      <c r="AE58" s="2">
        <v>61910</v>
      </c>
    </row>
    <row r="59" spans="2:31" x14ac:dyDescent="0.2">
      <c r="B59" s="2" t="s">
        <v>123</v>
      </c>
      <c r="W59" s="2">
        <v>59893</v>
      </c>
      <c r="X59" s="2">
        <v>56425</v>
      </c>
      <c r="Y59" s="2">
        <v>58897</v>
      </c>
      <c r="Z59" s="2">
        <v>58829</v>
      </c>
      <c r="AA59" s="2">
        <v>54611</v>
      </c>
      <c r="AB59" s="2">
        <v>57298</v>
      </c>
      <c r="AC59" s="2">
        <v>60889</v>
      </c>
      <c r="AD59" s="2">
        <v>78304</v>
      </c>
      <c r="AE59" s="2">
        <v>61151</v>
      </c>
    </row>
    <row r="60" spans="2:31" x14ac:dyDescent="0.2">
      <c r="B60" s="2" t="s">
        <v>124</v>
      </c>
      <c r="W60" s="2">
        <v>7992</v>
      </c>
      <c r="X60" s="2">
        <v>8131</v>
      </c>
      <c r="Y60" s="2">
        <v>8158</v>
      </c>
      <c r="Z60" s="2">
        <v>8061</v>
      </c>
      <c r="AA60" s="2">
        <v>8264</v>
      </c>
      <c r="AB60" s="2">
        <v>8012</v>
      </c>
      <c r="AC60" s="2">
        <v>8053</v>
      </c>
      <c r="AD60" s="2">
        <v>8249</v>
      </c>
      <c r="AE60" s="2">
        <v>8461</v>
      </c>
    </row>
    <row r="61" spans="2:31" x14ac:dyDescent="0.2">
      <c r="B61" s="2" t="s">
        <v>4</v>
      </c>
      <c r="W61" s="2">
        <f>1743+9740+99627</f>
        <v>111110</v>
      </c>
      <c r="X61" s="2">
        <f>1996+10578+97041</f>
        <v>109615</v>
      </c>
      <c r="Y61" s="2">
        <f>3993+98071+7216</f>
        <v>109280</v>
      </c>
      <c r="Z61" s="2">
        <f>5985+9822+95281</f>
        <v>111088</v>
      </c>
      <c r="AA61" s="2">
        <f>1998+10954+95088</f>
        <v>108040</v>
      </c>
      <c r="AB61" s="2">
        <f>1997+10762+91831</f>
        <v>104590</v>
      </c>
      <c r="AC61" s="2">
        <f>2994+12114+86196</f>
        <v>101304</v>
      </c>
      <c r="AD61" s="2">
        <f>9967+10912+85750</f>
        <v>106629</v>
      </c>
      <c r="AE61" s="2">
        <f>1995+83956+10848</f>
        <v>96799</v>
      </c>
    </row>
    <row r="62" spans="2:31" x14ac:dyDescent="0.2">
      <c r="B62" s="2" t="s">
        <v>127</v>
      </c>
      <c r="W62" s="2">
        <v>53107</v>
      </c>
      <c r="X62" s="2">
        <v>52886</v>
      </c>
      <c r="Y62" s="2">
        <v>51730</v>
      </c>
      <c r="Z62" s="2">
        <v>49848</v>
      </c>
      <c r="AA62" s="2">
        <v>50353</v>
      </c>
      <c r="AB62" s="2">
        <v>47564</v>
      </c>
      <c r="AC62" s="2">
        <v>47084</v>
      </c>
      <c r="AD62" s="2">
        <v>45888</v>
      </c>
      <c r="AE62" s="2">
        <v>49006</v>
      </c>
    </row>
    <row r="63" spans="2:31" x14ac:dyDescent="0.2">
      <c r="B63" s="2" t="s">
        <v>126</v>
      </c>
      <c r="W63" s="2">
        <v>56727</v>
      </c>
      <c r="X63" s="2">
        <v>62158</v>
      </c>
      <c r="Y63" s="2">
        <v>60274</v>
      </c>
      <c r="Z63" s="2">
        <v>62146</v>
      </c>
      <c r="AA63" s="2">
        <v>74100</v>
      </c>
      <c r="AB63" s="2">
        <v>74194</v>
      </c>
      <c r="AC63" s="2">
        <v>66708</v>
      </c>
      <c r="AD63" s="2">
        <v>56950</v>
      </c>
      <c r="AE63" s="2">
        <v>66758</v>
      </c>
    </row>
    <row r="64" spans="2:31" x14ac:dyDescent="0.2">
      <c r="B64" s="2" t="s">
        <v>125</v>
      </c>
      <c r="W64" s="2">
        <f t="shared" ref="W64:AE64" si="282">SUM(W58:W63)</f>
        <v>346747</v>
      </c>
      <c r="X64" s="2">
        <f t="shared" si="282"/>
        <v>332160</v>
      </c>
      <c r="Y64" s="2">
        <f t="shared" si="282"/>
        <v>335038</v>
      </c>
      <c r="Z64" s="2">
        <f t="shared" si="282"/>
        <v>352583</v>
      </c>
      <c r="AA64" s="2">
        <f t="shared" si="282"/>
        <v>353514</v>
      </c>
      <c r="AB64" s="2">
        <f t="shared" si="282"/>
        <v>337411</v>
      </c>
      <c r="AC64" s="2">
        <f t="shared" si="282"/>
        <v>331612</v>
      </c>
      <c r="AD64" s="2">
        <f t="shared" si="282"/>
        <v>364980</v>
      </c>
      <c r="AE64" s="2">
        <f t="shared" si="282"/>
        <v>344085</v>
      </c>
    </row>
    <row r="66" spans="2:64" x14ac:dyDescent="0.2">
      <c r="B66" s="2" t="s">
        <v>129</v>
      </c>
      <c r="W66" s="2">
        <f t="shared" ref="W66:AE66" si="283">W32</f>
        <v>29998</v>
      </c>
      <c r="X66" s="2">
        <f t="shared" si="283"/>
        <v>24160</v>
      </c>
      <c r="Y66" s="2">
        <f t="shared" si="283"/>
        <v>19881</v>
      </c>
      <c r="Z66" s="2">
        <f t="shared" si="283"/>
        <v>22956</v>
      </c>
      <c r="AA66" s="2">
        <f t="shared" si="283"/>
        <v>33916</v>
      </c>
      <c r="AB66" s="2">
        <f t="shared" si="283"/>
        <v>23636</v>
      </c>
      <c r="AC66" s="2">
        <f t="shared" si="283"/>
        <v>21448</v>
      </c>
      <c r="AD66" s="2">
        <f t="shared" si="283"/>
        <v>14736</v>
      </c>
      <c r="AE66" s="2">
        <f t="shared" si="283"/>
        <v>36330</v>
      </c>
      <c r="BD66" s="2">
        <f t="shared" ref="BD66:BL66" si="284">BD32</f>
        <v>45687</v>
      </c>
      <c r="BE66" s="2">
        <f t="shared" si="284"/>
        <v>48351</v>
      </c>
      <c r="BF66" s="2">
        <f t="shared" si="284"/>
        <v>59531</v>
      </c>
      <c r="BG66" s="2">
        <f t="shared" si="284"/>
        <v>55256</v>
      </c>
      <c r="BH66" s="2">
        <f t="shared" si="284"/>
        <v>57411</v>
      </c>
      <c r="BI66" s="2">
        <f t="shared" si="284"/>
        <v>94680</v>
      </c>
      <c r="BJ66" s="2">
        <f t="shared" si="284"/>
        <v>99803</v>
      </c>
      <c r="BK66" s="2">
        <f t="shared" si="284"/>
        <v>96995</v>
      </c>
      <c r="BL66" s="2">
        <f t="shared" si="284"/>
        <v>93736</v>
      </c>
    </row>
    <row r="67" spans="2:64" s="2" customFormat="1" x14ac:dyDescent="0.2">
      <c r="B67" s="2" t="s">
        <v>130</v>
      </c>
      <c r="W67" s="2">
        <v>29998</v>
      </c>
      <c r="X67" s="2">
        <f>54158-W67</f>
        <v>24160</v>
      </c>
      <c r="Y67" s="2">
        <f>74039-X67-W67</f>
        <v>19881</v>
      </c>
      <c r="Z67" s="2">
        <f>96995-Y67-X67-W67</f>
        <v>22956</v>
      </c>
      <c r="AA67" s="2">
        <v>33916</v>
      </c>
      <c r="AB67" s="2">
        <f>57552-AA67</f>
        <v>23636</v>
      </c>
      <c r="AC67" s="2">
        <f>79000-AB67-AA67</f>
        <v>21448</v>
      </c>
      <c r="AD67" s="2">
        <f>93736-AC67-AB67-AA67</f>
        <v>14736</v>
      </c>
      <c r="AE67" s="2">
        <v>36330</v>
      </c>
    </row>
    <row r="68" spans="2:64" s="2" customFormat="1" x14ac:dyDescent="0.2">
      <c r="B68" s="2" t="s">
        <v>132</v>
      </c>
      <c r="W68" s="2">
        <v>2916</v>
      </c>
      <c r="X68" s="2">
        <f>5814-W68</f>
        <v>2898</v>
      </c>
      <c r="Y68" s="2">
        <f>8866-X68-W68</f>
        <v>3052</v>
      </c>
      <c r="Z68" s="2">
        <f>11519-Y68-X68-W68</f>
        <v>2653</v>
      </c>
      <c r="AA68" s="2">
        <v>2848</v>
      </c>
      <c r="AB68" s="2">
        <f>5684-AA68</f>
        <v>2836</v>
      </c>
      <c r="AC68" s="2">
        <f>8534-AB68-AA68</f>
        <v>2850</v>
      </c>
      <c r="AD68" s="2">
        <f>11445-AC68-AB68-AA68</f>
        <v>2911</v>
      </c>
      <c r="AE68" s="2">
        <v>3080</v>
      </c>
    </row>
    <row r="69" spans="2:64" s="2" customFormat="1" x14ac:dyDescent="0.2">
      <c r="B69" s="2" t="s">
        <v>133</v>
      </c>
      <c r="W69" s="2">
        <v>2905</v>
      </c>
      <c r="X69" s="2">
        <f>5591-W69</f>
        <v>2686</v>
      </c>
      <c r="Y69" s="2">
        <f>8208-X69-W69</f>
        <v>2617</v>
      </c>
      <c r="Z69" s="2">
        <f>10833-Y69-X69-W69</f>
        <v>2625</v>
      </c>
      <c r="AA69" s="2">
        <v>2997</v>
      </c>
      <c r="AB69" s="2">
        <f>5961-AA69</f>
        <v>2964</v>
      </c>
      <c r="AC69" s="2">
        <f>8830-AB69-AA69</f>
        <v>2869</v>
      </c>
      <c r="AD69" s="2">
        <f>11688-AC69-AB69-AA69</f>
        <v>2858</v>
      </c>
      <c r="AE69" s="2">
        <v>3286</v>
      </c>
    </row>
    <row r="70" spans="2:64" s="2" customFormat="1" x14ac:dyDescent="0.2">
      <c r="B70" s="2" t="s">
        <v>134</v>
      </c>
      <c r="W70" s="2">
        <v>-317</v>
      </c>
      <c r="X70" s="2">
        <f>-1732-W70</f>
        <v>-1415</v>
      </c>
      <c r="Y70" s="2">
        <f>-1651-X70-W70</f>
        <v>81</v>
      </c>
      <c r="Z70" s="2">
        <f>-2227-Y70-X70-W70</f>
        <v>-576</v>
      </c>
      <c r="AA70" s="2">
        <v>-989</v>
      </c>
      <c r="AB70" s="2">
        <f>-1971-AA70</f>
        <v>-982</v>
      </c>
      <c r="AC70" s="2">
        <f>-1964-AB70-AA70</f>
        <v>7</v>
      </c>
      <c r="AD70" s="2">
        <f>-2266-AC70-AB70-AA70</f>
        <v>-302</v>
      </c>
      <c r="AE70" s="2">
        <v>-2009</v>
      </c>
    </row>
    <row r="71" spans="2:64" s="2" customFormat="1" x14ac:dyDescent="0.2">
      <c r="B71" s="2" t="s">
        <v>135</v>
      </c>
      <c r="W71" s="2">
        <f>4275-1807+2320-4099-6075+131+3758</f>
        <v>-1497</v>
      </c>
      <c r="X71" s="2">
        <f>9596-2548+14785-4092-20764+1757-W71</f>
        <v>231</v>
      </c>
      <c r="Y71" s="2">
        <f>7609-2570+13111-4863-16790+2986-X71-W71</f>
        <v>749</v>
      </c>
      <c r="Z71" s="2">
        <f>-1688+1271-1618-5684-1889+3031-Y71-X71-W71</f>
        <v>-6060</v>
      </c>
      <c r="AA71" s="2">
        <f>6555+4569-137-1457-4542-3865</f>
        <v>1123</v>
      </c>
      <c r="AB71" s="2">
        <f>7727+12164+53-4438-16710-3437-AA71</f>
        <v>-5764</v>
      </c>
      <c r="AC71" s="2">
        <f>6697+11100+41-5626-15171+2-AB71-AA71</f>
        <v>1684</v>
      </c>
      <c r="AD71" s="2">
        <f>-3788-1356-1046-11731+6020+15552-AC71-AB71-AA71</f>
        <v>6608</v>
      </c>
      <c r="AE71" s="2">
        <f>3597+3166+215+939-6671-11998</f>
        <v>-10752</v>
      </c>
    </row>
    <row r="72" spans="2:64" s="2" customFormat="1" x14ac:dyDescent="0.2">
      <c r="B72" s="2" t="s">
        <v>131</v>
      </c>
      <c r="W72" s="2">
        <f t="shared" ref="W72:AE72" si="285">SUM(W67:W71)</f>
        <v>34005</v>
      </c>
      <c r="X72" s="2">
        <f t="shared" si="285"/>
        <v>28560</v>
      </c>
      <c r="Y72" s="2">
        <f t="shared" si="285"/>
        <v>26380</v>
      </c>
      <c r="Z72" s="2">
        <f t="shared" si="285"/>
        <v>21598</v>
      </c>
      <c r="AA72" s="2">
        <f t="shared" si="285"/>
        <v>39895</v>
      </c>
      <c r="AB72" s="2">
        <f t="shared" si="285"/>
        <v>22690</v>
      </c>
      <c r="AC72" s="2">
        <f t="shared" si="285"/>
        <v>28858</v>
      </c>
      <c r="AD72" s="2">
        <f t="shared" si="285"/>
        <v>26811</v>
      </c>
      <c r="AE72" s="2">
        <f t="shared" si="285"/>
        <v>29935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2">
      <c r="B74" s="2" t="s">
        <v>136</v>
      </c>
      <c r="W74" s="2">
        <f>-5153+7127+509</f>
        <v>2483</v>
      </c>
      <c r="X74" s="2">
        <f>-11197+17124+1897-W74</f>
        <v>5341</v>
      </c>
      <c r="Y74" s="2">
        <f>-20956+27857+3959-X74-W74</f>
        <v>3036</v>
      </c>
      <c r="Z74" s="2">
        <f>-29513+39686+5828-Y74-X74-W74</f>
        <v>5141</v>
      </c>
      <c r="AA74" s="2">
        <f>-9780+13046+1337</f>
        <v>4603</v>
      </c>
      <c r="AB74" s="2">
        <f>-25042+27462+4314-AA74</f>
        <v>2131</v>
      </c>
      <c r="AC74" s="2">
        <f>-38074+39838+7382-AB74-AA74</f>
        <v>2412</v>
      </c>
      <c r="AD74" s="2">
        <f>-48656+51211+11135-AC74-AB74-AA74</f>
        <v>4544</v>
      </c>
      <c r="AE74" s="2">
        <f>-6124+15967+3492</f>
        <v>13335</v>
      </c>
    </row>
    <row r="75" spans="2:64" x14ac:dyDescent="0.2">
      <c r="B75" s="2" t="s">
        <v>137</v>
      </c>
      <c r="W75" s="2">
        <v>-3787</v>
      </c>
      <c r="X75" s="2">
        <f>-6703-W75</f>
        <v>-2916</v>
      </c>
      <c r="Y75" s="2">
        <f>-8796-X75-W75</f>
        <v>-2093</v>
      </c>
      <c r="Z75" s="2">
        <f>-10959-Y75-X75-W75</f>
        <v>-2163</v>
      </c>
      <c r="AA75" s="2">
        <v>-2392</v>
      </c>
      <c r="AB75" s="2">
        <f>-4388-AA75</f>
        <v>-1996</v>
      </c>
      <c r="AC75" s="2">
        <f>-6539-AB75-AA75</f>
        <v>-2151</v>
      </c>
      <c r="AD75" s="2">
        <f>-9447-AC75-AB75-AA75</f>
        <v>-2908</v>
      </c>
      <c r="AE75" s="2">
        <v>-2940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2">
      <c r="B76" s="2" t="s">
        <v>134</v>
      </c>
      <c r="W76" s="2">
        <v>-141</v>
      </c>
      <c r="X76" s="2">
        <f>-247-W76</f>
        <v>-106</v>
      </c>
      <c r="Y76" s="2">
        <f>-753-X76-W76</f>
        <v>-506</v>
      </c>
      <c r="Z76" s="2">
        <f>-1337-Y76-X76-W76</f>
        <v>-584</v>
      </c>
      <c r="AA76" s="2">
        <v>-284</v>
      </c>
      <c r="AB76" s="2">
        <f>-729-AA76</f>
        <v>-445</v>
      </c>
      <c r="AC76" s="2">
        <f>-1117-AB76-AA76</f>
        <v>-388</v>
      </c>
      <c r="AD76" s="2">
        <f>-1308-AC76-AB76-AA76</f>
        <v>-191</v>
      </c>
      <c r="AE76" s="2">
        <v>-603</v>
      </c>
    </row>
    <row r="77" spans="2:64" x14ac:dyDescent="0.2">
      <c r="B77" s="2" t="s">
        <v>138</v>
      </c>
      <c r="W77" s="2">
        <f t="shared" ref="W77:AE77" si="286">SUM(W74:W76)</f>
        <v>-1445</v>
      </c>
      <c r="X77" s="2">
        <f t="shared" si="286"/>
        <v>2319</v>
      </c>
      <c r="Y77" s="2">
        <f t="shared" si="286"/>
        <v>437</v>
      </c>
      <c r="Z77" s="2">
        <f t="shared" si="286"/>
        <v>2394</v>
      </c>
      <c r="AA77" s="2">
        <f t="shared" si="286"/>
        <v>1927</v>
      </c>
      <c r="AB77" s="2">
        <f t="shared" si="286"/>
        <v>-310</v>
      </c>
      <c r="AC77" s="2">
        <f t="shared" si="286"/>
        <v>-127</v>
      </c>
      <c r="AD77" s="2">
        <f t="shared" si="286"/>
        <v>1445</v>
      </c>
      <c r="AE77" s="2">
        <f t="shared" si="286"/>
        <v>9792</v>
      </c>
    </row>
    <row r="79" spans="2:64" x14ac:dyDescent="0.2">
      <c r="B79" s="2" t="s">
        <v>139</v>
      </c>
      <c r="W79" s="2">
        <v>-2316</v>
      </c>
      <c r="X79" s="2">
        <f>-2734-W79</f>
        <v>-418</v>
      </c>
      <c r="Y79" s="2">
        <f>-5119-X79-W79</f>
        <v>-2385</v>
      </c>
      <c r="Z79" s="2">
        <f>-5431-Y79-X79-W79</f>
        <v>-312</v>
      </c>
      <c r="AA79" s="2">
        <v>-2591</v>
      </c>
      <c r="AB79" s="2">
        <f>-2875-AA79</f>
        <v>-284</v>
      </c>
      <c r="AC79" s="2">
        <f>-5163-AB79-AA79</f>
        <v>-2288</v>
      </c>
      <c r="AD79" s="2">
        <f>-5441-AC79-AB79-AA79</f>
        <v>-278</v>
      </c>
      <c r="AE79" s="2">
        <v>-2921</v>
      </c>
    </row>
    <row r="80" spans="2:64" x14ac:dyDescent="0.2">
      <c r="B80" s="2" t="s">
        <v>140</v>
      </c>
      <c r="W80" s="2">
        <v>-3768</v>
      </c>
      <c r="X80" s="2">
        <f>-7418-W80</f>
        <v>-3650</v>
      </c>
      <c r="Y80" s="2">
        <f>-11267-X80-W80</f>
        <v>-3849</v>
      </c>
      <c r="Z80" s="2">
        <f>-15025-Y80-X80-W80</f>
        <v>-3758</v>
      </c>
      <c r="AA80" s="2">
        <v>-3825</v>
      </c>
      <c r="AB80" s="2">
        <f>-7535-AA80</f>
        <v>-3710</v>
      </c>
      <c r="AC80" s="2">
        <f>-11430-AB80-AA80</f>
        <v>-3895</v>
      </c>
      <c r="AD80" s="2">
        <f>-15234-AC80-AB80-AA80</f>
        <v>-3804</v>
      </c>
      <c r="AE80" s="2">
        <v>-3856</v>
      </c>
    </row>
    <row r="81" spans="2:64" x14ac:dyDescent="0.2">
      <c r="B81" s="2" t="s">
        <v>141</v>
      </c>
      <c r="W81" s="2">
        <v>-19475</v>
      </c>
      <c r="X81" s="2">
        <f>-39069-W81</f>
        <v>-19594</v>
      </c>
      <c r="Y81" s="2">
        <f>-56547-X81-W81</f>
        <v>-17478</v>
      </c>
      <c r="Z81" s="2">
        <f>-77550-Y81-X81-W81</f>
        <v>-21003</v>
      </c>
      <c r="AA81" s="2">
        <v>-20139</v>
      </c>
      <c r="AB81" s="2">
        <f>-43344-AA81</f>
        <v>-23205</v>
      </c>
      <c r="AC81" s="2">
        <f>-69866-AB81-AA81</f>
        <v>-26522</v>
      </c>
      <c r="AD81" s="2">
        <f>-94949-AC81-AB81-AA81</f>
        <v>-25083</v>
      </c>
      <c r="AE81" s="2">
        <v>-23606</v>
      </c>
    </row>
    <row r="82" spans="2:64" x14ac:dyDescent="0.2">
      <c r="B82" s="2" t="s">
        <v>4</v>
      </c>
      <c r="W82" s="2">
        <f>-1401-8214</f>
        <v>-9615</v>
      </c>
      <c r="X82" s="2">
        <f>-3651-7960-W82</f>
        <v>-1996</v>
      </c>
      <c r="Y82" s="2">
        <f>5228-11151-5971-X82-W82</f>
        <v>-283</v>
      </c>
      <c r="Z82" s="2">
        <f>5228-11151-3978-Y82-X82-W82</f>
        <v>1993</v>
      </c>
      <c r="AA82" s="2">
        <v>-3984</v>
      </c>
      <c r="AB82" s="2">
        <f>-3150-AA82-3982</f>
        <v>-3148</v>
      </c>
      <c r="AC82" s="2">
        <f>-7400-2985-AB82-AA82</f>
        <v>-3253</v>
      </c>
      <c r="AD82" s="2">
        <f>-9958+3960-AC82-AB82-AA82</f>
        <v>4387</v>
      </c>
      <c r="AE82" s="2">
        <f>-1009-7944</f>
        <v>-8953</v>
      </c>
    </row>
    <row r="83" spans="2:64" x14ac:dyDescent="0.2">
      <c r="B83" s="2" t="s">
        <v>134</v>
      </c>
      <c r="W83" s="2">
        <v>-389</v>
      </c>
      <c r="X83" s="2">
        <f>-455-W83</f>
        <v>-66</v>
      </c>
      <c r="Y83" s="2">
        <f>-508-X83-W83</f>
        <v>-53</v>
      </c>
      <c r="Z83" s="2">
        <f>-581-Y83-X83-W83</f>
        <v>-73</v>
      </c>
      <c r="AA83" s="2">
        <v>-46</v>
      </c>
      <c r="AB83" s="2">
        <f>-132-AA83</f>
        <v>-86</v>
      </c>
      <c r="AC83" s="2">
        <f>-191-AB83-AA83</f>
        <v>-59</v>
      </c>
      <c r="AD83" s="2">
        <f>-361-AC83-AB83-AA83</f>
        <v>-170</v>
      </c>
      <c r="AE83" s="2">
        <v>-35</v>
      </c>
    </row>
    <row r="84" spans="2:64" x14ac:dyDescent="0.2">
      <c r="B84" s="2" t="s">
        <v>142</v>
      </c>
      <c r="W84" s="2">
        <f t="shared" ref="W84:AE84" si="287">SUM(W79:W83)</f>
        <v>-35563</v>
      </c>
      <c r="X84" s="2">
        <f t="shared" si="287"/>
        <v>-25724</v>
      </c>
      <c r="Y84" s="2">
        <f t="shared" si="287"/>
        <v>-24048</v>
      </c>
      <c r="Z84" s="2">
        <f t="shared" si="287"/>
        <v>-23153</v>
      </c>
      <c r="AA84" s="2">
        <f t="shared" si="287"/>
        <v>-30585</v>
      </c>
      <c r="AB84" s="2">
        <f t="shared" si="287"/>
        <v>-30433</v>
      </c>
      <c r="AC84" s="2">
        <f t="shared" si="287"/>
        <v>-36017</v>
      </c>
      <c r="AD84" s="2">
        <f t="shared" si="287"/>
        <v>-24948</v>
      </c>
      <c r="AE84" s="2">
        <f t="shared" si="287"/>
        <v>-39371</v>
      </c>
    </row>
    <row r="85" spans="2:64" x14ac:dyDescent="0.2">
      <c r="AE85" s="2"/>
    </row>
    <row r="86" spans="2:64" x14ac:dyDescent="0.2">
      <c r="B86" s="2" t="s">
        <v>143</v>
      </c>
      <c r="W86" s="2">
        <f>W84+W77+W72</f>
        <v>-3003</v>
      </c>
      <c r="X86" s="2">
        <f t="shared" ref="X86:Z86" si="288">X84+X77+X72</f>
        <v>5155</v>
      </c>
      <c r="Y86" s="2">
        <f t="shared" si="288"/>
        <v>2769</v>
      </c>
      <c r="Z86" s="2">
        <f t="shared" si="288"/>
        <v>839</v>
      </c>
      <c r="AA86" s="2">
        <f>AA84+AA77+AA72</f>
        <v>11237</v>
      </c>
      <c r="AB86" s="2">
        <f>AB84+AB77+AB72</f>
        <v>-8053</v>
      </c>
      <c r="AC86" s="2">
        <f>AC84+AC77+AC72</f>
        <v>-7286</v>
      </c>
      <c r="AD86" s="2">
        <f>AD84+AD77+AD72</f>
        <v>3308</v>
      </c>
      <c r="AE86" s="2">
        <f>AE84+AE77+AE72</f>
        <v>356</v>
      </c>
    </row>
    <row r="88" spans="2:64" x14ac:dyDescent="0.2">
      <c r="B88" s="2" t="s">
        <v>161</v>
      </c>
      <c r="W88" s="2">
        <f t="shared" ref="W88:Z88" si="289">+W72+W75</f>
        <v>30218</v>
      </c>
      <c r="X88" s="2">
        <f t="shared" si="289"/>
        <v>25644</v>
      </c>
      <c r="Y88" s="2">
        <f t="shared" si="289"/>
        <v>24287</v>
      </c>
      <c r="Z88" s="2">
        <f t="shared" si="289"/>
        <v>19435</v>
      </c>
      <c r="AA88" s="2">
        <f>+AA72+AA75</f>
        <v>37503</v>
      </c>
      <c r="AB88" s="2">
        <f>+AB72+AB75</f>
        <v>20694</v>
      </c>
      <c r="AC88" s="2">
        <f>+AC72+AC75</f>
        <v>26707</v>
      </c>
      <c r="AD88" s="2">
        <f>+AD72+AD75</f>
        <v>23903</v>
      </c>
      <c r="AE88" s="2">
        <f>+AE72+AE75</f>
        <v>26995</v>
      </c>
      <c r="BD88" s="2">
        <f t="shared" ref="BD88:BL88" si="290">+BD75+BD72</f>
        <v>53497</v>
      </c>
      <c r="BE88" s="2">
        <f t="shared" si="290"/>
        <v>51774</v>
      </c>
      <c r="BF88" s="2">
        <f t="shared" si="290"/>
        <v>64121</v>
      </c>
      <c r="BG88" s="2">
        <f t="shared" si="290"/>
        <v>58896</v>
      </c>
      <c r="BH88" s="2">
        <f t="shared" si="290"/>
        <v>73365</v>
      </c>
      <c r="BI88" s="2">
        <f t="shared" si="290"/>
        <v>92953</v>
      </c>
      <c r="BJ88" s="2">
        <f t="shared" si="290"/>
        <v>111443</v>
      </c>
      <c r="BK88" s="2">
        <f t="shared" si="290"/>
        <v>99584</v>
      </c>
      <c r="BL88" s="2">
        <f t="shared" si="290"/>
        <v>108807</v>
      </c>
    </row>
    <row r="89" spans="2:64" x14ac:dyDescent="0.2">
      <c r="B89" t="s">
        <v>162</v>
      </c>
      <c r="Z89" s="2">
        <f t="shared" ref="Z89:AC89" si="291">SUM(W88:Z88)</f>
        <v>99584</v>
      </c>
      <c r="AA89" s="2">
        <f t="shared" si="291"/>
        <v>106869</v>
      </c>
      <c r="AB89" s="2">
        <f t="shared" si="291"/>
        <v>101919</v>
      </c>
      <c r="AC89" s="2">
        <f t="shared" si="291"/>
        <v>104339</v>
      </c>
      <c r="AD89" s="2">
        <f>SUM(AA88:AD88)</f>
        <v>108807</v>
      </c>
      <c r="AE89" s="2">
        <f>SUM(AB88:AE88)</f>
        <v>98299</v>
      </c>
      <c r="BL89" s="5"/>
    </row>
    <row r="90" spans="2:64" x14ac:dyDescent="0.2"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ColWidth="8.85546875" defaultRowHeight="12.75" x14ac:dyDescent="0.2"/>
  <sheetData>
    <row r="1" spans="1:3" x14ac:dyDescent="0.2">
      <c r="A1" t="s">
        <v>6</v>
      </c>
    </row>
    <row r="2" spans="1:3" x14ac:dyDescent="0.2">
      <c r="B2" t="s">
        <v>76</v>
      </c>
      <c r="C2" t="s">
        <v>37</v>
      </c>
    </row>
    <row r="3" spans="1:3" x14ac:dyDescent="0.2">
      <c r="B3" t="s">
        <v>77</v>
      </c>
      <c r="C3" t="s">
        <v>78</v>
      </c>
    </row>
    <row r="4" spans="1:3" x14ac:dyDescent="0.2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2025-04-24T02:05:37Z</dcterms:modified>
</cp:coreProperties>
</file>