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9F6F561-D141-41B1-A601-C05EB52716D1}" xr6:coauthVersionLast="47" xr6:coauthVersionMax="47" xr10:uidLastSave="{00000000-0000-0000-0000-000000000000}"/>
  <bookViews>
    <workbookView xWindow="-23565" yWindow="2340" windowWidth="21000" windowHeight="1707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87" i="1" l="1"/>
  <c r="CM101" i="1"/>
  <c r="CM96" i="1"/>
  <c r="CM86" i="1"/>
  <c r="CM94" i="1"/>
  <c r="CM92" i="1"/>
  <c r="CM64" i="1"/>
  <c r="CM59" i="1"/>
  <c r="CP28" i="1"/>
  <c r="CO28" i="1"/>
  <c r="CN28" i="1"/>
  <c r="CL65" i="1"/>
  <c r="CL64" i="1"/>
  <c r="CL59" i="1"/>
  <c r="CL127" i="1"/>
  <c r="CL125" i="1"/>
  <c r="CL123" i="1"/>
  <c r="CL122" i="1"/>
  <c r="CL121" i="1"/>
  <c r="CL120" i="1"/>
  <c r="CL126" i="1" s="1"/>
  <c r="CL128" i="1" s="1"/>
  <c r="CL115" i="1"/>
  <c r="CL117" i="1"/>
  <c r="CL116" i="1"/>
  <c r="CL110" i="1"/>
  <c r="CL108" i="1"/>
  <c r="CL113" i="1"/>
  <c r="CL112" i="1"/>
  <c r="CL111" i="1"/>
  <c r="CL109" i="1"/>
  <c r="CL107" i="1"/>
  <c r="CL106" i="1"/>
  <c r="CL105" i="1"/>
  <c r="CL104" i="1"/>
  <c r="CL100" i="1"/>
  <c r="CL101" i="1"/>
  <c r="CL96" i="1"/>
  <c r="CL87" i="1"/>
  <c r="CL92" i="1"/>
  <c r="CL118" i="1" l="1"/>
  <c r="CL94" i="1" l="1"/>
  <c r="CL86" i="1"/>
  <c r="CK86" i="1"/>
  <c r="CD19" i="1"/>
  <c r="CC19" i="1"/>
  <c r="DD19" i="1"/>
  <c r="CD31" i="1"/>
  <c r="DD31" i="1" s="1"/>
  <c r="DF5" i="1"/>
  <c r="CK64" i="1"/>
  <c r="CL62" i="1"/>
  <c r="CO10" i="1"/>
  <c r="CN10" i="1"/>
  <c r="CP8" i="1"/>
  <c r="DK32" i="1"/>
  <c r="DL32" i="1" s="1"/>
  <c r="DM32" i="1" s="1"/>
  <c r="DN32" i="1" s="1"/>
  <c r="DO32" i="1" s="1"/>
  <c r="DP32" i="1" s="1"/>
  <c r="DQ32" i="1" s="1"/>
  <c r="DJ32" i="1"/>
  <c r="DP33" i="1"/>
  <c r="DQ33" i="1" s="1"/>
  <c r="CN30" i="1" l="1"/>
  <c r="CO30" i="1" s="1"/>
  <c r="CP30" i="1" s="1"/>
  <c r="CO61" i="1" l="1"/>
  <c r="CN61" i="1"/>
  <c r="CO60" i="1"/>
  <c r="CO62" i="1" s="1"/>
  <c r="CN60" i="1"/>
  <c r="CN62" i="1" s="1"/>
  <c r="CO25" i="1"/>
  <c r="CN25" i="1"/>
  <c r="CO24" i="1"/>
  <c r="CN24" i="1"/>
  <c r="CO31" i="1"/>
  <c r="CN31" i="1"/>
  <c r="CO27" i="1"/>
  <c r="CN27" i="1"/>
  <c r="CO22" i="1"/>
  <c r="CN22" i="1"/>
  <c r="CM22" i="1"/>
  <c r="CO21" i="1"/>
  <c r="CN21" i="1"/>
  <c r="CO19" i="1"/>
  <c r="CN19" i="1"/>
  <c r="CO18" i="1"/>
  <c r="CN18" i="1"/>
  <c r="CO17" i="1"/>
  <c r="CN17" i="1"/>
  <c r="CO12" i="1"/>
  <c r="CN12" i="1"/>
  <c r="CO16" i="1"/>
  <c r="CN16" i="1"/>
  <c r="CP16" i="1"/>
  <c r="CO15" i="1"/>
  <c r="CN15" i="1"/>
  <c r="CP15" i="1"/>
  <c r="CO14" i="1"/>
  <c r="CO80" i="1" s="1"/>
  <c r="CN14" i="1"/>
  <c r="CN80" i="1" s="1"/>
  <c r="CM80" i="1"/>
  <c r="CP14" i="1"/>
  <c r="CP80" i="1" s="1"/>
  <c r="BX80" i="1"/>
  <c r="CD80" i="1"/>
  <c r="CC80" i="1"/>
  <c r="CB80" i="1"/>
  <c r="CA80" i="1"/>
  <c r="BZ80" i="1"/>
  <c r="BY80" i="1"/>
  <c r="CL80" i="1"/>
  <c r="CJ80" i="1"/>
  <c r="CI80" i="1"/>
  <c r="CH80" i="1"/>
  <c r="CG80" i="1"/>
  <c r="CF80" i="1"/>
  <c r="CE80" i="1"/>
  <c r="CK80" i="1"/>
  <c r="CO13" i="1"/>
  <c r="CO79" i="1" s="1"/>
  <c r="CN13" i="1"/>
  <c r="CN79" i="1" s="1"/>
  <c r="CM79" i="1"/>
  <c r="CP13" i="1"/>
  <c r="CO8" i="1"/>
  <c r="CO75" i="1" s="1"/>
  <c r="CN8" i="1"/>
  <c r="CN75" i="1" s="1"/>
  <c r="CM75" i="1"/>
  <c r="CP75" i="1"/>
  <c r="CK106" i="1"/>
  <c r="CO78" i="1"/>
  <c r="CN78" i="1"/>
  <c r="CM78" i="1"/>
  <c r="CO9" i="1"/>
  <c r="CO77" i="1" s="1"/>
  <c r="CN9" i="1"/>
  <c r="CN77" i="1" s="1"/>
  <c r="CM77" i="1"/>
  <c r="CO7" i="1"/>
  <c r="CO74" i="1" s="1"/>
  <c r="CN7" i="1"/>
  <c r="CN74" i="1" s="1"/>
  <c r="CM7" i="1"/>
  <c r="CM74" i="1" s="1"/>
  <c r="CO5" i="1"/>
  <c r="CN5" i="1"/>
  <c r="CO73" i="1"/>
  <c r="CN73" i="1"/>
  <c r="CM73" i="1"/>
  <c r="CJ127" i="1"/>
  <c r="CJ125" i="1"/>
  <c r="CK125" i="1" s="1"/>
  <c r="CJ123" i="1"/>
  <c r="CK123" i="1" s="1"/>
  <c r="CJ122" i="1"/>
  <c r="CK122" i="1" s="1"/>
  <c r="CJ121" i="1"/>
  <c r="CK121" i="1" s="1"/>
  <c r="CJ117" i="1"/>
  <c r="CK117" i="1" s="1"/>
  <c r="CJ116" i="1"/>
  <c r="CK116" i="1" s="1"/>
  <c r="CJ111" i="1"/>
  <c r="CK111" i="1" s="1"/>
  <c r="CJ110" i="1"/>
  <c r="CK110" i="1" s="1"/>
  <c r="CJ109" i="1"/>
  <c r="CK109" i="1" s="1"/>
  <c r="CJ107" i="1"/>
  <c r="CK107" i="1" s="1"/>
  <c r="CJ106" i="1"/>
  <c r="CJ105" i="1"/>
  <c r="CK105" i="1" s="1"/>
  <c r="CJ104" i="1"/>
  <c r="CK104" i="1" s="1"/>
  <c r="CI120" i="1"/>
  <c r="CJ120" i="1" s="1"/>
  <c r="CI115" i="1"/>
  <c r="CI118" i="1" s="1"/>
  <c r="CI112" i="1"/>
  <c r="CJ112" i="1" s="1"/>
  <c r="CK112" i="1" s="1"/>
  <c r="CI108" i="1"/>
  <c r="CJ108" i="1" s="1"/>
  <c r="CK108" i="1" s="1"/>
  <c r="CO56" i="1"/>
  <c r="CK57" i="1"/>
  <c r="DG16" i="1" l="1"/>
  <c r="CM62" i="1"/>
  <c r="DG13" i="1"/>
  <c r="DH13" i="1" s="1"/>
  <c r="DI13" i="1" s="1"/>
  <c r="DG15" i="1"/>
  <c r="CM3" i="1"/>
  <c r="DG8" i="1"/>
  <c r="DG14" i="1"/>
  <c r="DG30" i="1"/>
  <c r="CK113" i="1"/>
  <c r="CJ126" i="1"/>
  <c r="CK120" i="1"/>
  <c r="CK126" i="1" s="1"/>
  <c r="CJ113" i="1"/>
  <c r="CJ115" i="1"/>
  <c r="CI126" i="1"/>
  <c r="CK127" i="1"/>
  <c r="CP79" i="1"/>
  <c r="CN3" i="1"/>
  <c r="CO3" i="1"/>
  <c r="CI113" i="1"/>
  <c r="CK96" i="1"/>
  <c r="CK101" i="1" s="1"/>
  <c r="CK92" i="1"/>
  <c r="CK87" i="1"/>
  <c r="H5" i="1"/>
  <c r="H55" i="1" s="1"/>
  <c r="H57" i="1" s="1"/>
  <c r="F55" i="1"/>
  <c r="F57" i="1" s="1"/>
  <c r="E55" i="1"/>
  <c r="E57" i="1" s="1"/>
  <c r="D55" i="1"/>
  <c r="D57" i="1" s="1"/>
  <c r="C55" i="1"/>
  <c r="C57" i="1" s="1"/>
  <c r="J55" i="1"/>
  <c r="J57" i="1" s="1"/>
  <c r="G55" i="1"/>
  <c r="G57" i="1" s="1"/>
  <c r="I55" i="1"/>
  <c r="I57" i="1" s="1"/>
  <c r="M39" i="1"/>
  <c r="M38" i="1"/>
  <c r="M37" i="1"/>
  <c r="M36" i="1"/>
  <c r="M46" i="1"/>
  <c r="M40" i="1"/>
  <c r="M43" i="1"/>
  <c r="M52" i="1"/>
  <c r="M48" i="1"/>
  <c r="M47" i="1"/>
  <c r="M49" i="1"/>
  <c r="M45" i="1"/>
  <c r="M5" i="1"/>
  <c r="N55" i="1"/>
  <c r="N57" i="1" s="1"/>
  <c r="K55" i="1"/>
  <c r="K57" i="1" s="1"/>
  <c r="L55" i="1"/>
  <c r="L57" i="1" s="1"/>
  <c r="Q52" i="1"/>
  <c r="Q49" i="1"/>
  <c r="Q48" i="1"/>
  <c r="Q47" i="1"/>
  <c r="Q46" i="1"/>
  <c r="Q43" i="1"/>
  <c r="Q40" i="1"/>
  <c r="Q39" i="1"/>
  <c r="Q38" i="1"/>
  <c r="Q37" i="1"/>
  <c r="Q36" i="1"/>
  <c r="P5" i="1"/>
  <c r="R55" i="1"/>
  <c r="R57" i="1" s="1"/>
  <c r="P55" i="1"/>
  <c r="P57" i="1" s="1"/>
  <c r="O55" i="1"/>
  <c r="O57" i="1" s="1"/>
  <c r="V55" i="1"/>
  <c r="V57" i="1" s="1"/>
  <c r="U55" i="1"/>
  <c r="U57" i="1" s="1"/>
  <c r="T55" i="1"/>
  <c r="T57" i="1" s="1"/>
  <c r="S55" i="1"/>
  <c r="S57" i="1" s="1"/>
  <c r="W39" i="1"/>
  <c r="W55" i="1" s="1"/>
  <c r="W57" i="1" s="1"/>
  <c r="Z55" i="1"/>
  <c r="Z57" i="1" s="1"/>
  <c r="Y55" i="1"/>
  <c r="Y57" i="1" s="1"/>
  <c r="X55" i="1"/>
  <c r="X57" i="1" s="1"/>
  <c r="AA52" i="1"/>
  <c r="AA50" i="1"/>
  <c r="AA49" i="1"/>
  <c r="AA48" i="1"/>
  <c r="AA40" i="1"/>
  <c r="AA39" i="1"/>
  <c r="AA5" i="1"/>
  <c r="AD55" i="1"/>
  <c r="AD57" i="1" s="1"/>
  <c r="AC55" i="1"/>
  <c r="AC57" i="1" s="1"/>
  <c r="AB55" i="1"/>
  <c r="AB57" i="1" s="1"/>
  <c r="AH55" i="1"/>
  <c r="AH57" i="1" s="1"/>
  <c r="AF55" i="1"/>
  <c r="AF57" i="1" s="1"/>
  <c r="AE55" i="1"/>
  <c r="AE57" i="1" s="1"/>
  <c r="AG55" i="1"/>
  <c r="AG57" i="1" s="1"/>
  <c r="AK52" i="1"/>
  <c r="AK50" i="1"/>
  <c r="AK48" i="1"/>
  <c r="AK40" i="1"/>
  <c r="AK39" i="1"/>
  <c r="AK5" i="1"/>
  <c r="AL55" i="1"/>
  <c r="AL57" i="1" s="1"/>
  <c r="AJ55" i="1"/>
  <c r="AJ57" i="1" s="1"/>
  <c r="AI55" i="1"/>
  <c r="AI57" i="1" s="1"/>
  <c r="AN55" i="1"/>
  <c r="AN57" i="1" s="1"/>
  <c r="AM55" i="1"/>
  <c r="AM57" i="1" s="1"/>
  <c r="AP55" i="1"/>
  <c r="AP57" i="1" s="1"/>
  <c r="BF55" i="1"/>
  <c r="BF57" i="1" s="1"/>
  <c r="BE55" i="1"/>
  <c r="BE57" i="1" s="1"/>
  <c r="BD55" i="1"/>
  <c r="BD57" i="1" s="1"/>
  <c r="BC55" i="1"/>
  <c r="BC57" i="1" s="1"/>
  <c r="BG71" i="1" s="1"/>
  <c r="BB64" i="1"/>
  <c r="BB62" i="1"/>
  <c r="BB55" i="1"/>
  <c r="BB57" i="1" s="1"/>
  <c r="BB59" i="1" s="1"/>
  <c r="BA64" i="1"/>
  <c r="BA62" i="1"/>
  <c r="BA55" i="1"/>
  <c r="BA57" i="1" s="1"/>
  <c r="BA59" i="1" s="1"/>
  <c r="AZ64" i="1"/>
  <c r="AZ62" i="1"/>
  <c r="AZ55" i="1"/>
  <c r="AZ57" i="1" s="1"/>
  <c r="AZ59" i="1" s="1"/>
  <c r="AY64" i="1"/>
  <c r="AY62" i="1"/>
  <c r="AY55" i="1"/>
  <c r="AY57" i="1" s="1"/>
  <c r="AY59" i="1" s="1"/>
  <c r="AX64" i="1"/>
  <c r="AX62" i="1"/>
  <c r="AX55" i="1"/>
  <c r="AX57" i="1" s="1"/>
  <c r="AX59" i="1" s="1"/>
  <c r="AW64" i="1"/>
  <c r="AW62" i="1"/>
  <c r="AW55" i="1"/>
  <c r="AW57" i="1" s="1"/>
  <c r="AW59" i="1" s="1"/>
  <c r="AU64" i="1"/>
  <c r="AU62" i="1"/>
  <c r="AU55" i="1"/>
  <c r="AU57" i="1" s="1"/>
  <c r="AU59" i="1" s="1"/>
  <c r="AT64" i="1"/>
  <c r="AT62" i="1"/>
  <c r="AT55" i="1"/>
  <c r="AT57" i="1" s="1"/>
  <c r="AT59" i="1" s="1"/>
  <c r="AR64" i="1"/>
  <c r="AR62" i="1"/>
  <c r="AQ53" i="1"/>
  <c r="AR55" i="1"/>
  <c r="AR57" i="1" s="1"/>
  <c r="AR59" i="1" s="1"/>
  <c r="BN74" i="1"/>
  <c r="BM74" i="1"/>
  <c r="BL74" i="1"/>
  <c r="BK74" i="1"/>
  <c r="BN73" i="1"/>
  <c r="BM73" i="1"/>
  <c r="BL73" i="1"/>
  <c r="BK73" i="1"/>
  <c r="DH30" i="1" l="1"/>
  <c r="DI30" i="1" s="1"/>
  <c r="DJ30" i="1" s="1"/>
  <c r="DK30" i="1" s="1"/>
  <c r="DL30" i="1" s="1"/>
  <c r="DM30" i="1" s="1"/>
  <c r="DN30" i="1" s="1"/>
  <c r="DO30" i="1" s="1"/>
  <c r="DP30" i="1" s="1"/>
  <c r="DQ30" i="1" s="1"/>
  <c r="CI128" i="1"/>
  <c r="CJ118" i="1"/>
  <c r="CJ128" i="1" s="1"/>
  <c r="CK115" i="1"/>
  <c r="CK118" i="1" s="1"/>
  <c r="CK128" i="1"/>
  <c r="CK94" i="1"/>
  <c r="AW63" i="1"/>
  <c r="AW65" i="1" s="1"/>
  <c r="AW67" i="1" s="1"/>
  <c r="AW68" i="1" s="1"/>
  <c r="M55" i="1"/>
  <c r="M57" i="1" s="1"/>
  <c r="AZ63" i="1"/>
  <c r="AZ65" i="1" s="1"/>
  <c r="AZ67" i="1" s="1"/>
  <c r="AZ68" i="1" s="1"/>
  <c r="AA55" i="1"/>
  <c r="AA57" i="1" s="1"/>
  <c r="AY63" i="1"/>
  <c r="AY65" i="1" s="1"/>
  <c r="AY67" i="1" s="1"/>
  <c r="AY68" i="1" s="1"/>
  <c r="Q55" i="1"/>
  <c r="Q57" i="1" s="1"/>
  <c r="BA63" i="1"/>
  <c r="BA65" i="1" s="1"/>
  <c r="BA67" i="1" s="1"/>
  <c r="BA68" i="1" s="1"/>
  <c r="AX63" i="1"/>
  <c r="AX65" i="1" s="1"/>
  <c r="AX67" i="1" s="1"/>
  <c r="AX68" i="1" s="1"/>
  <c r="AR63" i="1"/>
  <c r="AR65" i="1" s="1"/>
  <c r="AR67" i="1" s="1"/>
  <c r="AR68" i="1" s="1"/>
  <c r="AT63" i="1"/>
  <c r="AT65" i="1" s="1"/>
  <c r="AT67" i="1" s="1"/>
  <c r="AT68" i="1" s="1"/>
  <c r="AU63" i="1"/>
  <c r="AU65" i="1" s="1"/>
  <c r="AU67" i="1" s="1"/>
  <c r="AU68" i="1" s="1"/>
  <c r="AK55" i="1"/>
  <c r="AK57" i="1" s="1"/>
  <c r="BB63" i="1"/>
  <c r="BB65" i="1" s="1"/>
  <c r="BB67" i="1" s="1"/>
  <c r="BB68" i="1" s="1"/>
  <c r="BC62" i="1"/>
  <c r="BC59" i="1"/>
  <c r="BG56" i="1"/>
  <c r="BD64" i="1"/>
  <c r="BH71" i="1"/>
  <c r="BH56" i="1"/>
  <c r="BD3" i="1"/>
  <c r="BE3" i="1"/>
  <c r="BF3" i="1"/>
  <c r="BD62" i="1"/>
  <c r="BD59" i="1"/>
  <c r="BI71" i="1"/>
  <c r="BE64" i="1"/>
  <c r="BE62" i="1"/>
  <c r="BE59" i="1"/>
  <c r="BI64" i="1"/>
  <c r="BI56" i="1"/>
  <c r="BF64" i="1"/>
  <c r="BF62" i="1"/>
  <c r="BF59" i="1"/>
  <c r="BJ64" i="1"/>
  <c r="BJ3" i="1"/>
  <c r="BI3" i="1"/>
  <c r="BH3" i="1"/>
  <c r="BG3" i="1"/>
  <c r="BJ56" i="1"/>
  <c r="BJ57" i="1" s="1"/>
  <c r="BJ59" i="1" s="1"/>
  <c r="CJ96" i="1"/>
  <c r="CJ101" i="1" s="1"/>
  <c r="CJ92" i="1"/>
  <c r="CJ87" i="1"/>
  <c r="CJ86" i="1" s="1"/>
  <c r="CJ64" i="1"/>
  <c r="CN64" i="1" s="1"/>
  <c r="CO64" i="1" s="1"/>
  <c r="CP64" i="1" s="1"/>
  <c r="CJ56" i="1"/>
  <c r="CN56" i="1" s="1"/>
  <c r="DE31" i="1"/>
  <c r="DE30" i="1"/>
  <c r="DE5" i="1"/>
  <c r="DE7" i="1"/>
  <c r="DE8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58" i="1"/>
  <c r="DE60" i="1"/>
  <c r="DE61" i="1"/>
  <c r="DE69" i="1"/>
  <c r="CI64" i="1"/>
  <c r="CJ62" i="1"/>
  <c r="CJ69" i="1"/>
  <c r="CJ79" i="1"/>
  <c r="CJ78" i="1"/>
  <c r="CJ77" i="1"/>
  <c r="CJ75" i="1"/>
  <c r="CJ74" i="1"/>
  <c r="CJ73" i="1"/>
  <c r="CK73" i="1"/>
  <c r="CP31" i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CP27" i="1"/>
  <c r="DG27" i="1" s="1"/>
  <c r="DF27" i="1"/>
  <c r="CP25" i="1"/>
  <c r="DG25" i="1" s="1"/>
  <c r="CP24" i="1"/>
  <c r="DG24" i="1" s="1"/>
  <c r="CP22" i="1"/>
  <c r="DG22" i="1" s="1"/>
  <c r="CP21" i="1"/>
  <c r="DG21" i="1" s="1"/>
  <c r="CP19" i="1"/>
  <c r="DG19" i="1" s="1"/>
  <c r="CP17" i="1"/>
  <c r="DG17" i="1" s="1"/>
  <c r="DF15" i="1"/>
  <c r="CK79" i="1"/>
  <c r="CP12" i="1"/>
  <c r="DG12" i="1" s="1"/>
  <c r="CK77" i="1"/>
  <c r="CL75" i="1"/>
  <c r="CK74" i="1"/>
  <c r="CH96" i="1"/>
  <c r="CH101" i="1" s="1"/>
  <c r="CH92" i="1"/>
  <c r="CH87" i="1"/>
  <c r="CH56" i="1"/>
  <c r="CP56" i="1" s="1"/>
  <c r="CH10" i="1"/>
  <c r="CP10" i="1" s="1"/>
  <c r="CH9" i="1"/>
  <c r="DE9" i="1" s="1"/>
  <c r="CH66" i="1"/>
  <c r="CH64" i="1"/>
  <c r="CG64" i="1"/>
  <c r="CG96" i="1"/>
  <c r="CG101" i="1" s="1"/>
  <c r="CG92" i="1"/>
  <c r="CG87" i="1"/>
  <c r="CF127" i="1"/>
  <c r="CG127" i="1" s="1"/>
  <c r="CH127" i="1" s="1"/>
  <c r="CF125" i="1"/>
  <c r="CG125" i="1" s="1"/>
  <c r="CH125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7" i="1"/>
  <c r="CF111" i="1"/>
  <c r="CG111" i="1" s="1"/>
  <c r="CH111" i="1" s="1"/>
  <c r="CF109" i="1"/>
  <c r="CG109" i="1" s="1"/>
  <c r="CH109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F96" i="1"/>
  <c r="CF101" i="1" s="1"/>
  <c r="CF87" i="1"/>
  <c r="CF92" i="1"/>
  <c r="CF66" i="1"/>
  <c r="CF64" i="1"/>
  <c r="CE126" i="1"/>
  <c r="CE115" i="1"/>
  <c r="CE118" i="1" s="1"/>
  <c r="CE110" i="1"/>
  <c r="CF110" i="1" s="1"/>
  <c r="CG110" i="1" s="1"/>
  <c r="CH110" i="1" s="1"/>
  <c r="CE112" i="1"/>
  <c r="CF112" i="1" s="1"/>
  <c r="CG112" i="1" s="1"/>
  <c r="CH112" i="1" s="1"/>
  <c r="CE96" i="1"/>
  <c r="CE101" i="1" s="1"/>
  <c r="CE92" i="1"/>
  <c r="CE87" i="1"/>
  <c r="CI62" i="1"/>
  <c r="CI79" i="1"/>
  <c r="CI78" i="1"/>
  <c r="CI77" i="1"/>
  <c r="CI75" i="1"/>
  <c r="CI74" i="1"/>
  <c r="CI73" i="1"/>
  <c r="CI57" i="1"/>
  <c r="CI3" i="1"/>
  <c r="CM76" i="1" s="1"/>
  <c r="CI96" i="1"/>
  <c r="CI101" i="1" s="1"/>
  <c r="CI87" i="1"/>
  <c r="CI86" i="1" s="1"/>
  <c r="CI92" i="1"/>
  <c r="CE3" i="1"/>
  <c r="CE66" i="1"/>
  <c r="CD86" i="1"/>
  <c r="CZ69" i="1"/>
  <c r="CZ66" i="1"/>
  <c r="CZ61" i="1"/>
  <c r="CZ60" i="1"/>
  <c r="CZ62" i="1" s="1"/>
  <c r="CZ58" i="1"/>
  <c r="CZ55" i="1"/>
  <c r="CZ54" i="1"/>
  <c r="CZ53" i="1"/>
  <c r="CZ52" i="1"/>
  <c r="CZ51" i="1"/>
  <c r="CZ50" i="1"/>
  <c r="CZ48" i="1"/>
  <c r="CZ44" i="1"/>
  <c r="CZ42" i="1"/>
  <c r="CZ41" i="1"/>
  <c r="CZ40" i="1"/>
  <c r="CZ39" i="1"/>
  <c r="CZ35" i="1"/>
  <c r="CZ34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0" i="1"/>
  <c r="CZ9" i="1"/>
  <c r="CZ8" i="1"/>
  <c r="CZ7" i="1"/>
  <c r="CZ6" i="1"/>
  <c r="CZ5" i="1"/>
  <c r="BO74" i="1"/>
  <c r="BO73" i="1"/>
  <c r="BG64" i="1"/>
  <c r="BG62" i="1"/>
  <c r="BG59" i="1"/>
  <c r="BK56" i="1"/>
  <c r="BK3" i="1"/>
  <c r="BK71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4" i="1"/>
  <c r="BQ74" i="1"/>
  <c r="BR74" i="1"/>
  <c r="BP73" i="1"/>
  <c r="BQ73" i="1"/>
  <c r="BR73" i="1"/>
  <c r="BH62" i="1"/>
  <c r="BH59" i="1"/>
  <c r="BL57" i="1"/>
  <c r="BL71" i="1" s="1"/>
  <c r="BI62" i="1"/>
  <c r="BI59" i="1"/>
  <c r="BM57" i="1"/>
  <c r="BM71" i="1" s="1"/>
  <c r="BK64" i="1"/>
  <c r="BN64" i="1"/>
  <c r="BJ62" i="1"/>
  <c r="BN56" i="1"/>
  <c r="DA69" i="1"/>
  <c r="DB69" i="1"/>
  <c r="DB66" i="1"/>
  <c r="DA66" i="1"/>
  <c r="DB61" i="1"/>
  <c r="DA61" i="1"/>
  <c r="DB60" i="1"/>
  <c r="DA60" i="1"/>
  <c r="DB58" i="1"/>
  <c r="DA58" i="1"/>
  <c r="DA55" i="1"/>
  <c r="DA54" i="1"/>
  <c r="DA53" i="1"/>
  <c r="DA52" i="1"/>
  <c r="DA51" i="1"/>
  <c r="DA50" i="1"/>
  <c r="DA48" i="1"/>
  <c r="DA44" i="1"/>
  <c r="DA42" i="1"/>
  <c r="DA41" i="1"/>
  <c r="DA40" i="1"/>
  <c r="DA39" i="1"/>
  <c r="DA35" i="1"/>
  <c r="DA34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0" i="1"/>
  <c r="DA9" i="1"/>
  <c r="DA8" i="1"/>
  <c r="DA7" i="1"/>
  <c r="DA6" i="1"/>
  <c r="DA5" i="1"/>
  <c r="BO64" i="1"/>
  <c r="BS74" i="1"/>
  <c r="BS73" i="1"/>
  <c r="BK62" i="1"/>
  <c r="BK59" i="1"/>
  <c r="BK83" i="1" s="1"/>
  <c r="BO56" i="1"/>
  <c r="BL64" i="1"/>
  <c r="BT75" i="1"/>
  <c r="BT74" i="1"/>
  <c r="BT73" i="1"/>
  <c r="BL62" i="1"/>
  <c r="BP57" i="1"/>
  <c r="CD73" i="1"/>
  <c r="CA120" i="1"/>
  <c r="CA126" i="1" s="1"/>
  <c r="CA115" i="1"/>
  <c r="CA118" i="1" s="1"/>
  <c r="CA112" i="1"/>
  <c r="CA113" i="1" s="1"/>
  <c r="CC79" i="1"/>
  <c r="CC78" i="1"/>
  <c r="CC77" i="1"/>
  <c r="CC75" i="1"/>
  <c r="CC74" i="1"/>
  <c r="CC73" i="1"/>
  <c r="CC96" i="1"/>
  <c r="CC101" i="1" s="1"/>
  <c r="CC92" i="1"/>
  <c r="CC87" i="1"/>
  <c r="DF60" i="1" l="1"/>
  <c r="CP60" i="1"/>
  <c r="DF18" i="1"/>
  <c r="CP18" i="1"/>
  <c r="DG18" i="1" s="1"/>
  <c r="DF61" i="1"/>
  <c r="CP61" i="1"/>
  <c r="DF28" i="1"/>
  <c r="DF23" i="1"/>
  <c r="DB62" i="1"/>
  <c r="DF26" i="1"/>
  <c r="CL73" i="1"/>
  <c r="CP5" i="1"/>
  <c r="DG5" i="1" s="1"/>
  <c r="CL78" i="1"/>
  <c r="CL74" i="1"/>
  <c r="CP7" i="1"/>
  <c r="CI59" i="1"/>
  <c r="CI83" i="1" s="1"/>
  <c r="CH94" i="1"/>
  <c r="CH86" i="1"/>
  <c r="CL79" i="1"/>
  <c r="DF13" i="1"/>
  <c r="DF79" i="1" s="1"/>
  <c r="DF64" i="1"/>
  <c r="CG86" i="1"/>
  <c r="DF17" i="1"/>
  <c r="DF25" i="1"/>
  <c r="DF24" i="1"/>
  <c r="DE62" i="1"/>
  <c r="DE56" i="1"/>
  <c r="DF19" i="1"/>
  <c r="DE64" i="1"/>
  <c r="DF21" i="1"/>
  <c r="CF94" i="1"/>
  <c r="DF31" i="1"/>
  <c r="CF86" i="1"/>
  <c r="DF16" i="1"/>
  <c r="BS76" i="1"/>
  <c r="CF115" i="1"/>
  <c r="CG115" i="1" s="1"/>
  <c r="CH115" i="1" s="1"/>
  <c r="DF22" i="1"/>
  <c r="CK62" i="1"/>
  <c r="DF14" i="1"/>
  <c r="CI76" i="1"/>
  <c r="DF12" i="1"/>
  <c r="BO76" i="1"/>
  <c r="DF8" i="1"/>
  <c r="CG94" i="1"/>
  <c r="CE113" i="1"/>
  <c r="CE128" i="1" s="1"/>
  <c r="DE66" i="1"/>
  <c r="DF10" i="1"/>
  <c r="DE10" i="1"/>
  <c r="CG117" i="1"/>
  <c r="CH117" i="1" s="1"/>
  <c r="BP71" i="1"/>
  <c r="BJ71" i="1"/>
  <c r="CH104" i="1"/>
  <c r="CH113" i="1" s="1"/>
  <c r="CG113" i="1"/>
  <c r="CK75" i="1"/>
  <c r="DF56" i="1"/>
  <c r="CF126" i="1"/>
  <c r="CK78" i="1"/>
  <c r="DF7" i="1"/>
  <c r="CL3" i="1"/>
  <c r="CJ94" i="1"/>
  <c r="CE94" i="1"/>
  <c r="CJ57" i="1"/>
  <c r="CJ59" i="1" s="1"/>
  <c r="CF113" i="1"/>
  <c r="CK3" i="1"/>
  <c r="CO76" i="1" s="1"/>
  <c r="BC63" i="1"/>
  <c r="BC65" i="1" s="1"/>
  <c r="BC67" i="1" s="1"/>
  <c r="BC68" i="1" s="1"/>
  <c r="BH63" i="1"/>
  <c r="BH65" i="1" s="1"/>
  <c r="BH67" i="1" s="1"/>
  <c r="BH68" i="1" s="1"/>
  <c r="BD63" i="1"/>
  <c r="BD65" i="1" s="1"/>
  <c r="BD67" i="1" s="1"/>
  <c r="BD68" i="1" s="1"/>
  <c r="BE63" i="1"/>
  <c r="BE65" i="1" s="1"/>
  <c r="BE67" i="1" s="1"/>
  <c r="BE68" i="1" s="1"/>
  <c r="BF63" i="1"/>
  <c r="BF65" i="1" s="1"/>
  <c r="BF67" i="1" s="1"/>
  <c r="BF68" i="1" s="1"/>
  <c r="DF30" i="1"/>
  <c r="CK59" i="1"/>
  <c r="CJ3" i="1"/>
  <c r="CN76" i="1" s="1"/>
  <c r="CH126" i="1"/>
  <c r="CG126" i="1"/>
  <c r="CE86" i="1"/>
  <c r="CC94" i="1"/>
  <c r="CI94" i="1"/>
  <c r="BJ63" i="1"/>
  <c r="BJ65" i="1" s="1"/>
  <c r="CD76" i="1"/>
  <c r="CA76" i="1"/>
  <c r="CZ56" i="1"/>
  <c r="CZ57" i="1" s="1"/>
  <c r="CZ59" i="1" s="1"/>
  <c r="CZ83" i="1" s="1"/>
  <c r="DA3" i="1"/>
  <c r="BV76" i="1"/>
  <c r="BU76" i="1"/>
  <c r="DA62" i="1"/>
  <c r="CB76" i="1"/>
  <c r="BY76" i="1"/>
  <c r="CC76" i="1"/>
  <c r="BX76" i="1"/>
  <c r="BT76" i="1"/>
  <c r="CE76" i="1"/>
  <c r="DA74" i="1"/>
  <c r="BZ76" i="1"/>
  <c r="BW76" i="1"/>
  <c r="BN57" i="1"/>
  <c r="BN71" i="1" s="1"/>
  <c r="BI63" i="1"/>
  <c r="BI65" i="1" s="1"/>
  <c r="BI67" i="1" s="1"/>
  <c r="BI68" i="1" s="1"/>
  <c r="DA73" i="1"/>
  <c r="BQ76" i="1"/>
  <c r="BR76" i="1"/>
  <c r="CZ3" i="1"/>
  <c r="BG63" i="1"/>
  <c r="BG65" i="1" s="1"/>
  <c r="BG67" i="1" s="1"/>
  <c r="BG68" i="1" s="1"/>
  <c r="BP76" i="1"/>
  <c r="BI83" i="1"/>
  <c r="BJ83" i="1"/>
  <c r="CA128" i="1"/>
  <c r="CC86" i="1"/>
  <c r="BO57" i="1"/>
  <c r="BO71" i="1" s="1"/>
  <c r="BL59" i="1"/>
  <c r="BL83" i="1" s="1"/>
  <c r="BK63" i="1"/>
  <c r="BK65" i="1" s="1"/>
  <c r="CE62" i="1"/>
  <c r="CF62" i="1"/>
  <c r="CG62" i="1"/>
  <c r="CH79" i="1"/>
  <c r="CG79" i="1"/>
  <c r="CF79" i="1"/>
  <c r="CH78" i="1"/>
  <c r="CG78" i="1"/>
  <c r="CF78" i="1"/>
  <c r="CH77" i="1"/>
  <c r="CG77" i="1"/>
  <c r="CF77" i="1"/>
  <c r="CH75" i="1"/>
  <c r="CG75" i="1"/>
  <c r="CF75" i="1"/>
  <c r="CH74" i="1"/>
  <c r="CG74" i="1"/>
  <c r="CF74" i="1"/>
  <c r="CE74" i="1"/>
  <c r="CC64" i="1"/>
  <c r="CE79" i="1"/>
  <c r="CE78" i="1"/>
  <c r="CE77" i="1"/>
  <c r="CE75" i="1"/>
  <c r="CC57" i="1"/>
  <c r="CC59" i="1" s="1"/>
  <c r="CC83" i="1" s="1"/>
  <c r="CB64" i="1"/>
  <c r="BU79" i="1"/>
  <c r="BV79" i="1"/>
  <c r="BW79" i="1"/>
  <c r="BX79" i="1"/>
  <c r="BY79" i="1"/>
  <c r="BZ79" i="1"/>
  <c r="CA79" i="1"/>
  <c r="CB79" i="1"/>
  <c r="DB9" i="1"/>
  <c r="DB55" i="1"/>
  <c r="DB54" i="1"/>
  <c r="DB53" i="1"/>
  <c r="DB52" i="1"/>
  <c r="DB51" i="1"/>
  <c r="DB50" i="1"/>
  <c r="DB48" i="1"/>
  <c r="DB44" i="1"/>
  <c r="DB42" i="1"/>
  <c r="DB41" i="1"/>
  <c r="DB40" i="1"/>
  <c r="DB39" i="1"/>
  <c r="DB35" i="1"/>
  <c r="DB34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0" i="1"/>
  <c r="DB8" i="1"/>
  <c r="DB75" i="1" s="1"/>
  <c r="DB7" i="1"/>
  <c r="DB74" i="1" s="1"/>
  <c r="DB5" i="1"/>
  <c r="DB73" i="1" s="1"/>
  <c r="BM64" i="1"/>
  <c r="CZ64" i="1" s="1"/>
  <c r="BQ64" i="1"/>
  <c r="BU75" i="1"/>
  <c r="BU74" i="1"/>
  <c r="BU73" i="1"/>
  <c r="BM62" i="1"/>
  <c r="BM59" i="1"/>
  <c r="BM83" i="1" s="1"/>
  <c r="BQ56" i="1"/>
  <c r="BQ57" i="1" s="1"/>
  <c r="BQ62" i="1"/>
  <c r="BR64" i="1"/>
  <c r="BN62" i="1"/>
  <c r="BV75" i="1"/>
  <c r="BV74" i="1"/>
  <c r="BV73" i="1"/>
  <c r="BR62" i="1"/>
  <c r="BR56" i="1"/>
  <c r="BR57" i="1" s="1"/>
  <c r="BR59" i="1" s="1"/>
  <c r="BR83" i="1" s="1"/>
  <c r="BO62" i="1"/>
  <c r="BS64" i="1"/>
  <c r="BW75" i="1"/>
  <c r="BW74" i="1"/>
  <c r="BW73" i="1"/>
  <c r="BS62" i="1"/>
  <c r="BS56" i="1"/>
  <c r="BP64" i="1"/>
  <c r="BP62" i="1"/>
  <c r="BP59" i="1"/>
  <c r="BP83" i="1" s="1"/>
  <c r="BT64" i="1"/>
  <c r="BX78" i="1"/>
  <c r="BX77" i="1"/>
  <c r="BX75" i="1"/>
  <c r="BX74" i="1"/>
  <c r="BX73" i="1"/>
  <c r="BT62" i="1"/>
  <c r="BT56" i="1"/>
  <c r="BT57" i="1" s="1"/>
  <c r="BT59" i="1" s="1"/>
  <c r="BT83" i="1" s="1"/>
  <c r="CB96" i="1"/>
  <c r="CB101" i="1" s="1"/>
  <c r="CB92" i="1"/>
  <c r="CB87" i="1"/>
  <c r="DC69" i="1"/>
  <c r="DC64" i="1"/>
  <c r="DC61" i="1"/>
  <c r="DC60" i="1"/>
  <c r="DC5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0" i="1"/>
  <c r="DC9" i="1"/>
  <c r="DC8" i="1"/>
  <c r="DC7" i="1"/>
  <c r="DC5" i="1"/>
  <c r="DD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D23" i="1"/>
  <c r="DD21" i="1"/>
  <c r="DD20" i="1"/>
  <c r="DD18" i="1"/>
  <c r="DD14" i="1"/>
  <c r="CD79" i="1"/>
  <c r="CD61" i="1"/>
  <c r="DD61" i="1" s="1"/>
  <c r="CD60" i="1"/>
  <c r="CH62" i="1" s="1"/>
  <c r="CD69" i="1"/>
  <c r="CA78" i="1"/>
  <c r="BZ78" i="1"/>
  <c r="BY78" i="1"/>
  <c r="CA77" i="1"/>
  <c r="BZ77" i="1"/>
  <c r="BY77" i="1"/>
  <c r="CB78" i="1"/>
  <c r="CB77" i="1"/>
  <c r="CD78" i="1"/>
  <c r="CD77" i="1"/>
  <c r="CD75" i="1"/>
  <c r="CD74" i="1"/>
  <c r="CB75" i="1"/>
  <c r="CB74" i="1"/>
  <c r="CB73" i="1"/>
  <c r="CB62" i="1"/>
  <c r="CB56" i="1"/>
  <c r="CB57" i="1" s="1"/>
  <c r="CB59" i="1" s="1"/>
  <c r="CB83" i="1" s="1"/>
  <c r="BY75" i="1"/>
  <c r="BY74" i="1"/>
  <c r="BY73" i="1"/>
  <c r="BU62" i="1"/>
  <c r="BU56" i="1"/>
  <c r="BU57" i="1" s="1"/>
  <c r="BZ75" i="1"/>
  <c r="BZ74" i="1"/>
  <c r="CA74" i="1"/>
  <c r="CA75" i="1"/>
  <c r="BZ73" i="1"/>
  <c r="BV62" i="1"/>
  <c r="BV56" i="1"/>
  <c r="BV57" i="1" s="1"/>
  <c r="BV59" i="1" s="1"/>
  <c r="BW56" i="1"/>
  <c r="CA73" i="1"/>
  <c r="BX66" i="1"/>
  <c r="BX62" i="1"/>
  <c r="BX56" i="1"/>
  <c r="BX57" i="1" s="1"/>
  <c r="CP62" i="1" l="1"/>
  <c r="CI63" i="1"/>
  <c r="CI65" i="1" s="1"/>
  <c r="CI67" i="1" s="1"/>
  <c r="CI103" i="1" s="1"/>
  <c r="DF20" i="1"/>
  <c r="CM20" i="1"/>
  <c r="CN26" i="1"/>
  <c r="CO26" i="1" s="1"/>
  <c r="CP26" i="1" s="1"/>
  <c r="DG28" i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CP74" i="1"/>
  <c r="DG7" i="1"/>
  <c r="CN23" i="1"/>
  <c r="CO23" i="1" s="1"/>
  <c r="CP23" i="1" s="1"/>
  <c r="DG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CP78" i="1"/>
  <c r="DG10" i="1"/>
  <c r="CL77" i="1"/>
  <c r="CP9" i="1"/>
  <c r="CP73" i="1"/>
  <c r="CP3" i="1"/>
  <c r="CP76" i="1" s="1"/>
  <c r="CH118" i="1"/>
  <c r="CH128" i="1" s="1"/>
  <c r="DF69" i="1"/>
  <c r="DH19" i="1"/>
  <c r="DI19" i="1" s="1"/>
  <c r="DJ19" i="1" s="1"/>
  <c r="DK19" i="1" s="1"/>
  <c r="DL19" i="1" s="1"/>
  <c r="DM19" i="1" s="1"/>
  <c r="DN19" i="1" s="1"/>
  <c r="DO19" i="1" s="1"/>
  <c r="DP19" i="1" s="1"/>
  <c r="DQ19" i="1" s="1"/>
  <c r="DC78" i="1"/>
  <c r="DC79" i="1"/>
  <c r="DF78" i="1"/>
  <c r="DC77" i="1"/>
  <c r="DH21" i="1"/>
  <c r="DI21" i="1" s="1"/>
  <c r="DJ21" i="1" s="1"/>
  <c r="DK21" i="1" s="1"/>
  <c r="DL21" i="1" s="1"/>
  <c r="DM21" i="1" s="1"/>
  <c r="DN21" i="1" s="1"/>
  <c r="DO21" i="1" s="1"/>
  <c r="DP21" i="1" s="1"/>
  <c r="DQ21" i="1" s="1"/>
  <c r="DH14" i="1"/>
  <c r="DI14" i="1" s="1"/>
  <c r="DJ14" i="1" s="1"/>
  <c r="DK14" i="1" s="1"/>
  <c r="DL14" i="1" s="1"/>
  <c r="DM14" i="1" s="1"/>
  <c r="DN14" i="1" s="1"/>
  <c r="DO14" i="1" s="1"/>
  <c r="DP14" i="1" s="1"/>
  <c r="DQ14" i="1" s="1"/>
  <c r="CI84" i="1"/>
  <c r="CG118" i="1"/>
  <c r="CG128" i="1" s="1"/>
  <c r="CF118" i="1"/>
  <c r="CF128" i="1" s="1"/>
  <c r="CL57" i="1"/>
  <c r="DF9" i="1"/>
  <c r="DF77" i="1" s="1"/>
  <c r="BJ84" i="1"/>
  <c r="BJ67" i="1"/>
  <c r="BJ68" i="1" s="1"/>
  <c r="CI68" i="1"/>
  <c r="DC74" i="1"/>
  <c r="DC75" i="1"/>
  <c r="BI84" i="1"/>
  <c r="DA76" i="1"/>
  <c r="DC73" i="1"/>
  <c r="DA64" i="1"/>
  <c r="CF3" i="1"/>
  <c r="CF76" i="1" s="1"/>
  <c r="CG3" i="1"/>
  <c r="CG76" i="1" s="1"/>
  <c r="CD64" i="1"/>
  <c r="CH73" i="1"/>
  <c r="CH3" i="1"/>
  <c r="CH76" i="1" s="1"/>
  <c r="CF73" i="1"/>
  <c r="BO59" i="1"/>
  <c r="BO83" i="1" s="1"/>
  <c r="CZ63" i="1"/>
  <c r="CZ65" i="1" s="1"/>
  <c r="CG73" i="1"/>
  <c r="BN59" i="1"/>
  <c r="BN83" i="1" s="1"/>
  <c r="BL63" i="1"/>
  <c r="BL65" i="1" s="1"/>
  <c r="BL84" i="1" s="1"/>
  <c r="BS57" i="1"/>
  <c r="BS59" i="1" s="1"/>
  <c r="BS83" i="1" s="1"/>
  <c r="DB56" i="1"/>
  <c r="DB57" i="1" s="1"/>
  <c r="CF57" i="1"/>
  <c r="CJ71" i="1" s="1"/>
  <c r="DC3" i="1"/>
  <c r="DB3" i="1"/>
  <c r="DB76" i="1" s="1"/>
  <c r="DA56" i="1"/>
  <c r="DA57" i="1" s="1"/>
  <c r="DB64" i="1"/>
  <c r="BK67" i="1"/>
  <c r="BK68" i="1" s="1"/>
  <c r="BK84" i="1"/>
  <c r="CG57" i="1"/>
  <c r="CH57" i="1"/>
  <c r="CH59" i="1" s="1"/>
  <c r="CE73" i="1"/>
  <c r="BP63" i="1"/>
  <c r="BP65" i="1" s="1"/>
  <c r="BV71" i="1"/>
  <c r="BT71" i="1"/>
  <c r="BR71" i="1"/>
  <c r="BQ59" i="1"/>
  <c r="BQ83" i="1" s="1"/>
  <c r="BQ71" i="1"/>
  <c r="BU71" i="1"/>
  <c r="DD60" i="1"/>
  <c r="DD62" i="1" s="1"/>
  <c r="DD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BM63" i="1"/>
  <c r="BM65" i="1" s="1"/>
  <c r="BR63" i="1"/>
  <c r="BR65" i="1" s="1"/>
  <c r="BX59" i="1"/>
  <c r="BX83" i="1" s="1"/>
  <c r="BX71" i="1"/>
  <c r="CB86" i="1"/>
  <c r="DD12" i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BT63" i="1"/>
  <c r="BT65" i="1" s="1"/>
  <c r="DD13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C62" i="1"/>
  <c r="CD62" i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17" i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D69" i="1"/>
  <c r="DD7" i="1"/>
  <c r="CC62" i="1"/>
  <c r="BV63" i="1"/>
  <c r="BV65" i="1" s="1"/>
  <c r="BV83" i="1"/>
  <c r="DD8" i="1"/>
  <c r="DD10" i="1"/>
  <c r="DD78" i="1" s="1"/>
  <c r="DD9" i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D26" i="1"/>
  <c r="CB94" i="1"/>
  <c r="DD5" i="1"/>
  <c r="DD73" i="1" s="1"/>
  <c r="CB71" i="1"/>
  <c r="CB63" i="1"/>
  <c r="CB65" i="1" s="1"/>
  <c r="BU59" i="1"/>
  <c r="BY66" i="1"/>
  <c r="BY62" i="1"/>
  <c r="BY56" i="1"/>
  <c r="BZ66" i="1"/>
  <c r="BZ62" i="1"/>
  <c r="BW62" i="1"/>
  <c r="BZ56" i="1"/>
  <c r="BZ57" i="1" s="1"/>
  <c r="CA96" i="1"/>
  <c r="CA101" i="1" s="1"/>
  <c r="CA92" i="1"/>
  <c r="CA87" i="1"/>
  <c r="BW57" i="1"/>
  <c r="CA64" i="1"/>
  <c r="CA62" i="1"/>
  <c r="CA56" i="1"/>
  <c r="AV60" i="1"/>
  <c r="AV58" i="1"/>
  <c r="AV61" i="1"/>
  <c r="AV64" i="1"/>
  <c r="AV55" i="1"/>
  <c r="AV56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G26" i="1" l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BN63" i="1"/>
  <c r="BN65" i="1" s="1"/>
  <c r="CP77" i="1"/>
  <c r="DG9" i="1"/>
  <c r="CN20" i="1"/>
  <c r="CM57" i="1"/>
  <c r="DG69" i="1"/>
  <c r="DH69" i="1" s="1"/>
  <c r="DI69" i="1" s="1"/>
  <c r="CN69" i="1"/>
  <c r="DE78" i="1"/>
  <c r="DD79" i="1"/>
  <c r="DE79" i="1"/>
  <c r="DD77" i="1"/>
  <c r="DE77" i="1"/>
  <c r="DD64" i="1"/>
  <c r="DG64" i="1" s="1"/>
  <c r="DH64" i="1" s="1"/>
  <c r="DI64" i="1" s="1"/>
  <c r="DJ64" i="1" s="1"/>
  <c r="DK64" i="1" s="1"/>
  <c r="DL64" i="1" s="1"/>
  <c r="BX63" i="1"/>
  <c r="BX65" i="1" s="1"/>
  <c r="BX67" i="1" s="1"/>
  <c r="BX68" i="1" s="1"/>
  <c r="BO63" i="1"/>
  <c r="BO65" i="1" s="1"/>
  <c r="BO67" i="1" s="1"/>
  <c r="BO68" i="1" s="1"/>
  <c r="CG71" i="1"/>
  <c r="CG59" i="1"/>
  <c r="CG63" i="1" s="1"/>
  <c r="CG65" i="1" s="1"/>
  <c r="CL71" i="1"/>
  <c r="CK71" i="1"/>
  <c r="CL76" i="1"/>
  <c r="CJ76" i="1"/>
  <c r="CK76" i="1"/>
  <c r="CK83" i="1"/>
  <c r="CK63" i="1"/>
  <c r="CK65" i="1" s="1"/>
  <c r="CJ83" i="1"/>
  <c r="CJ63" i="1"/>
  <c r="CJ65" i="1" s="1"/>
  <c r="CF71" i="1"/>
  <c r="CF59" i="1"/>
  <c r="CF63" i="1" s="1"/>
  <c r="CF65" i="1" s="1"/>
  <c r="CF84" i="1" s="1"/>
  <c r="DA59" i="1"/>
  <c r="DA63" i="1" s="1"/>
  <c r="DA65" i="1" s="1"/>
  <c r="DA71" i="1"/>
  <c r="BL67" i="1"/>
  <c r="BL68" i="1" s="1"/>
  <c r="BS71" i="1"/>
  <c r="CZ67" i="1"/>
  <c r="CZ68" i="1" s="1"/>
  <c r="CZ84" i="1"/>
  <c r="DC76" i="1"/>
  <c r="DD75" i="1"/>
  <c r="DD74" i="1"/>
  <c r="BP67" i="1"/>
  <c r="BP68" i="1" s="1"/>
  <c r="BP84" i="1"/>
  <c r="BN67" i="1"/>
  <c r="BN68" i="1" s="1"/>
  <c r="BN84" i="1"/>
  <c r="BQ63" i="1"/>
  <c r="BQ65" i="1" s="1"/>
  <c r="DB59" i="1"/>
  <c r="DB71" i="1"/>
  <c r="CA57" i="1"/>
  <c r="CA71" i="1" s="1"/>
  <c r="CE57" i="1"/>
  <c r="CI71" i="1" s="1"/>
  <c r="BM67" i="1"/>
  <c r="BM68" i="1" s="1"/>
  <c r="BM84" i="1"/>
  <c r="CH63" i="1"/>
  <c r="CH65" i="1" s="1"/>
  <c r="DE73" i="1"/>
  <c r="DD3" i="1"/>
  <c r="DD76" i="1" s="1"/>
  <c r="BS63" i="1"/>
  <c r="BS65" i="1" s="1"/>
  <c r="BS67" i="1" s="1"/>
  <c r="BS68" i="1" s="1"/>
  <c r="DG78" i="1"/>
  <c r="BW59" i="1"/>
  <c r="BW83" i="1" s="1"/>
  <c r="BW71" i="1"/>
  <c r="BR67" i="1"/>
  <c r="BR68" i="1" s="1"/>
  <c r="BR84" i="1"/>
  <c r="BT67" i="1"/>
  <c r="BT68" i="1" s="1"/>
  <c r="BT84" i="1"/>
  <c r="BY57" i="1"/>
  <c r="CB67" i="1"/>
  <c r="CB68" i="1" s="1"/>
  <c r="CB84" i="1"/>
  <c r="DC66" i="1"/>
  <c r="DC56" i="1"/>
  <c r="DC57" i="1" s="1"/>
  <c r="BV67" i="1"/>
  <c r="BV68" i="1" s="1"/>
  <c r="BV84" i="1"/>
  <c r="DD56" i="1"/>
  <c r="CD57" i="1"/>
  <c r="BU63" i="1"/>
  <c r="BU65" i="1" s="1"/>
  <c r="BU83" i="1"/>
  <c r="CA94" i="1"/>
  <c r="BZ59" i="1"/>
  <c r="BZ83" i="1" s="1"/>
  <c r="BZ71" i="1"/>
  <c r="CA86" i="1"/>
  <c r="AV62" i="1"/>
  <c r="AV57" i="1"/>
  <c r="AV59" i="1" s="1"/>
  <c r="CL63" i="1" l="1"/>
  <c r="BX84" i="1"/>
  <c r="CO20" i="1"/>
  <c r="CN57" i="1"/>
  <c r="CM71" i="1"/>
  <c r="CL83" i="1"/>
  <c r="DF58" i="1"/>
  <c r="DG79" i="1"/>
  <c r="CO69" i="1"/>
  <c r="DH9" i="1"/>
  <c r="DG77" i="1"/>
  <c r="DH79" i="1"/>
  <c r="BO84" i="1"/>
  <c r="BS84" i="1"/>
  <c r="CJ84" i="1"/>
  <c r="CK84" i="1"/>
  <c r="DA83" i="1"/>
  <c r="BW63" i="1"/>
  <c r="BW65" i="1" s="1"/>
  <c r="BW84" i="1" s="1"/>
  <c r="CE71" i="1"/>
  <c r="CE59" i="1"/>
  <c r="CF67" i="1"/>
  <c r="DE74" i="1"/>
  <c r="DE75" i="1"/>
  <c r="CA59" i="1"/>
  <c r="CA83" i="1" s="1"/>
  <c r="DC59" i="1"/>
  <c r="DC63" i="1" s="1"/>
  <c r="DC65" i="1" s="1"/>
  <c r="DC71" i="1"/>
  <c r="DA67" i="1"/>
  <c r="DA68" i="1" s="1"/>
  <c r="DA84" i="1"/>
  <c r="BY59" i="1"/>
  <c r="BY83" i="1" s="1"/>
  <c r="CC71" i="1"/>
  <c r="DB83" i="1"/>
  <c r="DB63" i="1"/>
  <c r="DB65" i="1" s="1"/>
  <c r="BQ67" i="1"/>
  <c r="BQ68" i="1" s="1"/>
  <c r="BQ84" i="1"/>
  <c r="CF83" i="1"/>
  <c r="CG83" i="1"/>
  <c r="CG84" i="1"/>
  <c r="CH84" i="1"/>
  <c r="CH83" i="1"/>
  <c r="CD59" i="1"/>
  <c r="CD58" i="1" s="1"/>
  <c r="DD58" i="1" s="1"/>
  <c r="CH71" i="1"/>
  <c r="DF73" i="1"/>
  <c r="DE3" i="1"/>
  <c r="DE76" i="1" s="1"/>
  <c r="DD57" i="1"/>
  <c r="DD71" i="1" s="1"/>
  <c r="DJ69" i="1"/>
  <c r="DH10" i="1"/>
  <c r="DH78" i="1" s="1"/>
  <c r="BY71" i="1"/>
  <c r="BZ63" i="1"/>
  <c r="BZ65" i="1" s="1"/>
  <c r="CD71" i="1"/>
  <c r="BU67" i="1"/>
  <c r="BU68" i="1" s="1"/>
  <c r="BU84" i="1"/>
  <c r="CC63" i="1"/>
  <c r="CC65" i="1" s="1"/>
  <c r="CC84" i="1" s="1"/>
  <c r="AV63" i="1"/>
  <c r="AV65" i="1" s="1"/>
  <c r="AV67" i="1" s="1"/>
  <c r="AV68" i="1" s="1"/>
  <c r="AS64" i="1"/>
  <c r="AS62" i="1"/>
  <c r="AO55" i="1"/>
  <c r="AO57" i="1" s="1"/>
  <c r="AS55" i="1"/>
  <c r="AS57" i="1" s="1"/>
  <c r="AS59" i="1" s="1"/>
  <c r="BW67" i="1" l="1"/>
  <c r="BW68" i="1" s="1"/>
  <c r="CM63" i="1"/>
  <c r="CM65" i="1" s="1"/>
  <c r="CM83" i="1"/>
  <c r="CN59" i="1"/>
  <c r="CN71" i="1"/>
  <c r="CN58" i="1"/>
  <c r="CP20" i="1"/>
  <c r="CP57" i="1" s="1"/>
  <c r="CO57" i="1"/>
  <c r="DG20" i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CP69" i="1"/>
  <c r="DI9" i="1"/>
  <c r="DH77" i="1"/>
  <c r="CL84" i="1"/>
  <c r="DF66" i="1"/>
  <c r="DJ13" i="1"/>
  <c r="DI79" i="1"/>
  <c r="CA63" i="1"/>
  <c r="CA65" i="1" s="1"/>
  <c r="CA67" i="1" s="1"/>
  <c r="CK67" i="1"/>
  <c r="CJ67" i="1"/>
  <c r="CL67" i="1"/>
  <c r="CF68" i="1"/>
  <c r="CF103" i="1"/>
  <c r="DC67" i="1"/>
  <c r="DC68" i="1" s="1"/>
  <c r="DC84" i="1"/>
  <c r="DF74" i="1"/>
  <c r="BY63" i="1"/>
  <c r="BY65" i="1" s="1"/>
  <c r="DF75" i="1"/>
  <c r="DC83" i="1"/>
  <c r="CE63" i="1"/>
  <c r="CE65" i="1" s="1"/>
  <c r="CE84" i="1" s="1"/>
  <c r="CE83" i="1"/>
  <c r="DB67" i="1"/>
  <c r="DB68" i="1" s="1"/>
  <c r="DB84" i="1"/>
  <c r="CG67" i="1"/>
  <c r="CH67" i="1"/>
  <c r="CD63" i="1"/>
  <c r="CD65" i="1" s="1"/>
  <c r="CD66" i="1" s="1"/>
  <c r="CD84" i="1" s="1"/>
  <c r="CD83" i="1"/>
  <c r="DG73" i="1"/>
  <c r="DF3" i="1"/>
  <c r="DF76" i="1" s="1"/>
  <c r="DD59" i="1"/>
  <c r="DD63" i="1" s="1"/>
  <c r="DD65" i="1" s="1"/>
  <c r="DE57" i="1"/>
  <c r="DE59" i="1" s="1"/>
  <c r="DK69" i="1"/>
  <c r="DI10" i="1"/>
  <c r="DI78" i="1" s="1"/>
  <c r="BZ67" i="1"/>
  <c r="BZ68" i="1" s="1"/>
  <c r="BZ84" i="1"/>
  <c r="AS63" i="1"/>
  <c r="AS65" i="1" s="1"/>
  <c r="AS67" i="1" s="1"/>
  <c r="AS68" i="1" s="1"/>
  <c r="K4" i="2"/>
  <c r="K7" i="2" s="1"/>
  <c r="CL68" i="1" l="1"/>
  <c r="CL103" i="1"/>
  <c r="CP71" i="1"/>
  <c r="CP59" i="1"/>
  <c r="CP58" i="1" s="1"/>
  <c r="CO59" i="1"/>
  <c r="CO58" i="1" s="1"/>
  <c r="CO71" i="1"/>
  <c r="CN63" i="1"/>
  <c r="CN65" i="1" s="1"/>
  <c r="CN83" i="1"/>
  <c r="CM84" i="1"/>
  <c r="CJ68" i="1"/>
  <c r="CJ103" i="1"/>
  <c r="DJ9" i="1"/>
  <c r="DI77" i="1"/>
  <c r="DK13" i="1"/>
  <c r="DL13" i="1" s="1"/>
  <c r="DJ79" i="1"/>
  <c r="CK68" i="1"/>
  <c r="CK103" i="1"/>
  <c r="CA84" i="1"/>
  <c r="CH68" i="1"/>
  <c r="CH103" i="1"/>
  <c r="CG68" i="1"/>
  <c r="CG103" i="1"/>
  <c r="DH7" i="1"/>
  <c r="DG74" i="1"/>
  <c r="BY67" i="1"/>
  <c r="BY68" i="1" s="1"/>
  <c r="BY84" i="1"/>
  <c r="DH8" i="1"/>
  <c r="DG75" i="1"/>
  <c r="CE67" i="1"/>
  <c r="CA68" i="1"/>
  <c r="CA103" i="1"/>
  <c r="DH5" i="1"/>
  <c r="DH73" i="1" s="1"/>
  <c r="DG3" i="1"/>
  <c r="DG76" i="1" s="1"/>
  <c r="DD83" i="1"/>
  <c r="DG56" i="1"/>
  <c r="DF57" i="1"/>
  <c r="DF59" i="1" s="1"/>
  <c r="DE83" i="1"/>
  <c r="DE71" i="1"/>
  <c r="DL69" i="1"/>
  <c r="DJ10" i="1"/>
  <c r="DJ78" i="1" s="1"/>
  <c r="DD66" i="1"/>
  <c r="CD67" i="1"/>
  <c r="CD68" i="1" s="1"/>
  <c r="CC67" i="1"/>
  <c r="CC68" i="1" s="1"/>
  <c r="AQ64" i="1"/>
  <c r="AQ62" i="1"/>
  <c r="AQ59" i="1"/>
  <c r="AQ55" i="1"/>
  <c r="AQ56" i="1" s="1"/>
  <c r="CM67" i="1" l="1"/>
  <c r="CM68" i="1" s="1"/>
  <c r="CP63" i="1"/>
  <c r="CP65" i="1" s="1"/>
  <c r="CP83" i="1"/>
  <c r="CN66" i="1"/>
  <c r="CN84" i="1" s="1"/>
  <c r="CN67" i="1"/>
  <c r="CN68" i="1" s="1"/>
  <c r="CO63" i="1"/>
  <c r="CO65" i="1" s="1"/>
  <c r="CO83" i="1"/>
  <c r="DK9" i="1"/>
  <c r="DJ77" i="1"/>
  <c r="DK79" i="1"/>
  <c r="CE68" i="1"/>
  <c r="CE103" i="1"/>
  <c r="DI8" i="1"/>
  <c r="DH75" i="1"/>
  <c r="DI7" i="1"/>
  <c r="DH74" i="1"/>
  <c r="DD67" i="1"/>
  <c r="DD68" i="1" s="1"/>
  <c r="DD84" i="1"/>
  <c r="DI5" i="1"/>
  <c r="DI73" i="1" s="1"/>
  <c r="DH3" i="1"/>
  <c r="DH76" i="1" s="1"/>
  <c r="DH56" i="1"/>
  <c r="DG57" i="1"/>
  <c r="DE63" i="1"/>
  <c r="DE65" i="1" s="1"/>
  <c r="DF62" i="1"/>
  <c r="DF71" i="1"/>
  <c r="DF83" i="1"/>
  <c r="DK10" i="1"/>
  <c r="DK78" i="1" s="1"/>
  <c r="AQ63" i="1"/>
  <c r="AQ65" i="1" s="1"/>
  <c r="AQ67" i="1" s="1"/>
  <c r="AQ68" i="1" s="1"/>
  <c r="DL79" i="1" l="1"/>
  <c r="DM13" i="1"/>
  <c r="DN13" i="1" s="1"/>
  <c r="DO13" i="1" s="1"/>
  <c r="DP13" i="1" s="1"/>
  <c r="DQ13" i="1" s="1"/>
  <c r="CO66" i="1"/>
  <c r="CO84" i="1" s="1"/>
  <c r="CP66" i="1"/>
  <c r="CP84" i="1" s="1"/>
  <c r="DL9" i="1"/>
  <c r="DK77" i="1"/>
  <c r="DJ7" i="1"/>
  <c r="DI74" i="1"/>
  <c r="DJ8" i="1"/>
  <c r="DI75" i="1"/>
  <c r="DE67" i="1"/>
  <c r="DE68" i="1" s="1"/>
  <c r="DE84" i="1"/>
  <c r="DJ5" i="1"/>
  <c r="DJ73" i="1" s="1"/>
  <c r="DI3" i="1"/>
  <c r="DI76" i="1" s="1"/>
  <c r="DF63" i="1"/>
  <c r="DF65" i="1" s="1"/>
  <c r="DG71" i="1"/>
  <c r="DG60" i="1"/>
  <c r="DG62" i="1" s="1"/>
  <c r="DG59" i="1"/>
  <c r="DG83" i="1" s="1"/>
  <c r="DI56" i="1"/>
  <c r="DH57" i="1"/>
  <c r="DL10" i="1"/>
  <c r="CO67" i="1" l="1"/>
  <c r="CO68" i="1" s="1"/>
  <c r="DL77" i="1"/>
  <c r="DM9" i="1"/>
  <c r="DN9" i="1" s="1"/>
  <c r="DO9" i="1" s="1"/>
  <c r="DP9" i="1" s="1"/>
  <c r="DQ9" i="1" s="1"/>
  <c r="DL78" i="1"/>
  <c r="DM10" i="1"/>
  <c r="DN10" i="1" s="1"/>
  <c r="DO10" i="1" s="1"/>
  <c r="DP10" i="1" s="1"/>
  <c r="DQ10" i="1" s="1"/>
  <c r="CP67" i="1"/>
  <c r="CP68" i="1" s="1"/>
  <c r="DK8" i="1"/>
  <c r="DJ75" i="1"/>
  <c r="DK7" i="1"/>
  <c r="DJ74" i="1"/>
  <c r="DF67" i="1"/>
  <c r="DF68" i="1" s="1"/>
  <c r="DF84" i="1"/>
  <c r="DK5" i="1"/>
  <c r="DK73" i="1" s="1"/>
  <c r="DJ3" i="1"/>
  <c r="DJ76" i="1" s="1"/>
  <c r="DH71" i="1"/>
  <c r="DH59" i="1"/>
  <c r="DH83" i="1" s="1"/>
  <c r="DH60" i="1"/>
  <c r="DH62" i="1" s="1"/>
  <c r="DJ56" i="1"/>
  <c r="DI57" i="1"/>
  <c r="DG58" i="1"/>
  <c r="DG63" i="1"/>
  <c r="DG65" i="1" s="1"/>
  <c r="DG66" i="1" s="1"/>
  <c r="DL7" i="1" l="1"/>
  <c r="DK74" i="1"/>
  <c r="DL8" i="1"/>
  <c r="DK75" i="1"/>
  <c r="DG67" i="1"/>
  <c r="DG68" i="1" s="1"/>
  <c r="DG84" i="1"/>
  <c r="DL5" i="1"/>
  <c r="DM5" i="1" s="1"/>
  <c r="DK3" i="1"/>
  <c r="DK76" i="1" s="1"/>
  <c r="DI60" i="1"/>
  <c r="DI62" i="1" s="1"/>
  <c r="DI59" i="1"/>
  <c r="DI83" i="1" s="1"/>
  <c r="DI71" i="1"/>
  <c r="DK56" i="1"/>
  <c r="DJ57" i="1"/>
  <c r="DH58" i="1"/>
  <c r="DH63" i="1"/>
  <c r="DH65" i="1" s="1"/>
  <c r="DH66" i="1" s="1"/>
  <c r="DN5" i="1" l="1"/>
  <c r="DL75" i="1"/>
  <c r="DM8" i="1"/>
  <c r="DN8" i="1" s="1"/>
  <c r="DO8" i="1" s="1"/>
  <c r="DP8" i="1" s="1"/>
  <c r="DQ8" i="1" s="1"/>
  <c r="DL74" i="1"/>
  <c r="DM7" i="1"/>
  <c r="DN7" i="1" s="1"/>
  <c r="DO7" i="1" s="1"/>
  <c r="DP7" i="1" s="1"/>
  <c r="DQ7" i="1" s="1"/>
  <c r="DL3" i="1"/>
  <c r="DL76" i="1" s="1"/>
  <c r="DL73" i="1"/>
  <c r="DH67" i="1"/>
  <c r="DH68" i="1" s="1"/>
  <c r="DH84" i="1"/>
  <c r="DL56" i="1"/>
  <c r="DK57" i="1"/>
  <c r="DJ71" i="1"/>
  <c r="DJ60" i="1"/>
  <c r="DJ62" i="1" s="1"/>
  <c r="DJ59" i="1"/>
  <c r="DJ83" i="1" s="1"/>
  <c r="DI58" i="1"/>
  <c r="DI63" i="1"/>
  <c r="DI65" i="1" s="1"/>
  <c r="DI66" i="1" s="1"/>
  <c r="DL57" i="1" l="1"/>
  <c r="DL60" i="1" s="1"/>
  <c r="DL62" i="1" s="1"/>
  <c r="DM56" i="1"/>
  <c r="DN56" i="1" s="1"/>
  <c r="DO56" i="1" s="1"/>
  <c r="DP56" i="1" s="1"/>
  <c r="DQ56" i="1" s="1"/>
  <c r="DM57" i="1"/>
  <c r="DO5" i="1"/>
  <c r="DN57" i="1"/>
  <c r="DI67" i="1"/>
  <c r="DI68" i="1" s="1"/>
  <c r="DI84" i="1"/>
  <c r="DJ58" i="1"/>
  <c r="DJ63" i="1"/>
  <c r="DK60" i="1"/>
  <c r="DK62" i="1" s="1"/>
  <c r="DK59" i="1"/>
  <c r="DK83" i="1" s="1"/>
  <c r="DK71" i="1"/>
  <c r="DL59" i="1" l="1"/>
  <c r="DL83" i="1" s="1"/>
  <c r="DN71" i="1"/>
  <c r="DL71" i="1"/>
  <c r="DP5" i="1"/>
  <c r="DO57" i="1"/>
  <c r="DO71" i="1" s="1"/>
  <c r="DM71" i="1"/>
  <c r="DJ65" i="1"/>
  <c r="DJ66" i="1" s="1"/>
  <c r="DK58" i="1"/>
  <c r="DK63" i="1"/>
  <c r="DK65" i="1" s="1"/>
  <c r="DK66" i="1" s="1"/>
  <c r="DL63" i="1" l="1"/>
  <c r="DL65" i="1" s="1"/>
  <c r="DL66" i="1" s="1"/>
  <c r="DL58" i="1"/>
  <c r="DQ5" i="1"/>
  <c r="DQ57" i="1" s="1"/>
  <c r="DP57" i="1"/>
  <c r="DP71" i="1" s="1"/>
  <c r="DJ67" i="1"/>
  <c r="DJ68" i="1" s="1"/>
  <c r="DJ84" i="1"/>
  <c r="DK67" i="1"/>
  <c r="DK68" i="1" s="1"/>
  <c r="DK84" i="1"/>
  <c r="DL67" i="1"/>
  <c r="DL68" i="1" s="1"/>
  <c r="DL84" i="1"/>
  <c r="DM67" i="1" l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DQ71" i="1"/>
  <c r="DT77" i="1" l="1"/>
  <c r="DT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tc={F5A3DAFE-87D9-4387-8716-C78969447BE1}</author>
    <author>tc={E9026D9B-4438-4C52-996A-6DCC1FEC4F47}</author>
    <author>tc={81ADF01A-AE54-41D1-8178-280B2E1FC798}</author>
    <author>tc={664FB178-7500-41CF-9816-714751E68D3F}</author>
    <author>tc={A8DE2913-C822-4DDD-B718-6248CF0F3309}</author>
    <author>tc={669AB0A2-7280-49D1-869B-DFDE8B5A7098}</author>
    <author>tc={1B2D4A2C-84F6-473C-92C8-D40FA2BAB418}</author>
    <author>tc={C0F9A38F-F696-44AB-AE15-260766128395}</author>
    <author>tc={00BB85D3-10C6-41A5-89A6-7AC02D1AEDC7}</author>
    <author>tc={1495FD4C-6EA2-462D-A285-0CE1207F95E3}</author>
    <author>tc={14CB8E78-2384-4A70-BC00-83FD5D0B9975}</author>
    <author>tc={4684B382-7B1E-4F51-8AE6-3C2F21BB4B83}</author>
    <author>tc={51458D24-72B5-48B3-AB70-2D4E05E3A282}</author>
    <author>tc={664741F6-5634-463A-B649-C44AD48AAA09}</author>
    <author>tc={A4B38560-E0C3-4F72-B4F8-127C423939FF}</author>
    <author>tc={02664013-DB26-4B95-A2F2-AE1243BDA9A3}</author>
    <author>tc={508AA4C9-BFB6-4DA9-A43F-84D9681BF928}</author>
    <author>tc={E45AEBEE-2692-4F2B-BEE1-4D1C8784EA40}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F5" authorId="1" shapeId="0" xr:uid="{F5A3DAFE-87D9-4387-8716-C7896944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7.4B</t>
      </text>
    </comment>
    <comment ref="DF7" authorId="2" shapeId="0" xr:uid="{E9026D9B-4438-4C52-996A-6DCC1FEC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8" authorId="3" shapeId="0" xr:uid="{81ADF01A-AE54-41D1-8178-280B2E1FC7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11.5B</t>
      </text>
    </comment>
    <comment ref="DF10" authorId="4" shapeId="0" xr:uid="{664FB178-7500-41CF-9816-714751E68D3F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12" authorId="5" shapeId="0" xr:uid="{A8DE2913-C822-4DDD-B718-6248CF0F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2.6B</t>
      </text>
    </comment>
    <comment ref="DF13" authorId="6" shapeId="0" xr:uid="{669AB0A2-7280-49D1-869B-DFDE8B5A7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5.8B guidance</t>
      </text>
    </comment>
    <comment ref="DF14" authorId="7" shapeId="0" xr:uid="{1B2D4A2C-84F6-473C-92C8-D40FA2BA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CD31" authorId="8" shapeId="0" xr:uid="{C0F9A38F-F696-44AB-AE15-2607661283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Q4 not disclosed</t>
      </text>
    </comment>
    <comment ref="DO33" authorId="9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7" authorId="1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L57" authorId="11" shapeId="0" xr:uid="{14CB8E78-2384-4A70-BC00-83FD5D0B9975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14.8B</t>
      </text>
    </comment>
    <comment ref="CC68" authorId="1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CL68" authorId="13" shapeId="0" xr:uid="{51458D24-72B5-48B3-AB70-2D4E05E3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2.94 - 2.98 does not include IPRD?</t>
      </text>
    </comment>
    <comment ref="DD68" authorId="14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8" authorId="15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8" authorId="16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DG71" authorId="17" shapeId="0" xr:uid="{508AA4C9-BFB6-4DA9-A43F-84D9681B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mid single digit revenue growth</t>
      </text>
    </comment>
    <comment ref="DF83" authorId="18" shapeId="0" xr:uid="{E45AEBEE-2692-4F2B-BEE1-4D1C8784EA4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84%</t>
      </text>
    </comment>
    <comment ref="CI116" authorId="19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<sst xmlns="http://schemas.openxmlformats.org/spreadsheetml/2006/main" count="956" uniqueCount="666">
  <si>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</si>
  <si>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</si>
  <si>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</si>
  <si>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</si>
  <si>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</si>
  <si>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</si>
  <si>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</si>
  <si>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</si>
  <si>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</si>
  <si>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</si>
  <si>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</si>
  <si>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</si>
  <si>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</si>
  <si>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</si>
  <si>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</si>
  <si>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</si>
  <si>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</si>
  <si>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</si>
  <si>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</si>
  <si>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</si>
  <si>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</si>
  <si>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</si>
  <si>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</si>
  <si>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</si>
  <si>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</si>
  <si>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</si>
  <si>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</si>
  <si>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</si>
  <si>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</si>
  <si>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</si>
  <si>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</si>
  <si>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</si>
  <si>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</si>
  <si>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</si>
  <si>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</si>
  <si>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</si>
  <si>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</si>
  <si>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</si>
  <si>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</si>
  <si>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</si>
  <si>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</si>
  <si>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</si>
  <si>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</si>
  <si>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</si>
  <si>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</si>
  <si>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</si>
  <si>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</si>
  <si>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</si>
  <si>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</si>
  <si>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</si>
  <si>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</si>
  <si>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</si>
  <si>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</si>
  <si>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</si>
  <si>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</si>
  <si>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</si>
  <si>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</si>
  <si>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</si>
  <si>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</si>
  <si>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</si>
  <si>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</si>
  <si>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</si>
  <si>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</si>
  <si>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</si>
  <si>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</si>
  <si>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</si>
  <si>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</si>
  <si>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</si>
  <si>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</si>
  <si>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</si>
  <si>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</si>
  <si>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</si>
  <si>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</si>
  <si>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</si>
  <si>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</si>
  <si>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</si>
  <si>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</si>
  <si>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</si>
  <si>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</si>
  <si>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</si>
  <si>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</si>
  <si>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</si>
  <si>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</si>
  <si>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</si>
  <si>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</si>
  <si>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</si>
  <si>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</si>
  <si>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</si>
  <si>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</si>
  <si>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</si>
  <si>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</si>
  <si>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</si>
  <si>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</si>
  <si>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</si>
  <si>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</si>
  <si>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</si>
  <si>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</si>
  <si>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</si>
  <si>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</si>
  <si>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</si>
  <si>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</si>
  <si>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</si>
  <si>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</si>
  <si>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</si>
  <si>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</si>
  <si>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</si>
  <si>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</si>
  <si>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</si>
  <si>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</si>
  <si>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</si>
  <si>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</si>
  <si>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</si>
  <si>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</si>
  <si>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</si>
  <si>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</si>
  <si>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</si>
  <si>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</si>
  <si>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</si>
  <si>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</si>
  <si>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</si>
  <si>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</si>
  <si>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</si>
  <si>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</si>
  <si>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</si>
  <si>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</si>
  <si>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</si>
  <si>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</si>
  <si>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</si>
  <si>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</si>
  <si>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</si>
  <si>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</si>
  <si>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</si>
  <si>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</si>
  <si>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</si>
  <si>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</si>
  <si>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</si>
  <si>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</si>
  <si>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</si>
  <si>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</si>
  <si>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</si>
  <si>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</si>
  <si>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</si>
  <si>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</si>
  <si>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</si>
  <si>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</si>
  <si>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</si>
  <si>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</si>
  <si>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</si>
  <si>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</si>
  <si>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</si>
  <si>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</si>
  <si>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</si>
  <si>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</si>
  <si>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</si>
  <si>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</si>
  <si>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</si>
  <si>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</si>
  <si>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</si>
  <si>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</si>
  <si>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</si>
  <si>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</si>
  <si>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</si>
  <si>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</si>
  <si>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</si>
  <si>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</si>
  <si>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</si>
  <si>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</si>
  <si>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</si>
  <si>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</si>
  <si>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</si>
  <si>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</si>
  <si>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</si>
  <si>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</si>
  <si>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</si>
  <si>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</si>
  <si>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</si>
  <si>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</si>
  <si>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</si>
  <si>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</si>
  <si>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</si>
  <si>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</si>
  <si>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</si>
  <si>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</si>
  <si>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</si>
  <si>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</si>
  <si>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</si>
  <si>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</si>
  <si>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</si>
  <si>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</si>
  <si>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</si>
  <si>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</si>
  <si>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</si>
  <si>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</si>
  <si>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</si>
  <si>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</si>
  <si>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</si>
  <si>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</si>
  <si>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</si>
  <si>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</si>
  <si>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</si>
  <si>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</si>
  <si>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</si>
  <si>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</si>
  <si>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</si>
  <si>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</si>
  <si>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</si>
  <si>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</si>
  <si>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</si>
  <si>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</si>
  <si>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</si>
  <si>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</si>
  <si>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</si>
  <si>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</si>
  <si>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</si>
  <si>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</si>
  <si>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</si>
  <si>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</si>
  <si>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</si>
  <si>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</si>
  <si>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</si>
  <si>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</si>
  <si>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</si>
  <si>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</si>
  <si>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</si>
  <si>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</si>
  <si>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</si>
  <si>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</si>
  <si>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</si>
  <si>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</si>
  <si>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</si>
  <si>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</si>
  <si>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</si>
  <si>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</si>
  <si>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</si>
  <si>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</si>
  <si>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</si>
  <si>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</si>
  <si>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</si>
  <si>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</si>
  <si>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</si>
  <si>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</si>
  <si>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</si>
  <si>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</si>
  <si>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</si>
  <si>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</si>
  <si>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</si>
  <si>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</si>
  <si>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</si>
  <si>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</si>
  <si>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</si>
  <si>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</si>
  <si>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</si>
  <si>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</si>
  <si>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</si>
  <si>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</si>
  <si>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</si>
  <si>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</si>
  <si>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</si>
  <si>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</si>
  <si>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</si>
  <si>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</si>
  <si>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</si>
  <si>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</si>
  <si>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</si>
  <si>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</si>
  <si>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</si>
  <si>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</si>
  <si>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</si>
  <si>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</si>
  <si>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</si>
  <si>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</si>
  <si>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</si>
  <si>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</si>
  <si>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</si>
  <si>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</si>
  <si>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</si>
  <si>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</si>
  <si>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</si>
  <si>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</si>
  <si>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</si>
  <si>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</si>
  <si>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</si>
  <si>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</si>
  <si>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</si>
  <si>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</si>
  <si>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</si>
  <si>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</si>
  <si>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</si>
  <si>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</si>
  <si>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</si>
  <si>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</si>
  <si>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</si>
  <si>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</si>
  <si>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</si>
  <si>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</si>
  <si>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</si>
  <si>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</si>
  <si>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</si>
  <si>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</si>
  <si>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</si>
  <si>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</si>
  <si>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</si>
  <si>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</si>
  <si>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</si>
  <si>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</si>
  <si>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</si>
  <si>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</si>
  <si>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</si>
  <si>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</si>
  <si>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</si>
  <si>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</si>
  <si>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</si>
  <si>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</si>
  <si>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</si>
  <si>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</si>
  <si>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</si>
  <si>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</si>
  <si>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</si>
  <si>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</si>
  <si>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</si>
  <si>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</si>
  <si>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</si>
  <si>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</si>
  <si>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</si>
  <si>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</si>
  <si>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</si>
  <si>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</si>
  <si>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</si>
  <si>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</si>
  <si>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</si>
  <si>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</si>
  <si>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</si>
  <si>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</si>
  <si>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</si>
  <si>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</si>
  <si>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</si>
  <si>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</si>
  <si>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</si>
  <si>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</si>
  <si>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</si>
  <si>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</si>
  <si>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</si>
  <si>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</si>
  <si>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</si>
  <si>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</si>
  <si>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</si>
  <si>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</si>
  <si>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</si>
  <si>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</si>
  <si>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</si>
  <si>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</si>
  <si>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</si>
  <si>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</si>
  <si>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</si>
  <si>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</si>
  <si>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</si>
  <si>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</si>
  <si>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</si>
  <si>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</si>
  <si>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</si>
  <si>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</si>
  <si>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</si>
  <si>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</si>
  <si>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</si>
  <si>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</si>
  <si>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</si>
  <si>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</si>
  <si>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</si>
  <si>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</si>
  <si>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</si>
  <si>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</si>
  <si>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</si>
  <si>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</si>
  <si>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</si>
  <si>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</si>
  <si>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</si>
  <si>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</si>
  <si>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</si>
  <si>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</si>
  <si>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</si>
  <si>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</si>
  <si>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</si>
  <si>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</si>
  <si>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</si>
  <si>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</si>
  <si>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</si>
  <si>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</si>
  <si>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</si>
  <si>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</si>
  <si>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</si>
  <si>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</si>
  <si>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</si>
  <si>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</si>
  <si>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</si>
  <si>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</si>
  <si>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</si>
  <si>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</si>
  <si>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</si>
  <si>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</si>
  <si>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</si>
  <si>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</si>
  <si>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</si>
  <si>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</si>
  <si>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</si>
  <si>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</si>
  <si>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</si>
  <si>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</si>
  <si>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</si>
  <si>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</si>
  <si>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</si>
  <si>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</si>
  <si>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</si>
  <si>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</si>
  <si>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</si>
  <si>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</si>
  <si>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</si>
  <si>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</si>
  <si>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</si>
  <si>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</si>
  <si>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</si>
  <si>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</si>
  <si>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</si>
  <si>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</si>
  <si>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</si>
  <si>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</si>
  <si>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</si>
  <si>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</si>
  <si>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</si>
  <si>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</si>
  <si>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</si>
  <si>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</si>
  <si>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</si>
  <si>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</si>
  <si>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</si>
  <si>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</si>
  <si>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</si>
  <si>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</si>
  <si>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</si>
  <si>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</si>
  <si>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</si>
  <si>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</si>
  <si>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</si>
  <si>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</si>
  <si>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</si>
  <si>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</si>
  <si>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</si>
  <si>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</si>
  <si>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</si>
  <si>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</si>
  <si>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</si>
  <si>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</si>
  <si>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</si>
  <si>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</si>
  <si>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</si>
  <si>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</si>
  <si>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</si>
  <si>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</si>
  <si>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</si>
  <si>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</si>
  <si>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</si>
  <si>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</si>
  <si>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</si>
  <si>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</si>
  <si>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</si>
  <si>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</si>
  <si>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</si>
  <si>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</si>
  <si>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</si>
  <si>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</si>
  <si>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</si>
  <si>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</si>
  <si>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</si>
  <si>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</si>
  <si>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</si>
  <si>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</si>
  <si>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</si>
  <si>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</si>
  <si>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</si>
  <si>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</si>
  <si>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</si>
  <si>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</si>
  <si>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</si>
  <si>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</si>
  <si>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</si>
  <si>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</si>
  <si>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</si>
  <si>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</si>
  <si>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</si>
  <si>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</si>
  <si>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</si>
  <si>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</si>
  <si>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</si>
  <si>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</si>
  <si>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</si>
  <si>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</si>
  <si>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</si>
  <si>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</si>
  <si>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</si>
  <si>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</si>
  <si>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</si>
  <si>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</si>
  <si>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</si>
  <si>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</si>
  <si>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</si>
  <si>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</si>
  <si>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</si>
  <si>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</si>
  <si>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</si>
  <si>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</si>
  <si>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</si>
  <si>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</si>
  <si>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</si>
  <si>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</si>
  <si>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</si>
  <si>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</si>
  <si>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</si>
  <si>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</si>
  <si>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</si>
  <si>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</si>
  <si>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</si>
  <si>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</si>
  <si>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</si>
  <si>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</si>
  <si>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</si>
  <si>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</si>
  <si>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</si>
  <si>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</si>
  <si>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</si>
  <si>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</si>
  <si>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</si>
  <si>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</si>
  <si>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</si>
  <si>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</si>
  <si>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</si>
  <si>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</si>
  <si>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</si>
  <si>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</si>
  <si>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</si>
  <si>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</si>
  <si>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</si>
  <si>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</si>
  <si>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</si>
  <si>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</si>
  <si>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</si>
  <si>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</si>
  <si>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</si>
  <si>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</si>
  <si>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</si>
  <si>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</si>
  <si>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</si>
  <si>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</si>
  <si>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</si>
  <si>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</si>
  <si>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</si>
  <si>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</si>
  <si>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</si>
  <si>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</si>
  <si>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</si>
  <si>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</si>
  <si>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</si>
  <si>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</si>
  <si>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</si>
  <si>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</si>
  <si>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</si>
  <si>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</si>
  <si>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</si>
  <si>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</si>
  <si>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</si>
  <si>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</si>
  <si>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</si>
  <si>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</si>
  <si>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</si>
  <si>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</si>
  <si>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</si>
  <si>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</si>
  <si>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</si>
  <si>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</si>
  <si>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</si>
  <si>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</si>
  <si>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</si>
  <si>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</si>
  <si>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</si>
  <si>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</si>
  <si>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</si>
  <si>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</si>
  <si>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</si>
  <si>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</si>
  <si>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</si>
  <si>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</si>
  <si>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</si>
  <si>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</si>
  <si>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</si>
  <si>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</si>
  <si>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</si>
  <si>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</si>
  <si>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</si>
  <si>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</si>
  <si>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</si>
  <si>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</si>
  <si>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</si>
  <si>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</si>
  <si>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</si>
  <si>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</si>
  <si>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</si>
  <si>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</si>
  <si>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</si>
  <si>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</si>
  <si>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</si>
  <si>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</si>
  <si>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</si>
  <si>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</si>
  <si>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</si>
  <si>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</si>
  <si>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</si>
  <si>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</si>
  <si>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</si>
  <si>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</si>
  <si>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</si>
  <si>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</si>
  <si>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</si>
  <si>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</si>
  <si>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</si>
  <si>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</si>
  <si>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</si>
  <si>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</si>
  <si>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</si>
  <si>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</si>
  <si>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</si>
  <si>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</si>
  <si>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</si>
  <si>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</si>
  <si>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</si>
  <si>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</si>
  <si>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</si>
  <si>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</si>
  <si>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</si>
  <si>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</si>
  <si>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</si>
  <si>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</si>
  <si>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</si>
  <si>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</si>
  <si>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</si>
  <si>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</si>
  <si>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</si>
  <si>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</si>
  <si>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</si>
  <si>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</si>
  <si>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</si>
  <si>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</si>
  <si>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</si>
  <si>
    <t>BonTE</t>
  </si>
  <si>
    <t>ABBV-142</t>
  </si>
  <si>
    <t>ABBV-CLS-616</t>
  </si>
  <si>
    <t>ABBV-722</t>
  </si>
  <si>
    <t>ABBV-291</t>
  </si>
  <si>
    <t>NHL</t>
  </si>
  <si>
    <t>ABBV-CLS-7262 (fosigotifator)</t>
  </si>
  <si>
    <t>ABBV-323 (ravagalimab)</t>
  </si>
  <si>
    <t>SC</t>
  </si>
  <si>
    <t>ABBV-141</t>
  </si>
  <si>
    <t>ABBV-903</t>
  </si>
  <si>
    <t>ABBV-950</t>
  </si>
  <si>
    <t>Psoriasis, PsA, Crohn's, UC</t>
  </si>
  <si>
    <t>RA, axSpA, AD, PsA, Crohn's, UC</t>
  </si>
  <si>
    <t>6,003</t>
  </si>
  <si>
    <t>1,422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</si>
</sst>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28"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right"/>
    </xf>
    <xf numFmtId="4" fontId="25" fillId="0" borderId="0" xfId="0" applyNumberFormat="1" applyFont="1" applyAlignment="1">
      <alignment horizontal="right"/>
    </xf>
    <xf numFmtId="0" fontId="25" fillId="0" borderId="1" xfId="0" applyFont="1" applyBorder="1"/>
    <xf numFmtId="0" fontId="25" fillId="0" borderId="3" xfId="0" applyFont="1" applyBorder="1"/>
    <xf numFmtId="0" fontId="25" fillId="0" borderId="6" xfId="0" applyFont="1" applyBorder="1"/>
    <xf numFmtId="0" fontId="25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0" xfId="0" applyFont="1" applyAlignment="1">
      <alignment horizontal="center"/>
    </xf>
    <xf numFmtId="9" fontId="25" fillId="0" borderId="0" xfId="0" applyNumberFormat="1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4" fontId="25" fillId="0" borderId="0" xfId="0" applyNumberFormat="1" applyFont="1"/>
    <xf numFmtId="3" fontId="25" fillId="0" borderId="0" xfId="0" applyNumberFormat="1" applyFont="1"/>
    <xf numFmtId="3" fontId="25" fillId="0" borderId="0" xfId="0" applyNumberFormat="1" applyFont="1" applyAlignment="1">
      <alignment horizontal="right"/>
    </xf>
    <xf numFmtId="3" fontId="26" fillId="0" borderId="0" xfId="0" applyNumberFormat="1" applyFont="1"/>
    <xf numFmtId="3" fontId="26" fillId="0" borderId="0" xfId="0" applyNumberFormat="1" applyFont="1" applyAlignment="1">
      <alignment horizontal="right"/>
    </xf>
    <xf numFmtId="14" fontId="25" fillId="0" borderId="0" xfId="0" applyNumberFormat="1" applyFont="1" applyAlignment="1">
      <alignment horizontal="center"/>
    </xf>
    <xf numFmtId="0" fontId="28" fillId="0" borderId="0" xfId="1" applyFont="1"/>
    <xf numFmtId="0" fontId="28" fillId="0" borderId="1" xfId="1" applyFont="1" applyBorder="1"/>
    <xf numFmtId="0" fontId="24" fillId="0" borderId="0" xfId="0" applyFont="1" applyAlignment="1">
      <alignment horizontal="right"/>
    </xf>
    <xf numFmtId="3" fontId="24" fillId="0" borderId="0" xfId="0" applyNumberFormat="1" applyFont="1"/>
    <xf numFmtId="3" fontId="24" fillId="0" borderId="0" xfId="0" quotePrefix="1" applyNumberFormat="1" applyFont="1" applyAlignment="1">
      <alignment horizontal="right"/>
    </xf>
    <xf numFmtId="0" fontId="24" fillId="0" borderId="0" xfId="0" applyFont="1"/>
    <xf numFmtId="0" fontId="23" fillId="0" borderId="0" xfId="0" applyFont="1"/>
    <xf numFmtId="0" fontId="22" fillId="0" borderId="0" xfId="0" applyFont="1"/>
    <xf numFmtId="3" fontId="22" fillId="0" borderId="0" xfId="0" quotePrefix="1" applyNumberFormat="1" applyFont="1" applyAlignment="1">
      <alignment horizontal="right"/>
    </xf>
    <xf numFmtId="9" fontId="25" fillId="0" borderId="0" xfId="0" applyNumberFormat="1" applyFont="1"/>
    <xf numFmtId="9" fontId="25" fillId="0" borderId="0" xfId="0" applyNumberFormat="1" applyFont="1" applyAlignment="1">
      <alignment horizontal="right"/>
    </xf>
    <xf numFmtId="9" fontId="22" fillId="0" borderId="0" xfId="0" applyNumberFormat="1" applyFont="1"/>
    <xf numFmtId="9" fontId="26" fillId="0" borderId="0" xfId="0" applyNumberFormat="1" applyFont="1"/>
    <xf numFmtId="9" fontId="26" fillId="0" borderId="0" xfId="0" applyNumberFormat="1" applyFont="1" applyAlignment="1">
      <alignment horizontal="right"/>
    </xf>
    <xf numFmtId="0" fontId="21" fillId="0" borderId="0" xfId="0" applyFont="1" applyAlignment="1">
      <alignment horizontal="center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/>
    <xf numFmtId="0" fontId="19" fillId="0" borderId="7" xfId="0" applyFont="1" applyBorder="1" applyAlignment="1">
      <alignment horizontal="center"/>
    </xf>
    <xf numFmtId="0" fontId="19" fillId="0" borderId="0" xfId="0" applyFont="1"/>
    <xf numFmtId="3" fontId="19" fillId="0" borderId="0" xfId="0" quotePrefix="1" applyNumberFormat="1" applyFont="1" applyAlignment="1">
      <alignment horizontal="right"/>
    </xf>
    <xf numFmtId="9" fontId="19" fillId="0" borderId="0" xfId="0" applyNumberFormat="1" applyFont="1"/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quotePrefix="1" applyNumberFormat="1" applyFont="1" applyAlignment="1">
      <alignment horizontal="right"/>
    </xf>
    <xf numFmtId="3" fontId="18" fillId="0" borderId="0" xfId="0" applyNumberFormat="1" applyFont="1"/>
    <xf numFmtId="3" fontId="25" fillId="2" borderId="0" xfId="0" applyNumberFormat="1" applyFont="1" applyFill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3" fontId="17" fillId="0" borderId="0" xfId="0" quotePrefix="1" applyNumberFormat="1" applyFont="1" applyAlignment="1">
      <alignment horizontal="right"/>
    </xf>
    <xf numFmtId="9" fontId="17" fillId="0" borderId="0" xfId="0" applyNumberFormat="1" applyFont="1"/>
    <xf numFmtId="9" fontId="17" fillId="0" borderId="0" xfId="0" applyNumberFormat="1" applyFont="1" applyAlignment="1">
      <alignment horizontal="right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15" fillId="0" borderId="1" xfId="0" applyFont="1" applyBorder="1"/>
    <xf numFmtId="0" fontId="14" fillId="0" borderId="0" xfId="0" applyFont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3" fontId="14" fillId="0" borderId="0" xfId="0" applyNumberFormat="1" applyFont="1"/>
    <xf numFmtId="0" fontId="14" fillId="0" borderId="1" xfId="0" applyFont="1" applyBorder="1"/>
    <xf numFmtId="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9" fontId="13" fillId="0" borderId="0" xfId="0" applyNumberFormat="1" applyFont="1" applyAlignment="1">
      <alignment horizontal="right"/>
    </xf>
    <xf numFmtId="9" fontId="13" fillId="0" borderId="0" xfId="0" applyNumberFormat="1" applyFont="1"/>
    <xf numFmtId="3" fontId="24" fillId="0" borderId="0" xfId="0" applyNumberFormat="1" applyFont="1" applyAlignment="1">
      <alignment horizontal="right"/>
    </xf>
    <xf numFmtId="3" fontId="13" fillId="0" borderId="0" xfId="0" quotePrefix="1" applyNumberFormat="1" applyFont="1" applyAlignment="1">
      <alignment horizontal="right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0" fontId="12" fillId="0" borderId="1" xfId="0" applyFont="1" applyBorder="1"/>
    <xf numFmtId="3" fontId="11" fillId="0" borderId="0" xfId="0" applyNumberFormat="1" applyFont="1"/>
    <xf numFmtId="0" fontId="11" fillId="0" borderId="1" xfId="0" applyFont="1" applyBorder="1"/>
    <xf numFmtId="0" fontId="10" fillId="0" borderId="0" xfId="0" applyFont="1" applyAlignment="1">
      <alignment horizontal="right"/>
    </xf>
    <xf numFmtId="3" fontId="10" fillId="0" borderId="0" xfId="0" applyNumberFormat="1" applyFont="1"/>
    <xf numFmtId="3" fontId="10" fillId="0" borderId="0" xfId="0" quotePrefix="1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0" fontId="9" fillId="0" borderId="1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29" fillId="0" borderId="0" xfId="0" applyFont="1"/>
    <xf numFmtId="9" fontId="9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3" fontId="7" fillId="0" borderId="0" xfId="0" quotePrefix="1" applyNumberFormat="1" applyFont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3" fontId="25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6" fillId="3" borderId="0" xfId="0" applyNumberFormat="1" applyFont="1" applyFill="1" applyAlignment="1">
      <alignment horizontal="right"/>
    </xf>
    <xf numFmtId="3" fontId="5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quotePrefix="1" applyFont="1"/>
    <xf numFmtId="0" fontId="4" fillId="0" borderId="1" xfId="0" applyFont="1" applyBorder="1"/>
    <xf numFmtId="3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30" fillId="0" borderId="0" xfId="0" applyFont="1"/>
    <xf numFmtId="14" fontId="2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/>
    <xf numFmtId="0" fontId="3" fillId="0" borderId="1" xfId="0" applyFont="1" applyBorder="1"/>
    <xf numFmtId="0" fontId="30" fillId="0" borderId="0" xfId="0" applyFont="1" applyAlignment="1">
      <alignment horizontal="center"/>
    </xf>
    <xf numFmtId="9" fontId="30" fillId="0" borderId="0" xfId="0" applyNumberFormat="1" applyFont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1" xfId="1" applyFont="1" applyBorder="1"/>
    <xf numFmtId="0" fontId="3" fillId="0" borderId="0" xfId="0" quotePrefix="1" applyFont="1"/>
    <xf numFmtId="3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3" fontId="2" fillId="0" borderId="0" xfId="0" quotePrefix="1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27248</xdr:colOff>
      <xdr:row>0</xdr:row>
      <xdr:rowOff>0</xdr:rowOff>
    </xdr:from>
    <xdr:to>
      <xdr:col>91</xdr:col>
      <xdr:colOff>27248</xdr:colOff>
      <xdr:row>160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5819936" y="0"/>
          <a:ext cx="0" cy="25756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29226</xdr:colOff>
      <xdr:row>0</xdr:row>
      <xdr:rowOff>0</xdr:rowOff>
    </xdr:from>
    <xdr:to>
      <xdr:col>110</xdr:col>
      <xdr:colOff>29226</xdr:colOff>
      <xdr:row>132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70917123" y="0"/>
          <a:ext cx="0" cy="20873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F5" dT="2025-01-15T14:25:47.58" personId="{FC08182D-8126-43D2-AFE1-095FC8F8A0A3}" id="{F5A3DAFE-87D9-4387-8716-C78969447BE1}">
    <text>Q3: 7.4B</text>
  </threadedComment>
  <threadedComment ref="DF7" dT="2025-01-15T14:25:59.30" personId="{FC08182D-8126-43D2-AFE1-095FC8F8A0A3}" id="{E9026D9B-4438-4C52-996A-6DCC1FEC4F47}">
    <text>Q3: 3.3B</text>
  </threadedComment>
  <threadedComment ref="DF8" dT="2025-01-15T14:26:23.35" personId="{FC08182D-8126-43D2-AFE1-095FC8F8A0A3}" id="{81ADF01A-AE54-41D1-8178-280B2E1FC798}">
    <text>Q3: 11.5B</text>
  </threadedComment>
  <threadedComment ref="DF10" dT="2025-01-15T16:26:01.64" personId="{FC08182D-8126-43D2-AFE1-095FC8F8A0A3}" id="{664FB178-7500-41CF-9816-714751E68D3F}">
    <text>Q3: 3.3B</text>
  </threadedComment>
  <threadedComment ref="DF12" dT="2025-01-15T16:25:21.96" personId="{FC08182D-8126-43D2-AFE1-095FC8F8A0A3}" id="{A8DE2913-C822-4DDD-B718-6248CF0F3309}">
    <text>Q3: 2.6B</text>
  </threadedComment>
  <threadedComment ref="DF13" dT="2025-01-15T14:25:40.46" personId="{FC08182D-8126-43D2-AFE1-095FC8F8A0A3}" id="{669AB0A2-7280-49D1-869B-DFDE8B5A7098}">
    <text>Q3: 5.8B guidance</text>
  </threadedComment>
  <threadedComment ref="DF14" dT="2025-01-15T16:25:44.98" personId="{FC08182D-8126-43D2-AFE1-095FC8F8A0A3}" id="{1B2D4A2C-84F6-473C-92C8-D40FA2BAB418}">
    <text>Q3: 3.3B</text>
  </threadedComment>
  <threadedComment ref="CD31" dT="2025-03-05T14:22:34.27" personId="{FC08182D-8126-43D2-AFE1-095FC8F8A0A3}" id="{C0F9A38F-F696-44AB-AE15-260766128395}">
    <text>Q1, Q4 not disclosed</text>
  </threadedComment>
  <threadedComment ref="DO33" dT="2025-01-13T20:01:08.76" personId="{FC08182D-8126-43D2-AFE1-095FC8F8A0A3}" id="{00BB85D3-10C6-41A5-89A6-7AC02D1AEDC7}">
    <text>Q324: expect &gt;1B revenue</text>
  </threadedComment>
  <threadedComment ref="BW57" dT="2023-02-08T20:32:20.25" personId="{FC08182D-8126-43D2-AFE1-095FC8F8A0A3}" id="{1495FD4C-6EA2-462D-A285-0CE1207F95E3}">
    <text>13010 10-Q</text>
  </threadedComment>
  <threadedComment ref="CL57" dT="2025-01-15T16:26:49.52" personId="{FC08182D-8126-43D2-AFE1-095FC8F8A0A3}" id="{14CB8E78-2384-4A70-BC00-83FD5D0B9975}">
    <text>Q3: 14.8B</text>
  </threadedComment>
  <threadedComment ref="CC68" dT="2023-01-03T05:48:05.07" personId="{FC08182D-8126-43D2-AFE1-095FC8F8A0A3}" id="{4684B382-7B1E-4F51-8AE6-3C2F21BB4B83}">
    <text>ADJ EPS 3.66</text>
  </threadedComment>
  <threadedComment ref="CL68" dT="2025-01-15T16:27:06.47" personId="{FC08182D-8126-43D2-AFE1-095FC8F8A0A3}" id="{51458D24-72B5-48B3-AB70-2D4E05E3A282}">
    <text>Q3: 2.94 - 2.98 does not include IPRD?</text>
  </threadedComment>
  <threadedComment ref="DD68" dT="2022-07-29T13:57:20.53" personId="{FC08182D-8126-43D2-AFE1-095FC8F8A0A3}" id="{664741F6-5634-463A-B649-C44AD48AAA09}">
    <text>Q222 guidance: 13.78-13.98 reaffirmed
Q322 guidance: 13.84-13.88</text>
  </threadedComment>
  <threadedComment ref="DE68" dT="2023-02-14T04:07:40.83" personId="{FC08182D-8126-43D2-AFE1-095FC8F8A0A3}" id="{A4B38560-E0C3-4F72-B4F8-127C423939FF}">
    <text>Q422: 2023 guidance of 10.70-11.10</text>
  </threadedComment>
  <threadedComment ref="DF68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DG71" dT="2025-01-15T16:30:11.57" personId="{FC08182D-8126-43D2-AFE1-095FC8F8A0A3}" id="{508AA4C9-BFB6-4DA9-A43F-84D9681BF928}">
    <text>Q3: mid single digit revenue growth</text>
  </threadedComment>
  <threadedComment ref="DF83" dT="2025-01-15T16:26:23.22" personId="{FC08182D-8126-43D2-AFE1-095FC8F8A0A3}" id="{E45AEBEE-2692-4F2B-BEE1-4D1C8784EA40}">
    <text>Q3: 84%</text>
  </threadedComment>
  <threadedComment ref="CI116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147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148</v>
      </c>
    </row>
    <row r="10" spans="1:6" x14ac:dyDescent="0.2">
      <c r="B10" s="37" t="s">
        <v>166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188</v>
      </c>
    </row>
    <row r="13" spans="1:6" x14ac:dyDescent="0.2">
      <c r="B13" s="41" t="s">
        <v>190</v>
      </c>
      <c r="C13" s="41" t="s">
        <v>191</v>
      </c>
    </row>
    <row r="18" spans="2:6" x14ac:dyDescent="0.2">
      <c r="C18" s="27" t="s">
        <v>28</v>
      </c>
      <c r="D18" s="27" t="s">
        <v>149</v>
      </c>
      <c r="E18" s="37" t="s">
        <v>171</v>
      </c>
    </row>
    <row r="19" spans="2:6" x14ac:dyDescent="0.2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195</v>
      </c>
      <c r="F21" s="41" t="s">
        <v>196</v>
      </c>
    </row>
    <row r="22" spans="2:6" x14ac:dyDescent="0.2">
      <c r="B22" s="41" t="s">
        <v>67</v>
      </c>
      <c r="E22" s="41" t="s">
        <v>220</v>
      </c>
      <c r="F22" s="41" t="s">
        <v>219</v>
      </c>
    </row>
    <row r="25" spans="2:6" x14ac:dyDescent="0.2">
      <c r="B25" s="83" t="s">
        <v>354</v>
      </c>
      <c r="C25" s="84" t="s">
        <v>46</v>
      </c>
      <c r="D25" s="105" t="s">
        <v>474</v>
      </c>
      <c r="E25" s="84" t="s">
        <v>355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2.5703125" style="111" bestFit="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</row>
    <row r="3" spans="1:4" x14ac:dyDescent="0.2">
      <c r="B3" s="111" t="s">
        <v>189</v>
      </c>
      <c r="C3" s="111" t="s">
        <v>340</v>
      </c>
    </row>
    <row r="4" spans="1:4" x14ac:dyDescent="0.2">
      <c r="B4" s="111" t="s">
        <v>27</v>
      </c>
      <c r="C4" s="111" t="s">
        <v>341</v>
      </c>
    </row>
    <row r="5" spans="1:4" x14ac:dyDescent="0.2">
      <c r="B5" s="111" t="s">
        <v>36</v>
      </c>
      <c r="C5" s="111" t="s">
        <v>568</v>
      </c>
    </row>
    <row r="6" spans="1:4" x14ac:dyDescent="0.2">
      <c r="B6" s="111" t="s">
        <v>33</v>
      </c>
      <c r="C6" s="111" t="s">
        <v>567</v>
      </c>
    </row>
    <row r="7" spans="1:4" x14ac:dyDescent="0.2">
      <c r="B7" s="111" t="s">
        <v>227</v>
      </c>
    </row>
    <row r="8" spans="1:4" x14ac:dyDescent="0.2">
      <c r="C8" s="86" t="s">
        <v>562</v>
      </c>
    </row>
    <row r="9" spans="1:4" x14ac:dyDescent="0.2">
      <c r="C9" s="111" t="s">
        <v>563</v>
      </c>
      <c r="D9" s="111">
        <v>-13.5</v>
      </c>
    </row>
    <row r="10" spans="1:4" x14ac:dyDescent="0.2">
      <c r="C10" s="111" t="s">
        <v>564</v>
      </c>
      <c r="D10" s="111">
        <v>-14.7</v>
      </c>
    </row>
    <row r="11" spans="1:4" x14ac:dyDescent="0.2">
      <c r="C11" s="111" t="s">
        <v>565</v>
      </c>
      <c r="D11" s="111">
        <v>-16.5</v>
      </c>
    </row>
    <row r="13" spans="1:4" x14ac:dyDescent="0.2">
      <c r="C13" s="86" t="s">
        <v>566</v>
      </c>
    </row>
    <row r="14" spans="1:4" x14ac:dyDescent="0.2">
      <c r="C14" s="111" t="s">
        <v>563</v>
      </c>
      <c r="D14" s="111">
        <v>-16.100000000000001</v>
      </c>
    </row>
    <row r="15" spans="1:4" x14ac:dyDescent="0.2">
      <c r="C15" s="111" t="s">
        <v>564</v>
      </c>
      <c r="D15" s="111">
        <v>-18.5</v>
      </c>
    </row>
    <row r="16" spans="1:4" x14ac:dyDescent="0.2">
      <c r="C16" s="111" t="s">
        <v>565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3.42578125" style="11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  <c r="C2" s="111" t="s">
        <v>401</v>
      </c>
    </row>
    <row r="3" spans="1:4" x14ac:dyDescent="0.2">
      <c r="B3" s="111" t="s">
        <v>189</v>
      </c>
      <c r="C3" s="111" t="s">
        <v>402</v>
      </c>
    </row>
    <row r="4" spans="1:4" x14ac:dyDescent="0.2">
      <c r="B4" s="111" t="s">
        <v>27</v>
      </c>
      <c r="C4" s="111" t="s">
        <v>403</v>
      </c>
    </row>
    <row r="5" spans="1:4" x14ac:dyDescent="0.2">
      <c r="B5" s="111" t="s">
        <v>286</v>
      </c>
      <c r="C5" s="111" t="s">
        <v>470</v>
      </c>
    </row>
    <row r="6" spans="1:4" x14ac:dyDescent="0.2">
      <c r="B6" s="111" t="s">
        <v>185</v>
      </c>
      <c r="C6" s="111" t="s">
        <v>471</v>
      </c>
    </row>
    <row r="7" spans="1:4" x14ac:dyDescent="0.2">
      <c r="B7" s="111" t="s">
        <v>472</v>
      </c>
      <c r="C7" s="111" t="s">
        <v>473</v>
      </c>
    </row>
    <row r="8" spans="1:4" x14ac:dyDescent="0.2">
      <c r="B8" s="111" t="s">
        <v>36</v>
      </c>
      <c r="C8" s="111" t="s">
        <v>308</v>
      </c>
    </row>
    <row r="9" spans="1:4" x14ac:dyDescent="0.2">
      <c r="B9" s="111" t="s">
        <v>227</v>
      </c>
    </row>
    <row r="10" spans="1:4" x14ac:dyDescent="0.2">
      <c r="C10" s="86" t="s">
        <v>519</v>
      </c>
    </row>
    <row r="11" spans="1:4" x14ac:dyDescent="0.2">
      <c r="C11" s="111" t="s">
        <v>516</v>
      </c>
    </row>
    <row r="12" spans="1:4" x14ac:dyDescent="0.2">
      <c r="C12" s="111" t="s">
        <v>513</v>
      </c>
    </row>
    <row r="13" spans="1:4" x14ac:dyDescent="0.2">
      <c r="C13" s="115" t="s">
        <v>514</v>
      </c>
    </row>
    <row r="14" spans="1:4" x14ac:dyDescent="0.2">
      <c r="C14" s="115"/>
      <c r="D14" s="111" t="s">
        <v>518</v>
      </c>
    </row>
    <row r="16" spans="1:4" x14ac:dyDescent="0.2">
      <c r="C16" s="86" t="s">
        <v>520</v>
      </c>
    </row>
    <row r="17" spans="3:4" x14ac:dyDescent="0.2">
      <c r="C17" s="111" t="s">
        <v>515</v>
      </c>
    </row>
    <row r="19" spans="3:4" x14ac:dyDescent="0.2">
      <c r="D19" s="86" t="s">
        <v>531</v>
      </c>
    </row>
    <row r="20" spans="3:4" x14ac:dyDescent="0.2">
      <c r="D20" s="111" t="s">
        <v>530</v>
      </c>
    </row>
    <row r="22" spans="3:4" x14ac:dyDescent="0.2">
      <c r="C22" s="86" t="s">
        <v>533</v>
      </c>
    </row>
    <row r="23" spans="3:4" x14ac:dyDescent="0.2">
      <c r="C23" s="111" t="s">
        <v>532</v>
      </c>
    </row>
    <row r="25" spans="3:4" x14ac:dyDescent="0.2">
      <c r="C25" s="111" t="s">
        <v>534</v>
      </c>
    </row>
    <row r="26" spans="3:4" x14ac:dyDescent="0.2">
      <c r="C26" s="111" t="s">
        <v>535</v>
      </c>
    </row>
    <row r="27" spans="3:4" x14ac:dyDescent="0.2">
      <c r="C27" s="111" t="s">
        <v>536</v>
      </c>
    </row>
    <row r="28" spans="3:4" x14ac:dyDescent="0.2">
      <c r="C28" s="111" t="s">
        <v>537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482</v>
      </c>
    </row>
    <row r="3" spans="1:3" x14ac:dyDescent="0.2">
      <c r="B3" s="104" t="s">
        <v>189</v>
      </c>
      <c r="C3" s="104" t="s">
        <v>478</v>
      </c>
    </row>
    <row r="4" spans="1:3" x14ac:dyDescent="0.2">
      <c r="B4" s="104" t="s">
        <v>185</v>
      </c>
      <c r="C4" s="104" t="s">
        <v>479</v>
      </c>
    </row>
    <row r="5" spans="1:3" x14ac:dyDescent="0.2">
      <c r="B5" s="104" t="s">
        <v>27</v>
      </c>
      <c r="C5" s="104" t="s">
        <v>480</v>
      </c>
    </row>
    <row r="6" spans="1:3" x14ac:dyDescent="0.2">
      <c r="B6" s="111" t="s">
        <v>465</v>
      </c>
      <c r="C6" s="111" t="s">
        <v>622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117</v>
      </c>
    </row>
    <row r="3" spans="1:3" x14ac:dyDescent="0.2">
      <c r="B3" s="104" t="s">
        <v>189</v>
      </c>
      <c r="C3" s="104" t="s">
        <v>491</v>
      </c>
    </row>
    <row r="4" spans="1:3" x14ac:dyDescent="0.2">
      <c r="B4" s="104" t="s">
        <v>27</v>
      </c>
      <c r="C4" s="104" t="s">
        <v>497</v>
      </c>
    </row>
    <row r="5" spans="1:3" x14ac:dyDescent="0.2">
      <c r="B5" s="104" t="s">
        <v>33</v>
      </c>
      <c r="C5" s="104" t="s">
        <v>492</v>
      </c>
    </row>
    <row r="6" spans="1:3" x14ac:dyDescent="0.2">
      <c r="B6" s="104" t="s">
        <v>36</v>
      </c>
      <c r="C6" s="104" t="s">
        <v>165</v>
      </c>
    </row>
    <row r="7" spans="1:3" x14ac:dyDescent="0.2">
      <c r="B7" s="104" t="s">
        <v>185</v>
      </c>
      <c r="C7" s="104" t="s">
        <v>493</v>
      </c>
    </row>
    <row r="8" spans="1:3" x14ac:dyDescent="0.2">
      <c r="B8" s="104" t="s">
        <v>465</v>
      </c>
      <c r="C8" s="104" t="s">
        <v>496</v>
      </c>
    </row>
    <row r="9" spans="1:3" x14ac:dyDescent="0.2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40625"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</row>
    <row r="3" spans="1:3" x14ac:dyDescent="0.2">
      <c r="B3" s="102" t="s">
        <v>189</v>
      </c>
      <c r="C3" s="102" t="s">
        <v>461</v>
      </c>
    </row>
    <row r="4" spans="1:3" x14ac:dyDescent="0.2">
      <c r="B4" s="102" t="s">
        <v>27</v>
      </c>
      <c r="C4" s="102" t="s">
        <v>467</v>
      </c>
    </row>
    <row r="5" spans="1:3" x14ac:dyDescent="0.2">
      <c r="B5" s="111" t="s">
        <v>472</v>
      </c>
      <c r="C5" s="111" t="s">
        <v>523</v>
      </c>
    </row>
    <row r="6" spans="1:3" x14ac:dyDescent="0.2">
      <c r="B6" s="111" t="s">
        <v>465</v>
      </c>
      <c r="C6" s="111" t="s">
        <v>526</v>
      </c>
    </row>
    <row r="7" spans="1:3" x14ac:dyDescent="0.2">
      <c r="B7" s="111" t="s">
        <v>288</v>
      </c>
      <c r="C7" s="111" t="s">
        <v>524</v>
      </c>
    </row>
    <row r="8" spans="1:3" x14ac:dyDescent="0.2">
      <c r="B8" s="102" t="s">
        <v>227</v>
      </c>
    </row>
    <row r="9" spans="1:3" x14ac:dyDescent="0.2">
      <c r="C9" s="86" t="s">
        <v>636</v>
      </c>
    </row>
    <row r="10" spans="1:3" x14ac:dyDescent="0.2">
      <c r="C10" s="102" t="s">
        <v>468</v>
      </c>
    </row>
    <row r="11" spans="1:3" x14ac:dyDescent="0.2">
      <c r="C11" s="111" t="s">
        <v>638</v>
      </c>
    </row>
    <row r="13" spans="1:3" x14ac:dyDescent="0.2">
      <c r="C13" s="86" t="s">
        <v>637</v>
      </c>
    </row>
    <row r="14" spans="1:3" x14ac:dyDescent="0.2">
      <c r="C14" s="111" t="s">
        <v>521</v>
      </c>
    </row>
    <row r="15" spans="1:3" x14ac:dyDescent="0.2">
      <c r="C15" s="111" t="s">
        <v>522</v>
      </c>
    </row>
    <row r="18" spans="3:3" x14ac:dyDescent="0.2">
      <c r="C18" s="86" t="s">
        <v>639</v>
      </c>
    </row>
    <row r="19" spans="3:3" x14ac:dyDescent="0.2">
      <c r="C19" s="86"/>
    </row>
    <row r="20" spans="3:3" x14ac:dyDescent="0.2">
      <c r="C20" s="86"/>
    </row>
    <row r="21" spans="3:3" x14ac:dyDescent="0.2">
      <c r="C21" s="86"/>
    </row>
    <row r="22" spans="3:3" x14ac:dyDescent="0.2">
      <c r="C22" s="86"/>
    </row>
    <row r="23" spans="3:3" x14ac:dyDescent="0.2">
      <c r="C23" s="111" t="s">
        <v>525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40625" defaultRowHeight="12.75" x14ac:dyDescent="0.2"/>
  <cols>
    <col min="1" max="1" width="5.42578125" style="104" bestFit="1" customWidth="1"/>
    <col min="2" max="2" width="12.570312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</row>
    <row r="3" spans="1:3" x14ac:dyDescent="0.2">
      <c r="B3" s="104" t="s">
        <v>189</v>
      </c>
      <c r="C3" s="104" t="s">
        <v>310</v>
      </c>
    </row>
    <row r="4" spans="1:3" x14ac:dyDescent="0.2">
      <c r="B4" s="104" t="s">
        <v>27</v>
      </c>
      <c r="C4" s="104" t="s">
        <v>500</v>
      </c>
    </row>
    <row r="5" spans="1:3" x14ac:dyDescent="0.2">
      <c r="B5" s="104" t="s">
        <v>465</v>
      </c>
      <c r="C5" s="104" t="s">
        <v>501</v>
      </c>
    </row>
    <row r="6" spans="1:3" x14ac:dyDescent="0.2">
      <c r="B6" s="111" t="s">
        <v>33</v>
      </c>
      <c r="C6" s="111" t="s">
        <v>631</v>
      </c>
    </row>
    <row r="7" spans="1:3" x14ac:dyDescent="0.2">
      <c r="B7" s="111"/>
      <c r="C7" s="111" t="s">
        <v>632</v>
      </c>
    </row>
    <row r="8" spans="1:3" x14ac:dyDescent="0.2">
      <c r="B8" s="104" t="s">
        <v>227</v>
      </c>
    </row>
    <row r="9" spans="1:3" x14ac:dyDescent="0.2">
      <c r="C9" s="86" t="s">
        <v>633</v>
      </c>
    </row>
    <row r="14" spans="1:3" x14ac:dyDescent="0.2">
      <c r="C14" s="86" t="s">
        <v>499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zoomScale="115" zoomScaleNormal="115" workbookViewId="0">
      <selection activeCell="L7" sqref="L7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1" spans="1:12" x14ac:dyDescent="0.2">
      <c r="A1" s="111"/>
    </row>
    <row r="2" spans="1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1:12" x14ac:dyDescent="0.2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27" t="s">
        <v>453</v>
      </c>
    </row>
    <row r="4" spans="1:12" x14ac:dyDescent="0.2">
      <c r="B4" s="21" t="s">
        <v>208</v>
      </c>
      <c r="C4" s="57" t="s">
        <v>265</v>
      </c>
      <c r="D4" s="64">
        <v>33581</v>
      </c>
      <c r="E4" s="57" t="s">
        <v>266</v>
      </c>
      <c r="F4" s="10">
        <v>1</v>
      </c>
      <c r="G4" s="57" t="s">
        <v>186</v>
      </c>
      <c r="H4" s="58" t="s">
        <v>267</v>
      </c>
      <c r="J4" s="1" t="s">
        <v>49</v>
      </c>
      <c r="K4" s="15">
        <f>+K3*K2</f>
        <v>310100</v>
      </c>
      <c r="L4" s="2"/>
    </row>
    <row r="5" spans="1:12" x14ac:dyDescent="0.2">
      <c r="B5" s="21" t="s">
        <v>159</v>
      </c>
      <c r="C5" s="57" t="s">
        <v>262</v>
      </c>
      <c r="D5" s="19">
        <v>41591</v>
      </c>
      <c r="E5" s="57" t="s">
        <v>263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5463</v>
      </c>
      <c r="L5" s="127" t="s">
        <v>453</v>
      </c>
    </row>
    <row r="6" spans="1:12" x14ac:dyDescent="0.2">
      <c r="B6" s="21" t="s">
        <v>162</v>
      </c>
      <c r="C6" s="124" t="s">
        <v>662</v>
      </c>
      <c r="D6" s="19">
        <v>43578</v>
      </c>
      <c r="E6" s="38" t="s">
        <v>222</v>
      </c>
      <c r="F6" s="59" t="s">
        <v>257</v>
      </c>
      <c r="G6" s="57" t="s">
        <v>186</v>
      </c>
      <c r="H6" s="58" t="s">
        <v>72</v>
      </c>
      <c r="J6" s="1" t="s">
        <v>51</v>
      </c>
      <c r="K6" s="15">
        <v>69889</v>
      </c>
      <c r="L6" s="127" t="s">
        <v>453</v>
      </c>
    </row>
    <row r="7" spans="1:12" x14ac:dyDescent="0.2">
      <c r="B7" s="21" t="s">
        <v>178</v>
      </c>
      <c r="C7" s="124" t="s">
        <v>663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374526</v>
      </c>
    </row>
    <row r="8" spans="1:12" x14ac:dyDescent="0.2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268</v>
      </c>
    </row>
    <row r="9" spans="1:12" x14ac:dyDescent="0.2">
      <c r="B9" s="61" t="s">
        <v>269</v>
      </c>
      <c r="C9" s="57" t="s">
        <v>270</v>
      </c>
      <c r="D9" s="19">
        <v>32534</v>
      </c>
      <c r="E9" s="9"/>
      <c r="F9" s="57" t="s">
        <v>271</v>
      </c>
      <c r="G9" s="57" t="s">
        <v>272</v>
      </c>
      <c r="H9" s="11"/>
    </row>
    <row r="10" spans="1:12" x14ac:dyDescent="0.2">
      <c r="B10" s="61" t="s">
        <v>273</v>
      </c>
      <c r="C10" s="57" t="s">
        <v>275</v>
      </c>
      <c r="D10" s="19">
        <v>37461</v>
      </c>
      <c r="E10" s="9"/>
      <c r="F10" s="84" t="s">
        <v>332</v>
      </c>
      <c r="G10" s="38" t="s">
        <v>187</v>
      </c>
      <c r="H10" s="11"/>
    </row>
    <row r="11" spans="1:12" x14ac:dyDescent="0.2">
      <c r="B11" s="77" t="s">
        <v>6</v>
      </c>
      <c r="C11" s="57" t="s">
        <v>274</v>
      </c>
      <c r="D11" s="9"/>
      <c r="E11" s="9"/>
      <c r="F11" s="84" t="s">
        <v>332</v>
      </c>
      <c r="G11" s="38" t="s">
        <v>187</v>
      </c>
      <c r="H11" s="11"/>
    </row>
    <row r="12" spans="1:12" x14ac:dyDescent="0.2">
      <c r="B12" s="61" t="s">
        <v>277</v>
      </c>
      <c r="C12" s="57" t="s">
        <v>278</v>
      </c>
      <c r="D12" s="9"/>
      <c r="E12" s="9"/>
      <c r="F12" s="9"/>
      <c r="G12" s="57" t="s">
        <v>280</v>
      </c>
      <c r="H12" s="11"/>
    </row>
    <row r="13" spans="1:12" x14ac:dyDescent="0.2">
      <c r="B13" s="61" t="s">
        <v>276</v>
      </c>
      <c r="C13" s="57" t="s">
        <v>205</v>
      </c>
      <c r="D13" s="9"/>
      <c r="E13" s="9"/>
      <c r="F13" s="9"/>
      <c r="G13" s="9"/>
      <c r="H13" s="11"/>
      <c r="J13" s="89" t="s">
        <v>384</v>
      </c>
    </row>
    <row r="14" spans="1:12" x14ac:dyDescent="0.2">
      <c r="B14" s="61" t="s">
        <v>264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314</v>
      </c>
    </row>
    <row r="15" spans="1:12" x14ac:dyDescent="0.2">
      <c r="B15" s="39" t="s">
        <v>206</v>
      </c>
      <c r="C15" s="38" t="s">
        <v>207</v>
      </c>
      <c r="D15" s="9"/>
      <c r="E15" s="57" t="s">
        <v>279</v>
      </c>
      <c r="F15" s="10">
        <v>1</v>
      </c>
      <c r="G15" s="57" t="s">
        <v>187</v>
      </c>
      <c r="H15" s="11"/>
      <c r="J15" s="111" t="s">
        <v>510</v>
      </c>
    </row>
    <row r="16" spans="1:12" x14ac:dyDescent="0.2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517</v>
      </c>
    </row>
    <row r="17" spans="2:10" x14ac:dyDescent="0.2">
      <c r="B17" s="21" t="s">
        <v>329</v>
      </c>
      <c r="C17" s="84" t="s">
        <v>65</v>
      </c>
      <c r="D17" s="9"/>
      <c r="E17" s="103" t="s">
        <v>459</v>
      </c>
      <c r="F17" s="10"/>
      <c r="G17" s="103" t="s">
        <v>460</v>
      </c>
      <c r="H17" s="11"/>
      <c r="J17" s="111" t="s">
        <v>545</v>
      </c>
    </row>
    <row r="18" spans="2:10" x14ac:dyDescent="0.2">
      <c r="B18" s="39" t="s">
        <v>210</v>
      </c>
      <c r="C18" s="38" t="s">
        <v>211</v>
      </c>
      <c r="D18" s="9"/>
      <c r="E18" s="9"/>
      <c r="F18" s="10"/>
      <c r="G18" s="57" t="s">
        <v>280</v>
      </c>
      <c r="H18" s="11"/>
      <c r="J18" s="111" t="s">
        <v>570</v>
      </c>
    </row>
    <row r="19" spans="2:10" x14ac:dyDescent="0.2">
      <c r="B19" s="21" t="s">
        <v>330</v>
      </c>
      <c r="C19" s="84" t="s">
        <v>331</v>
      </c>
      <c r="D19" s="113">
        <v>45065</v>
      </c>
      <c r="E19" s="68" t="s">
        <v>309</v>
      </c>
      <c r="F19" s="67" t="s">
        <v>308</v>
      </c>
      <c r="G19" s="114" t="s">
        <v>460</v>
      </c>
      <c r="H19" s="11"/>
      <c r="J19" s="111" t="s">
        <v>624</v>
      </c>
    </row>
    <row r="20" spans="2:10" x14ac:dyDescent="0.2">
      <c r="B20" s="116" t="s">
        <v>625</v>
      </c>
      <c r="C20" s="114" t="s">
        <v>626</v>
      </c>
      <c r="D20" s="9"/>
      <c r="E20" s="57" t="s">
        <v>284</v>
      </c>
      <c r="F20" s="10"/>
      <c r="G20" s="57"/>
      <c r="H20" s="11"/>
      <c r="J20" s="111" t="s">
        <v>644</v>
      </c>
    </row>
    <row r="21" spans="2:10" x14ac:dyDescent="0.2">
      <c r="B21" s="39" t="s">
        <v>212</v>
      </c>
      <c r="C21" s="38" t="s">
        <v>213</v>
      </c>
      <c r="D21" s="9"/>
      <c r="E21" s="9"/>
      <c r="F21" s="10"/>
      <c r="G21" s="57" t="s">
        <v>280</v>
      </c>
      <c r="H21" s="11"/>
      <c r="J21" s="88"/>
    </row>
    <row r="22" spans="2:10" x14ac:dyDescent="0.2">
      <c r="B22" s="21" t="s">
        <v>481</v>
      </c>
      <c r="C22" s="38" t="s">
        <v>205</v>
      </c>
      <c r="D22" s="84" t="s">
        <v>343</v>
      </c>
      <c r="E22" s="84" t="s">
        <v>344</v>
      </c>
      <c r="F22" s="10">
        <v>1</v>
      </c>
      <c r="G22" s="9"/>
      <c r="H22" s="11"/>
    </row>
    <row r="23" spans="2:10" x14ac:dyDescent="0.2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21" t="s">
        <v>310</v>
      </c>
      <c r="C25" s="68" t="s">
        <v>311</v>
      </c>
      <c r="D25" s="105" t="s">
        <v>502</v>
      </c>
      <c r="E25" s="84" t="s">
        <v>381</v>
      </c>
      <c r="F25" s="67"/>
      <c r="G25" s="105" t="s">
        <v>460</v>
      </c>
      <c r="H25" s="11"/>
    </row>
    <row r="26" spans="2:10" x14ac:dyDescent="0.2">
      <c r="B26" s="108" t="s">
        <v>503</v>
      </c>
      <c r="C26" s="105" t="s">
        <v>504</v>
      </c>
      <c r="D26" s="114" t="s">
        <v>64</v>
      </c>
      <c r="E26" s="114" t="s">
        <v>610</v>
      </c>
      <c r="F26" s="9"/>
      <c r="G26" s="9"/>
      <c r="H26" s="11"/>
    </row>
    <row r="27" spans="2:10" x14ac:dyDescent="0.2">
      <c r="B27" s="21" t="s">
        <v>461</v>
      </c>
      <c r="C27" s="103" t="s">
        <v>205</v>
      </c>
      <c r="D27" s="114" t="s">
        <v>527</v>
      </c>
      <c r="E27" s="103" t="s">
        <v>462</v>
      </c>
      <c r="F27" s="9"/>
      <c r="G27" s="114" t="s">
        <v>187</v>
      </c>
      <c r="H27" s="11"/>
    </row>
    <row r="28" spans="2:10" s="111" customFormat="1" x14ac:dyDescent="0.2">
      <c r="B28" s="120" t="s">
        <v>340</v>
      </c>
      <c r="C28" s="117" t="s">
        <v>341</v>
      </c>
      <c r="D28" s="117" t="s">
        <v>64</v>
      </c>
      <c r="E28" s="117" t="s">
        <v>342</v>
      </c>
      <c r="F28" s="118"/>
      <c r="G28" s="117" t="s">
        <v>187</v>
      </c>
      <c r="H28" s="119"/>
    </row>
    <row r="29" spans="2:10" x14ac:dyDescent="0.2">
      <c r="B29" s="66" t="s">
        <v>312</v>
      </c>
      <c r="C29" s="68" t="s">
        <v>313</v>
      </c>
      <c r="D29" s="84" t="s">
        <v>380</v>
      </c>
      <c r="E29" s="68"/>
      <c r="F29" s="67"/>
      <c r="G29" s="9"/>
      <c r="H29" s="11"/>
    </row>
    <row r="30" spans="2:10" x14ac:dyDescent="0.2">
      <c r="B30" s="116" t="s">
        <v>607</v>
      </c>
      <c r="C30" s="84" t="s">
        <v>378</v>
      </c>
      <c r="D30" s="92" t="s">
        <v>380</v>
      </c>
      <c r="E30" s="84" t="s">
        <v>379</v>
      </c>
      <c r="F30" s="9"/>
      <c r="G30" s="9"/>
      <c r="H30" s="11"/>
    </row>
    <row r="31" spans="2:10" x14ac:dyDescent="0.2">
      <c r="B31" s="116" t="s">
        <v>546</v>
      </c>
      <c r="C31" s="114" t="s">
        <v>548</v>
      </c>
      <c r="D31" s="114" t="s">
        <v>380</v>
      </c>
      <c r="E31" s="114" t="s">
        <v>550</v>
      </c>
      <c r="F31" s="114" t="s">
        <v>547</v>
      </c>
      <c r="G31" s="114" t="s">
        <v>551</v>
      </c>
      <c r="H31" s="11"/>
    </row>
    <row r="32" spans="2:10" x14ac:dyDescent="0.2">
      <c r="B32" s="83" t="s">
        <v>382</v>
      </c>
      <c r="C32" s="114" t="s">
        <v>583</v>
      </c>
      <c r="D32" s="114" t="s">
        <v>380</v>
      </c>
      <c r="E32" s="38" t="s">
        <v>197</v>
      </c>
      <c r="F32" s="10">
        <v>1</v>
      </c>
      <c r="G32" s="9"/>
      <c r="H32" s="11"/>
    </row>
    <row r="33" spans="2:8" x14ac:dyDescent="0.2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">
      <c r="B35" s="75" t="s">
        <v>319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">
      <c r="B36" s="83" t="s">
        <v>368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">
      <c r="B37" s="116" t="s">
        <v>575</v>
      </c>
      <c r="C37" s="38"/>
      <c r="D37" s="114" t="s">
        <v>64</v>
      </c>
      <c r="E37" s="114" t="s">
        <v>576</v>
      </c>
      <c r="F37" s="10">
        <v>1</v>
      </c>
      <c r="G37" s="9"/>
      <c r="H37" s="11"/>
    </row>
    <row r="38" spans="2:8" x14ac:dyDescent="0.2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">
      <c r="B41" s="116" t="s">
        <v>585</v>
      </c>
      <c r="C41" s="38" t="s">
        <v>205</v>
      </c>
      <c r="D41" s="114" t="s">
        <v>182</v>
      </c>
      <c r="E41" s="114" t="s">
        <v>586</v>
      </c>
      <c r="F41" s="10">
        <v>1</v>
      </c>
      <c r="G41" s="9"/>
      <c r="H41" s="11"/>
    </row>
    <row r="42" spans="2:8" x14ac:dyDescent="0.2">
      <c r="B42" s="116" t="s">
        <v>578</v>
      </c>
      <c r="C42" s="114" t="s">
        <v>395</v>
      </c>
      <c r="D42" s="114" t="s">
        <v>182</v>
      </c>
      <c r="E42" s="114" t="s">
        <v>399</v>
      </c>
      <c r="F42" s="10">
        <v>1</v>
      </c>
      <c r="G42" s="9"/>
      <c r="H42" s="11"/>
    </row>
    <row r="43" spans="2:8" x14ac:dyDescent="0.2">
      <c r="B43" s="83" t="s">
        <v>369</v>
      </c>
      <c r="C43" s="84" t="s">
        <v>195</v>
      </c>
      <c r="D43" s="114" t="s">
        <v>64</v>
      </c>
      <c r="E43" s="84" t="s">
        <v>370</v>
      </c>
      <c r="F43" s="10">
        <v>1</v>
      </c>
      <c r="G43" s="9"/>
      <c r="H43" s="11"/>
    </row>
    <row r="44" spans="2:8" x14ac:dyDescent="0.2">
      <c r="B44" s="83" t="s">
        <v>371</v>
      </c>
      <c r="C44" s="84" t="s">
        <v>195</v>
      </c>
      <c r="D44" s="84" t="s">
        <v>64</v>
      </c>
      <c r="E44" s="114" t="s">
        <v>372</v>
      </c>
      <c r="F44" s="10"/>
      <c r="G44" s="9"/>
      <c r="H44" s="11"/>
    </row>
    <row r="45" spans="2:8" x14ac:dyDescent="0.2">
      <c r="B45" s="91" t="s">
        <v>391</v>
      </c>
      <c r="C45" s="92" t="s">
        <v>392</v>
      </c>
      <c r="D45" s="84"/>
      <c r="E45" s="114" t="s">
        <v>577</v>
      </c>
      <c r="F45" s="93" t="s">
        <v>393</v>
      </c>
      <c r="G45" s="9"/>
      <c r="H45" s="11"/>
    </row>
    <row r="46" spans="2:8" x14ac:dyDescent="0.2">
      <c r="B46" s="91" t="s">
        <v>394</v>
      </c>
      <c r="C46" s="92" t="s">
        <v>395</v>
      </c>
      <c r="D46" s="84"/>
      <c r="E46" s="92" t="s">
        <v>396</v>
      </c>
      <c r="F46" s="93" t="s">
        <v>397</v>
      </c>
      <c r="G46" s="9"/>
      <c r="H46" s="11"/>
    </row>
    <row r="47" spans="2:8" x14ac:dyDescent="0.2">
      <c r="B47" s="91" t="s">
        <v>398</v>
      </c>
      <c r="C47" s="92"/>
      <c r="D47" s="92" t="s">
        <v>182</v>
      </c>
      <c r="E47" s="92" t="s">
        <v>399</v>
      </c>
      <c r="F47" s="93" t="s">
        <v>400</v>
      </c>
      <c r="G47" s="9"/>
      <c r="H47" s="11"/>
    </row>
    <row r="48" spans="2:8" x14ac:dyDescent="0.2">
      <c r="B48" s="116" t="s">
        <v>608</v>
      </c>
      <c r="C48" s="114" t="s">
        <v>601</v>
      </c>
      <c r="D48" s="114" t="s">
        <v>64</v>
      </c>
      <c r="E48" s="114" t="s">
        <v>609</v>
      </c>
      <c r="F48" s="93"/>
      <c r="G48" s="9"/>
      <c r="H48" s="11"/>
    </row>
    <row r="49" spans="2:8" x14ac:dyDescent="0.2">
      <c r="B49" s="83" t="s">
        <v>352</v>
      </c>
      <c r="C49" s="84" t="s">
        <v>46</v>
      </c>
      <c r="D49" s="84" t="s">
        <v>64</v>
      </c>
      <c r="E49" s="84" t="s">
        <v>353</v>
      </c>
      <c r="F49" s="10"/>
      <c r="G49" s="9"/>
      <c r="H49" s="11"/>
    </row>
    <row r="50" spans="2:8" x14ac:dyDescent="0.2">
      <c r="B50" s="108" t="s">
        <v>475</v>
      </c>
      <c r="C50" s="105" t="s">
        <v>46</v>
      </c>
      <c r="D50" s="105" t="s">
        <v>64</v>
      </c>
      <c r="E50" s="104" t="s">
        <v>476</v>
      </c>
      <c r="F50" s="106" t="s">
        <v>477</v>
      </c>
      <c r="G50" s="9"/>
      <c r="H50" s="11"/>
    </row>
    <row r="51" spans="2:8" x14ac:dyDescent="0.2">
      <c r="B51" s="83" t="s">
        <v>356</v>
      </c>
      <c r="C51" s="114" t="s">
        <v>617</v>
      </c>
      <c r="D51" s="84" t="s">
        <v>182</v>
      </c>
      <c r="E51" s="84" t="s">
        <v>357</v>
      </c>
      <c r="F51" s="87" t="s">
        <v>358</v>
      </c>
      <c r="G51" s="9"/>
      <c r="H51" s="11"/>
    </row>
    <row r="52" spans="2:8" x14ac:dyDescent="0.2">
      <c r="B52" s="116" t="s">
        <v>591</v>
      </c>
      <c r="C52" s="114" t="s">
        <v>592</v>
      </c>
      <c r="D52" s="114" t="s">
        <v>64</v>
      </c>
      <c r="E52" s="114" t="s">
        <v>462</v>
      </c>
      <c r="F52" s="87"/>
      <c r="G52" s="9"/>
      <c r="H52" s="11"/>
    </row>
    <row r="53" spans="2:8" x14ac:dyDescent="0.2">
      <c r="B53" s="116" t="s">
        <v>590</v>
      </c>
      <c r="C53" s="103" t="s">
        <v>463</v>
      </c>
      <c r="D53" s="114" t="s">
        <v>182</v>
      </c>
      <c r="E53" s="103" t="s">
        <v>464</v>
      </c>
      <c r="F53" s="9"/>
      <c r="G53" s="9"/>
      <c r="H53" s="11"/>
    </row>
    <row r="54" spans="2:8" x14ac:dyDescent="0.2">
      <c r="B54" s="116" t="s">
        <v>587</v>
      </c>
      <c r="C54" s="114" t="s">
        <v>588</v>
      </c>
      <c r="D54" s="114" t="s">
        <v>64</v>
      </c>
      <c r="E54" s="114" t="s">
        <v>589</v>
      </c>
      <c r="F54" s="87">
        <v>1</v>
      </c>
      <c r="G54" s="9"/>
      <c r="H54" s="11"/>
    </row>
    <row r="55" spans="2:8" x14ac:dyDescent="0.2">
      <c r="B55" s="83" t="s">
        <v>362</v>
      </c>
      <c r="C55" s="84" t="s">
        <v>46</v>
      </c>
      <c r="D55" s="84" t="s">
        <v>64</v>
      </c>
      <c r="E55" s="84" t="s">
        <v>363</v>
      </c>
      <c r="F55" s="87" t="s">
        <v>364</v>
      </c>
      <c r="G55" s="9"/>
      <c r="H55" s="11"/>
    </row>
    <row r="56" spans="2:8" x14ac:dyDescent="0.2">
      <c r="B56" s="83" t="s">
        <v>365</v>
      </c>
      <c r="C56" s="84" t="s">
        <v>366</v>
      </c>
      <c r="D56" s="84" t="s">
        <v>64</v>
      </c>
      <c r="E56" s="84" t="s">
        <v>367</v>
      </c>
      <c r="F56" s="87"/>
      <c r="G56" s="9"/>
      <c r="H56" s="11"/>
    </row>
    <row r="57" spans="2:8" x14ac:dyDescent="0.2">
      <c r="B57" s="123" t="s">
        <v>656</v>
      </c>
      <c r="C57" s="84" t="s">
        <v>359</v>
      </c>
      <c r="D57" s="84" t="s">
        <v>64</v>
      </c>
      <c r="E57" s="84" t="s">
        <v>360</v>
      </c>
      <c r="F57" s="87" t="s">
        <v>361</v>
      </c>
      <c r="G57" s="9"/>
      <c r="H57" s="11"/>
    </row>
    <row r="58" spans="2:8" x14ac:dyDescent="0.2">
      <c r="B58" s="83" t="s">
        <v>348</v>
      </c>
      <c r="C58" s="84" t="s">
        <v>175</v>
      </c>
      <c r="D58" s="114" t="s">
        <v>182</v>
      </c>
      <c r="E58" s="114" t="s">
        <v>582</v>
      </c>
      <c r="F58" s="114" t="s">
        <v>581</v>
      </c>
      <c r="G58" s="9"/>
      <c r="H58" s="11"/>
    </row>
    <row r="59" spans="2:8" x14ac:dyDescent="0.2">
      <c r="B59" s="83" t="s">
        <v>349</v>
      </c>
      <c r="C59" s="114" t="s">
        <v>584</v>
      </c>
      <c r="D59" s="84" t="s">
        <v>64</v>
      </c>
      <c r="E59" s="84" t="s">
        <v>350</v>
      </c>
      <c r="F59" s="84" t="s">
        <v>351</v>
      </c>
      <c r="G59" s="9"/>
      <c r="H59" s="11"/>
    </row>
    <row r="60" spans="2:8" x14ac:dyDescent="0.2">
      <c r="B60" s="83" t="s">
        <v>346</v>
      </c>
      <c r="C60" s="114" t="s">
        <v>579</v>
      </c>
      <c r="D60" s="114" t="s">
        <v>64</v>
      </c>
      <c r="E60" s="114" t="s">
        <v>347</v>
      </c>
      <c r="F60" s="114" t="s">
        <v>580</v>
      </c>
      <c r="G60" s="9"/>
      <c r="H60" s="11"/>
    </row>
    <row r="61" spans="2:8" x14ac:dyDescent="0.2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">
      <c r="B62" s="116" t="s">
        <v>602</v>
      </c>
      <c r="C62" s="114" t="s">
        <v>603</v>
      </c>
      <c r="D62" s="114" t="s">
        <v>182</v>
      </c>
      <c r="E62" s="114" t="s">
        <v>604</v>
      </c>
      <c r="F62" s="9"/>
      <c r="G62" s="9"/>
      <c r="H62" s="11"/>
    </row>
    <row r="63" spans="2:8" x14ac:dyDescent="0.2">
      <c r="B63" s="123" t="s">
        <v>657</v>
      </c>
      <c r="C63" s="114"/>
      <c r="D63" s="124" t="s">
        <v>182</v>
      </c>
      <c r="E63" s="124"/>
      <c r="F63" s="9"/>
      <c r="G63" s="124" t="s">
        <v>658</v>
      </c>
      <c r="H63" s="11"/>
    </row>
    <row r="64" spans="2:8" x14ac:dyDescent="0.2">
      <c r="B64" s="116" t="s">
        <v>605</v>
      </c>
      <c r="C64" s="114"/>
      <c r="D64" s="114" t="s">
        <v>182</v>
      </c>
      <c r="E64" s="114" t="s">
        <v>606</v>
      </c>
      <c r="F64" s="114" t="s">
        <v>361</v>
      </c>
      <c r="G64" s="9"/>
      <c r="H64" s="11"/>
    </row>
    <row r="65" spans="2:8" x14ac:dyDescent="0.2">
      <c r="B65" s="123" t="s">
        <v>652</v>
      </c>
      <c r="C65" s="114"/>
      <c r="D65" s="124" t="s">
        <v>182</v>
      </c>
      <c r="E65" s="114"/>
      <c r="F65" s="114"/>
      <c r="G65" s="9"/>
      <c r="H65" s="11"/>
    </row>
    <row r="66" spans="2:8" x14ac:dyDescent="0.2">
      <c r="B66" s="116" t="s">
        <v>600</v>
      </c>
      <c r="C66" s="114" t="s">
        <v>601</v>
      </c>
      <c r="D66" s="114" t="s">
        <v>182</v>
      </c>
      <c r="E66" s="92"/>
      <c r="F66" s="9"/>
      <c r="G66" s="9"/>
      <c r="H66" s="11"/>
    </row>
    <row r="67" spans="2:8" x14ac:dyDescent="0.2">
      <c r="B67" s="91" t="s">
        <v>405</v>
      </c>
      <c r="C67" s="92" t="s">
        <v>407</v>
      </c>
      <c r="D67" s="92" t="s">
        <v>182</v>
      </c>
      <c r="E67" s="92" t="s">
        <v>406</v>
      </c>
      <c r="F67" s="9"/>
      <c r="G67" s="9"/>
      <c r="H67" s="11"/>
    </row>
    <row r="68" spans="2:8" x14ac:dyDescent="0.2">
      <c r="B68" s="61" t="s">
        <v>281</v>
      </c>
      <c r="C68" s="57" t="s">
        <v>282</v>
      </c>
      <c r="D68" s="57" t="s">
        <v>182</v>
      </c>
      <c r="E68" s="57" t="s">
        <v>283</v>
      </c>
      <c r="F68" s="10">
        <v>1</v>
      </c>
      <c r="G68" s="9"/>
      <c r="H68" s="11"/>
    </row>
    <row r="69" spans="2:8" x14ac:dyDescent="0.2">
      <c r="B69" s="4" t="s">
        <v>42</v>
      </c>
      <c r="C69" s="9" t="s">
        <v>65</v>
      </c>
      <c r="D69" s="9" t="s">
        <v>64</v>
      </c>
      <c r="E69" s="9" t="s">
        <v>43</v>
      </c>
      <c r="F69" s="10">
        <v>1</v>
      </c>
      <c r="G69" s="9"/>
      <c r="H69" s="11"/>
    </row>
    <row r="70" spans="2:8" x14ac:dyDescent="0.2">
      <c r="B70" s="116" t="s">
        <v>613</v>
      </c>
      <c r="C70" s="114" t="s">
        <v>614</v>
      </c>
      <c r="D70" s="114" t="s">
        <v>64</v>
      </c>
      <c r="E70" s="114" t="s">
        <v>615</v>
      </c>
      <c r="F70" s="10">
        <v>1</v>
      </c>
      <c r="G70" s="9"/>
      <c r="H70" s="11"/>
    </row>
    <row r="71" spans="2:8" x14ac:dyDescent="0.2">
      <c r="B71" s="116" t="s">
        <v>596</v>
      </c>
      <c r="C71" s="9"/>
      <c r="D71" s="114" t="s">
        <v>182</v>
      </c>
      <c r="E71" s="114" t="s">
        <v>597</v>
      </c>
      <c r="F71" s="10">
        <v>1</v>
      </c>
      <c r="G71" s="9"/>
      <c r="H71" s="11"/>
    </row>
    <row r="72" spans="2:8" x14ac:dyDescent="0.2">
      <c r="B72" s="123" t="s">
        <v>651</v>
      </c>
      <c r="C72" s="9"/>
      <c r="D72" s="114"/>
      <c r="E72" s="114"/>
      <c r="F72" s="10"/>
      <c r="G72" s="9"/>
      <c r="H72" s="11"/>
    </row>
    <row r="73" spans="2:8" x14ac:dyDescent="0.2">
      <c r="B73" s="123" t="s">
        <v>659</v>
      </c>
      <c r="C73" s="9"/>
      <c r="D73" s="114"/>
      <c r="E73" s="114"/>
      <c r="F73" s="10"/>
      <c r="G73" s="9"/>
      <c r="H73" s="11"/>
    </row>
    <row r="74" spans="2:8" x14ac:dyDescent="0.2">
      <c r="B74" s="123" t="s">
        <v>661</v>
      </c>
      <c r="C74" s="9"/>
      <c r="D74" s="124" t="s">
        <v>182</v>
      </c>
      <c r="E74" s="124" t="s">
        <v>266</v>
      </c>
      <c r="F74" s="10"/>
      <c r="G74" s="9"/>
      <c r="H74" s="11"/>
    </row>
    <row r="75" spans="2:8" x14ac:dyDescent="0.2">
      <c r="B75" s="116" t="s">
        <v>598</v>
      </c>
      <c r="C75" s="9"/>
      <c r="D75" s="114" t="s">
        <v>182</v>
      </c>
      <c r="E75" s="114" t="s">
        <v>599</v>
      </c>
      <c r="F75" s="10">
        <v>1</v>
      </c>
      <c r="G75" s="9"/>
      <c r="H75" s="11"/>
    </row>
    <row r="76" spans="2:8" x14ac:dyDescent="0.2">
      <c r="B76" s="123" t="s">
        <v>653</v>
      </c>
      <c r="C76" s="9"/>
      <c r="D76" s="124" t="s">
        <v>182</v>
      </c>
      <c r="E76" s="114"/>
      <c r="F76" s="10"/>
      <c r="G76" s="9"/>
      <c r="H76" s="11"/>
    </row>
    <row r="77" spans="2:8" x14ac:dyDescent="0.2">
      <c r="B77" s="116" t="s">
        <v>593</v>
      </c>
      <c r="C77" s="114" t="s">
        <v>595</v>
      </c>
      <c r="D77" s="114" t="s">
        <v>182</v>
      </c>
      <c r="E77" s="114" t="s">
        <v>594</v>
      </c>
      <c r="F77" s="10">
        <v>1</v>
      </c>
      <c r="G77" s="9"/>
      <c r="H77" s="11"/>
    </row>
    <row r="78" spans="2:8" x14ac:dyDescent="0.2">
      <c r="B78" s="123" t="s">
        <v>660</v>
      </c>
      <c r="C78" s="114"/>
      <c r="D78" s="124" t="s">
        <v>182</v>
      </c>
      <c r="E78" s="114"/>
      <c r="F78" s="10"/>
      <c r="G78" s="9"/>
      <c r="H78" s="11"/>
    </row>
    <row r="79" spans="2:8" x14ac:dyDescent="0.2">
      <c r="B79" s="123" t="s">
        <v>654</v>
      </c>
      <c r="C79" s="124" t="s">
        <v>655</v>
      </c>
      <c r="D79" s="124" t="s">
        <v>182</v>
      </c>
      <c r="E79" s="114"/>
      <c r="F79" s="10"/>
      <c r="G79" s="9"/>
      <c r="H79" s="11"/>
    </row>
    <row r="80" spans="2:8" x14ac:dyDescent="0.2">
      <c r="B80" s="83" t="s">
        <v>376</v>
      </c>
      <c r="C80" s="84" t="s">
        <v>195</v>
      </c>
      <c r="D80" s="84" t="s">
        <v>182</v>
      </c>
      <c r="E80" s="84" t="s">
        <v>377</v>
      </c>
      <c r="F80" s="10">
        <v>1</v>
      </c>
      <c r="G80" s="9"/>
      <c r="H80" s="11"/>
    </row>
    <row r="81" spans="2:8" x14ac:dyDescent="0.2">
      <c r="B81" s="116" t="s">
        <v>541</v>
      </c>
      <c r="C81" s="114" t="s">
        <v>378</v>
      </c>
      <c r="D81" s="114" t="s">
        <v>182</v>
      </c>
      <c r="E81" s="114" t="s">
        <v>542</v>
      </c>
      <c r="F81" s="114" t="s">
        <v>543</v>
      </c>
      <c r="G81" s="9"/>
      <c r="H81" s="11"/>
    </row>
    <row r="82" spans="2:8" x14ac:dyDescent="0.2">
      <c r="B82" s="116" t="s">
        <v>611</v>
      </c>
      <c r="C82" s="114" t="s">
        <v>612</v>
      </c>
      <c r="D82" s="114" t="s">
        <v>182</v>
      </c>
      <c r="E82" s="114"/>
      <c r="F82" s="114"/>
      <c r="G82" s="9"/>
      <c r="H82" s="11"/>
    </row>
    <row r="83" spans="2:8" x14ac:dyDescent="0.2">
      <c r="B83" s="83" t="s">
        <v>373</v>
      </c>
      <c r="C83" s="84" t="s">
        <v>195</v>
      </c>
      <c r="D83" s="114" t="s">
        <v>182</v>
      </c>
      <c r="E83" s="84" t="s">
        <v>374</v>
      </c>
      <c r="F83" s="84" t="s">
        <v>375</v>
      </c>
      <c r="G83" s="9"/>
      <c r="H83" s="11"/>
    </row>
    <row r="84" spans="2:8" x14ac:dyDescent="0.2">
      <c r="B84" s="4" t="s">
        <v>44</v>
      </c>
      <c r="C84" s="9" t="s">
        <v>45</v>
      </c>
      <c r="D84" s="9"/>
      <c r="E84" s="9"/>
      <c r="F84" s="9"/>
      <c r="G84" s="9"/>
      <c r="H84" s="11"/>
    </row>
    <row r="85" spans="2:8" x14ac:dyDescent="0.2">
      <c r="B85" s="5" t="s">
        <v>47</v>
      </c>
      <c r="C85" s="12"/>
      <c r="D85" s="12"/>
      <c r="E85" s="12"/>
      <c r="F85" s="12"/>
      <c r="G85" s="12"/>
      <c r="H85" s="13"/>
    </row>
    <row r="87" spans="2:8" x14ac:dyDescent="0.2">
      <c r="E87" s="112" t="s">
        <v>544</v>
      </c>
    </row>
    <row r="88" spans="2:8" x14ac:dyDescent="0.2">
      <c r="E88" s="112" t="s">
        <v>549</v>
      </c>
    </row>
    <row r="89" spans="2:8" x14ac:dyDescent="0.2">
      <c r="E89" s="112" t="s">
        <v>507</v>
      </c>
    </row>
    <row r="90" spans="2:8" x14ac:dyDescent="0.2">
      <c r="E90" s="112" t="s">
        <v>508</v>
      </c>
    </row>
    <row r="91" spans="2:8" x14ac:dyDescent="0.2">
      <c r="E91" s="112" t="s">
        <v>509</v>
      </c>
    </row>
    <row r="92" spans="2:8" x14ac:dyDescent="0.2">
      <c r="E92" s="112" t="s">
        <v>511</v>
      </c>
    </row>
    <row r="93" spans="2:8" x14ac:dyDescent="0.2">
      <c r="E93" s="112" t="s">
        <v>512</v>
      </c>
    </row>
    <row r="94" spans="2:8" x14ac:dyDescent="0.2">
      <c r="E94" s="112" t="s">
        <v>539</v>
      </c>
    </row>
    <row r="95" spans="2:8" x14ac:dyDescent="0.2">
      <c r="E95" s="112" t="s">
        <v>528</v>
      </c>
    </row>
    <row r="96" spans="2:8" x14ac:dyDescent="0.2">
      <c r="E96" s="112" t="s">
        <v>529</v>
      </c>
    </row>
    <row r="97" spans="5:5" x14ac:dyDescent="0.2">
      <c r="E97" s="112" t="s">
        <v>538</v>
      </c>
    </row>
    <row r="98" spans="5:5" x14ac:dyDescent="0.2">
      <c r="E98" s="112" t="s">
        <v>540</v>
      </c>
    </row>
    <row r="99" spans="5:5" x14ac:dyDescent="0.2">
      <c r="E99" s="112" t="s">
        <v>552</v>
      </c>
    </row>
    <row r="100" spans="5:5" x14ac:dyDescent="0.2">
      <c r="E100" s="112" t="s">
        <v>554</v>
      </c>
    </row>
    <row r="101" spans="5:5" x14ac:dyDescent="0.2">
      <c r="E101" s="112" t="s">
        <v>553</v>
      </c>
    </row>
    <row r="102" spans="5:5" x14ac:dyDescent="0.2">
      <c r="E102" s="112" t="s">
        <v>561</v>
      </c>
    </row>
    <row r="103" spans="5:5" x14ac:dyDescent="0.2">
      <c r="E103" s="112" t="s">
        <v>569</v>
      </c>
    </row>
    <row r="104" spans="5:5" x14ac:dyDescent="0.2">
      <c r="E104" s="112" t="s">
        <v>571</v>
      </c>
    </row>
    <row r="105" spans="5:5" x14ac:dyDescent="0.2">
      <c r="E105" s="112" t="s">
        <v>457</v>
      </c>
    </row>
    <row r="106" spans="5:5" x14ac:dyDescent="0.2">
      <c r="E106" s="112" t="s">
        <v>573</v>
      </c>
    </row>
    <row r="107" spans="5:5" x14ac:dyDescent="0.2">
      <c r="E107" s="112" t="s">
        <v>574</v>
      </c>
    </row>
    <row r="108" spans="5:5" x14ac:dyDescent="0.2">
      <c r="E108" s="112" t="s">
        <v>616</v>
      </c>
    </row>
    <row r="109" spans="5:5" x14ac:dyDescent="0.2">
      <c r="E109" s="112" t="s">
        <v>618</v>
      </c>
    </row>
    <row r="110" spans="5:5" x14ac:dyDescent="0.2">
      <c r="E110" s="112" t="s">
        <v>621</v>
      </c>
    </row>
    <row r="111" spans="5:5" x14ac:dyDescent="0.2">
      <c r="E111" s="112" t="s">
        <v>623</v>
      </c>
    </row>
    <row r="112" spans="5:5" x14ac:dyDescent="0.2">
      <c r="E112" s="112" t="s">
        <v>627</v>
      </c>
    </row>
    <row r="113" spans="5:5" x14ac:dyDescent="0.2">
      <c r="E113" s="112" t="s">
        <v>628</v>
      </c>
    </row>
    <row r="114" spans="5:5" x14ac:dyDescent="0.2">
      <c r="E114" s="112" t="s">
        <v>629</v>
      </c>
    </row>
    <row r="115" spans="5:5" x14ac:dyDescent="0.2">
      <c r="E115" s="112" t="s">
        <v>630</v>
      </c>
    </row>
    <row r="116" spans="5:5" x14ac:dyDescent="0.2">
      <c r="E116" s="112" t="s">
        <v>634</v>
      </c>
    </row>
    <row r="117" spans="5:5" x14ac:dyDescent="0.2">
      <c r="E117" s="112" t="s">
        <v>640</v>
      </c>
    </row>
    <row r="118" spans="5:5" x14ac:dyDescent="0.2">
      <c r="E118" s="112" t="s">
        <v>649</v>
      </c>
    </row>
    <row r="119" spans="5:5" x14ac:dyDescent="0.2">
      <c r="E119" s="85" t="s">
        <v>336</v>
      </c>
    </row>
    <row r="120" spans="5:5" x14ac:dyDescent="0.2">
      <c r="E120" s="85" t="s">
        <v>338</v>
      </c>
    </row>
    <row r="121" spans="5:5" x14ac:dyDescent="0.2">
      <c r="E121" s="85" t="s">
        <v>339</v>
      </c>
    </row>
    <row r="122" spans="5:5" x14ac:dyDescent="0.2">
      <c r="E122" s="56" t="s">
        <v>251</v>
      </c>
    </row>
    <row r="124" spans="5:5" x14ac:dyDescent="0.2">
      <c r="E124" s="86" t="s">
        <v>70</v>
      </c>
    </row>
    <row r="125" spans="5:5" x14ac:dyDescent="0.2">
      <c r="E125" s="85" t="s">
        <v>345</v>
      </c>
    </row>
    <row r="126" spans="5:5" x14ac:dyDescent="0.2">
      <c r="E126" s="85" t="s">
        <v>383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8"/>
  <sheetViews>
    <sheetView zoomScale="160" zoomScaleNormal="160" workbookViewId="0">
      <pane xSplit="2" ySplit="2" topLeftCell="CH85" activePane="bottomRight" state="frozen"/>
      <selection pane="topRight" activeCell="C1" sqref="C1"/>
      <selection pane="bottomLeft" activeCell="A3" sqref="A3"/>
      <selection pane="bottomRight" activeCell="CM96" sqref="CM96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7" width="9.140625" style="1"/>
    <col min="118" max="121" width="9.5703125" style="1" customWidth="1"/>
    <col min="122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448</v>
      </c>
      <c r="D2" s="97" t="s">
        <v>449</v>
      </c>
      <c r="E2" s="97" t="s">
        <v>450</v>
      </c>
      <c r="F2" s="97" t="s">
        <v>451</v>
      </c>
      <c r="G2" s="97" t="s">
        <v>444</v>
      </c>
      <c r="H2" s="97" t="s">
        <v>445</v>
      </c>
      <c r="I2" s="97" t="s">
        <v>446</v>
      </c>
      <c r="J2" s="97" t="s">
        <v>447</v>
      </c>
      <c r="K2" s="97" t="s">
        <v>439</v>
      </c>
      <c r="L2" s="97" t="s">
        <v>440</v>
      </c>
      <c r="M2" s="97" t="s">
        <v>441</v>
      </c>
      <c r="N2" s="97" t="s">
        <v>442</v>
      </c>
      <c r="O2" s="97" t="s">
        <v>432</v>
      </c>
      <c r="P2" s="97" t="s">
        <v>433</v>
      </c>
      <c r="Q2" s="97" t="s">
        <v>434</v>
      </c>
      <c r="R2" s="97" t="s">
        <v>435</v>
      </c>
      <c r="S2" s="97" t="s">
        <v>427</v>
      </c>
      <c r="T2" s="97" t="s">
        <v>428</v>
      </c>
      <c r="U2" s="97" t="s">
        <v>429</v>
      </c>
      <c r="V2" s="97" t="s">
        <v>430</v>
      </c>
      <c r="W2" s="97" t="s">
        <v>422</v>
      </c>
      <c r="X2" s="97" t="s">
        <v>423</v>
      </c>
      <c r="Y2" s="97" t="s">
        <v>424</v>
      </c>
      <c r="Z2" s="97" t="s">
        <v>425</v>
      </c>
      <c r="AA2" s="97" t="s">
        <v>416</v>
      </c>
      <c r="AB2" s="97" t="s">
        <v>417</v>
      </c>
      <c r="AC2" s="97" t="s">
        <v>418</v>
      </c>
      <c r="AD2" s="97" t="s">
        <v>419</v>
      </c>
      <c r="AE2" s="97" t="s">
        <v>412</v>
      </c>
      <c r="AF2" s="97" t="s">
        <v>413</v>
      </c>
      <c r="AG2" s="97" t="s">
        <v>414</v>
      </c>
      <c r="AH2" s="97" t="s">
        <v>415</v>
      </c>
      <c r="AI2" s="97" t="s">
        <v>408</v>
      </c>
      <c r="AJ2" s="97" t="s">
        <v>409</v>
      </c>
      <c r="AK2" s="97" t="s">
        <v>410</v>
      </c>
      <c r="AL2" s="97" t="s">
        <v>411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320</v>
      </c>
      <c r="CJ2" s="78" t="s">
        <v>321</v>
      </c>
      <c r="CK2" s="78" t="s">
        <v>323</v>
      </c>
      <c r="CL2" s="78" t="s">
        <v>322</v>
      </c>
      <c r="CM2" s="101" t="s">
        <v>453</v>
      </c>
      <c r="CN2" s="101" t="s">
        <v>454</v>
      </c>
      <c r="CO2" s="101" t="s">
        <v>455</v>
      </c>
      <c r="CP2" s="101" t="s">
        <v>456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">
      <c r="B3" s="55" t="s">
        <v>249</v>
      </c>
      <c r="BC3" s="22"/>
      <c r="BD3" s="71">
        <f t="shared" ref="BD3:BJ3" si="2">+BD5+BD8+BD13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+BK5+BK8+BK13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+BQ5+BQ8+BQ13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+BW5+BW8+BW13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+CD5+CD8+CD13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7294</v>
      </c>
      <c r="CM3" s="71">
        <f t="shared" si="6"/>
        <v>6264</v>
      </c>
      <c r="CN3" s="71">
        <f t="shared" si="6"/>
        <v>7228.85</v>
      </c>
      <c r="CO3" s="71">
        <f t="shared" si="6"/>
        <v>7761.15</v>
      </c>
      <c r="CP3" s="71">
        <f t="shared" si="6"/>
        <v>8493.7000000000007</v>
      </c>
      <c r="CQ3" s="44"/>
      <c r="CR3" s="44"/>
      <c r="CZ3" s="16">
        <f>+CZ5+CZ8+CZ13</f>
        <v>19936</v>
      </c>
      <c r="DA3" s="16">
        <f>+DA5+DA8+DA13</f>
        <v>19571</v>
      </c>
      <c r="DB3" s="16">
        <f>+DB5+DB8+DB13</f>
        <v>22153</v>
      </c>
      <c r="DC3" s="16">
        <f t="shared" ref="DC3:DL3" si="7">+DC5+DC8+DC13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26682</v>
      </c>
      <c r="DG3" s="16">
        <f t="shared" si="7"/>
        <v>29747.7</v>
      </c>
      <c r="DH3" s="16">
        <f t="shared" si="7"/>
        <v>30824.625</v>
      </c>
      <c r="DI3" s="16">
        <f t="shared" si="7"/>
        <v>32444.998150000003</v>
      </c>
      <c r="DJ3" s="16">
        <f t="shared" si="7"/>
        <v>31669.839934500007</v>
      </c>
      <c r="DK3" s="16">
        <f t="shared" si="7"/>
        <v>31745.681052535008</v>
      </c>
      <c r="DL3" s="16">
        <f t="shared" si="7"/>
        <v>32260.924444111057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v>1682</v>
      </c>
      <c r="CM5" s="16">
        <v>1121</v>
      </c>
      <c r="CN5" s="16">
        <f t="shared" ref="CM5:CP5" si="8">+CJ5*0.6</f>
        <v>1688.3999999999999</v>
      </c>
      <c r="CO5" s="16">
        <f t="shared" si="8"/>
        <v>1336.2</v>
      </c>
      <c r="CP5" s="16">
        <f t="shared" si="8"/>
        <v>1009.1999999999999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8993</v>
      </c>
      <c r="DG5" s="16">
        <f>SUM(CM5:CP5)</f>
        <v>5154.7999999999993</v>
      </c>
      <c r="DH5" s="16">
        <f>+DG5*0.8</f>
        <v>4123.8399999999992</v>
      </c>
      <c r="DI5" s="16">
        <f>+DH5*0.8</f>
        <v>3299.0719999999997</v>
      </c>
      <c r="DJ5" s="16">
        <f t="shared" ref="DJ5:DL5" si="9">+DI5*0.5</f>
        <v>1649.5359999999998</v>
      </c>
      <c r="DK5" s="16">
        <f t="shared" si="9"/>
        <v>824.76799999999992</v>
      </c>
      <c r="DL5" s="16">
        <f t="shared" si="9"/>
        <v>412.38399999999996</v>
      </c>
      <c r="DM5" s="16">
        <f t="shared" ref="DM5" si="10">+DL5*0.5</f>
        <v>206.19199999999998</v>
      </c>
      <c r="DN5" s="16">
        <f t="shared" ref="DN5" si="11">+DM5*0.5</f>
        <v>103.09599999999999</v>
      </c>
      <c r="DO5" s="16">
        <f t="shared" ref="DO5" si="12">+DN5*0.5</f>
        <v>51.547999999999995</v>
      </c>
      <c r="DP5" s="16">
        <f t="shared" ref="DP5" si="13">+DO5*0.5</f>
        <v>25.773999999999997</v>
      </c>
      <c r="DQ5" s="16">
        <f t="shared" ref="DQ5" si="14">+DP5*0.5</f>
        <v>12.886999999999999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316</v>
      </c>
      <c r="CE6" s="73" t="s">
        <v>317</v>
      </c>
      <c r="CF6" s="82" t="s">
        <v>328</v>
      </c>
      <c r="CG6" s="82" t="s">
        <v>327</v>
      </c>
      <c r="CH6" s="82" t="s">
        <v>333</v>
      </c>
      <c r="CI6" s="80" t="s">
        <v>326</v>
      </c>
      <c r="CJ6" s="90" t="s">
        <v>385</v>
      </c>
      <c r="CK6" s="100" t="s">
        <v>452</v>
      </c>
      <c r="CL6" s="82" t="s">
        <v>334</v>
      </c>
      <c r="CM6" s="126" t="s">
        <v>665</v>
      </c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1" si="15">SUM(BK6:BN6)</f>
        <v>0</v>
      </c>
      <c r="DA6" s="16">
        <f t="shared" ref="DA6:DA55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335</v>
      </c>
      <c r="DF6" s="125" t="s">
        <v>664</v>
      </c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v>848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805.59999999999991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5" si="18">SUM(BS7:BV7)</f>
        <v>5314</v>
      </c>
      <c r="DC7" s="16">
        <f t="shared" ref="DC7:DC56" si="19">SUM(BW7:BZ7)</f>
        <v>5408</v>
      </c>
      <c r="DD7" s="16">
        <f t="shared" ref="DD7:DD56" si="20">SUM(CA7:CD7)</f>
        <v>4568</v>
      </c>
      <c r="DE7" s="16">
        <f t="shared" ref="DE7:DE27" si="21">SUM(CE7:CH7)</f>
        <v>3596</v>
      </c>
      <c r="DF7" s="16">
        <f t="shared" ref="DF7:DF31" si="22">SUM(CI7:CL7)</f>
        <v>3347</v>
      </c>
      <c r="DG7" s="16">
        <f t="shared" ref="DG7:DG31" si="23">SUM(CM7:CP7)</f>
        <v>3179.6499999999996</v>
      </c>
      <c r="DH7" s="16">
        <f t="shared" ref="DH7:DL7" si="24">+DG7*0.9</f>
        <v>2861.6849999999999</v>
      </c>
      <c r="DI7" s="16">
        <f t="shared" si="24"/>
        <v>2575.5165000000002</v>
      </c>
      <c r="DJ7" s="16">
        <f t="shared" si="24"/>
        <v>2317.9648500000003</v>
      </c>
      <c r="DK7" s="16">
        <f t="shared" si="24"/>
        <v>2086.1683650000004</v>
      </c>
      <c r="DL7" s="16">
        <f t="shared" si="24"/>
        <v>1877.5515285000004</v>
      </c>
      <c r="DM7" s="16">
        <f t="shared" ref="DM7" si="25">+DL7*0.9</f>
        <v>1689.7963756500003</v>
      </c>
      <c r="DN7" s="16">
        <f t="shared" ref="DN7" si="26">+DM7*0.9</f>
        <v>1520.8167380850002</v>
      </c>
      <c r="DO7" s="16">
        <f t="shared" ref="DO7" si="27">+DN7*0.9</f>
        <v>1368.7350642765002</v>
      </c>
      <c r="DP7" s="16">
        <f t="shared" ref="DP7" si="28">+DO7*0.9</f>
        <v>1231.8615578488502</v>
      </c>
      <c r="DQ7" s="16">
        <f t="shared" ref="DQ7" si="29">+DP7*0.9</f>
        <v>1108.6754020639653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v>3778</v>
      </c>
      <c r="CM8" s="16">
        <v>3425</v>
      </c>
      <c r="CN8" s="16">
        <f>+CJ8*1.35</f>
        <v>3681.4500000000003</v>
      </c>
      <c r="CO8" s="16">
        <f>+CK8*1.35</f>
        <v>4326.75</v>
      </c>
      <c r="CP8" s="16">
        <f>+CL8*1.35</f>
        <v>5100.3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11718</v>
      </c>
      <c r="DG8" s="16">
        <f t="shared" si="23"/>
        <v>16533.5</v>
      </c>
      <c r="DH8" s="16">
        <f>+DG8*1.03</f>
        <v>17029.505000000001</v>
      </c>
      <c r="DI8" s="16">
        <f t="shared" ref="DI8:DL8" si="30">+DH8*1.03</f>
        <v>17540.390150000003</v>
      </c>
      <c r="DJ8" s="16">
        <f t="shared" si="30"/>
        <v>18066.601854500004</v>
      </c>
      <c r="DK8" s="16">
        <f t="shared" si="30"/>
        <v>18608.599910135006</v>
      </c>
      <c r="DL8" s="16">
        <f t="shared" si="30"/>
        <v>19166.857907439058</v>
      </c>
      <c r="DM8" s="16">
        <f t="shared" ref="DM8" si="31">+DL8*1.03</f>
        <v>19741.863644662229</v>
      </c>
      <c r="DN8" s="16">
        <f t="shared" ref="DN8" si="32">+DM8*1.03</f>
        <v>20334.119554002096</v>
      </c>
      <c r="DO8" s="16">
        <f t="shared" ref="DO8" si="33">+DN8*1.03</f>
        <v>20944.14314062216</v>
      </c>
      <c r="DP8" s="16">
        <f t="shared" ref="DP8" si="34">+DO8*1.03</f>
        <v>21572.467434840826</v>
      </c>
      <c r="DQ8" s="16">
        <f t="shared" ref="DQ8" si="35">+DP8*1.03</f>
        <v>22219.641457886053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v>687</v>
      </c>
      <c r="CM9" s="16">
        <v>556</v>
      </c>
      <c r="CN9" s="16">
        <f t="shared" ref="CM9:CP9" si="36">+CJ9*0.97</f>
        <v>707.13</v>
      </c>
      <c r="CO9" s="16">
        <f t="shared" si="36"/>
        <v>650.87</v>
      </c>
      <c r="CP9" s="16">
        <f t="shared" si="36"/>
        <v>666.39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2720</v>
      </c>
      <c r="DG9" s="16">
        <f t="shared" si="23"/>
        <v>2580.39</v>
      </c>
      <c r="DH9" s="16">
        <f t="shared" ref="DH9:DL9" si="37">+DG9*1.05</f>
        <v>2709.4095000000002</v>
      </c>
      <c r="DI9" s="16">
        <f t="shared" si="37"/>
        <v>2844.8799750000003</v>
      </c>
      <c r="DJ9" s="16">
        <f t="shared" si="37"/>
        <v>2987.1239737500005</v>
      </c>
      <c r="DK9" s="16">
        <f t="shared" si="37"/>
        <v>3136.4801724375006</v>
      </c>
      <c r="DL9" s="16">
        <f t="shared" si="37"/>
        <v>3293.3041810593759</v>
      </c>
      <c r="DM9" s="16">
        <f t="shared" ref="DM9:DM10" si="38">+DL9*1.05</f>
        <v>3457.9693901123446</v>
      </c>
      <c r="DN9" s="16">
        <f t="shared" ref="DN9:DN10" si="39">+DM9*1.05</f>
        <v>3630.867859617962</v>
      </c>
      <c r="DO9" s="16">
        <f t="shared" ref="DO9:DO10" si="40">+DN9*1.05</f>
        <v>3812.4112525988603</v>
      </c>
      <c r="DP9" s="16">
        <f t="shared" ref="DP9:DP10" si="41">+DO9*1.05</f>
        <v>4003.0318152288037</v>
      </c>
      <c r="DQ9" s="16">
        <f t="shared" ref="DQ9:DQ10" si="42">+DP9*1.05</f>
        <v>4203.183405990244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v>873</v>
      </c>
      <c r="CM10" s="16">
        <v>866</v>
      </c>
      <c r="CN10" s="16">
        <f>+CJ10*1.1</f>
        <v>895.40000000000009</v>
      </c>
      <c r="CO10" s="16">
        <f>+CK10*1.1</f>
        <v>932.80000000000007</v>
      </c>
      <c r="CP10" s="16">
        <f>+CL10*1.1</f>
        <v>960.30000000000007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3283</v>
      </c>
      <c r="DG10" s="16">
        <f t="shared" si="23"/>
        <v>3654.5000000000005</v>
      </c>
      <c r="DH10" s="16">
        <f t="shared" ref="DH10:DL10" si="43">+DG10*1.05</f>
        <v>3837.2250000000008</v>
      </c>
      <c r="DI10" s="16">
        <f t="shared" si="43"/>
        <v>4029.0862500000012</v>
      </c>
      <c r="DJ10" s="16">
        <f t="shared" si="43"/>
        <v>4230.5405625000012</v>
      </c>
      <c r="DK10" s="16">
        <f t="shared" si="43"/>
        <v>4442.0675906250017</v>
      </c>
      <c r="DL10" s="16">
        <f t="shared" si="43"/>
        <v>4664.1709701562522</v>
      </c>
      <c r="DM10" s="16">
        <f t="shared" si="38"/>
        <v>4897.3795186640655</v>
      </c>
      <c r="DN10" s="16">
        <f t="shared" si="39"/>
        <v>5142.2484945972692</v>
      </c>
      <c r="DO10" s="16">
        <f t="shared" si="40"/>
        <v>5399.3609193271332</v>
      </c>
      <c r="DP10" s="16">
        <f t="shared" si="41"/>
        <v>5669.32896529349</v>
      </c>
      <c r="DQ10" s="16">
        <f t="shared" si="42"/>
        <v>5952.7954135581649</v>
      </c>
    </row>
    <row r="11" spans="1:121" s="15" customFormat="1" x14ac:dyDescent="0.2">
      <c r="B11" s="122" t="s">
        <v>650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9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>
        <v>500</v>
      </c>
      <c r="DI11" s="16">
        <v>1000</v>
      </c>
      <c r="DJ11" s="16">
        <v>1250</v>
      </c>
      <c r="DK11" s="16">
        <v>1500</v>
      </c>
      <c r="DL11" s="16">
        <v>1750</v>
      </c>
      <c r="DM11" s="16">
        <v>2000</v>
      </c>
      <c r="DN11" s="16">
        <v>2200</v>
      </c>
      <c r="DO11" s="16">
        <v>2400</v>
      </c>
      <c r="DP11" s="16">
        <v>2600</v>
      </c>
      <c r="DQ11" s="16">
        <v>2800</v>
      </c>
    </row>
    <row r="12" spans="1:121" s="15" customFormat="1" x14ac:dyDescent="0.2">
      <c r="B12" s="76" t="s">
        <v>117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v>96</v>
      </c>
      <c r="BN12" s="16">
        <v>124</v>
      </c>
      <c r="BO12" s="16">
        <v>151</v>
      </c>
      <c r="BP12" s="16">
        <v>169</v>
      </c>
      <c r="BQ12" s="16">
        <v>221</v>
      </c>
      <c r="BR12" s="16">
        <v>251</v>
      </c>
      <c r="BS12" s="16">
        <v>317</v>
      </c>
      <c r="BT12" s="16">
        <v>303</v>
      </c>
      <c r="BU12" s="16">
        <v>352</v>
      </c>
      <c r="BV12" s="16">
        <v>365</v>
      </c>
      <c r="BW12" s="16">
        <v>405</v>
      </c>
      <c r="BX12" s="16">
        <v>435</v>
      </c>
      <c r="BY12" s="16">
        <v>492</v>
      </c>
      <c r="BZ12" s="16">
        <v>488</v>
      </c>
      <c r="CA12" s="16">
        <v>473</v>
      </c>
      <c r="CB12" s="16">
        <v>505</v>
      </c>
      <c r="CC12" s="16">
        <v>515</v>
      </c>
      <c r="CD12" s="16">
        <v>516</v>
      </c>
      <c r="CE12" s="16">
        <v>538</v>
      </c>
      <c r="CF12" s="16">
        <v>571</v>
      </c>
      <c r="CG12" s="16">
        <v>590</v>
      </c>
      <c r="CH12" s="16">
        <v>589</v>
      </c>
      <c r="CI12" s="16">
        <v>614</v>
      </c>
      <c r="CJ12" s="16">
        <v>637</v>
      </c>
      <c r="CK12" s="16">
        <v>677</v>
      </c>
      <c r="CL12" s="16">
        <v>655</v>
      </c>
      <c r="CM12" s="16">
        <v>665</v>
      </c>
      <c r="CN12" s="16">
        <f t="shared" ref="CM12:CP12" si="44">+CJ12*1.1</f>
        <v>700.7</v>
      </c>
      <c r="CO12" s="16">
        <f t="shared" si="44"/>
        <v>744.7</v>
      </c>
      <c r="CP12" s="16">
        <f t="shared" si="44"/>
        <v>720.50000000000011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220</v>
      </c>
      <c r="DA12" s="16">
        <f t="shared" si="16"/>
        <v>792</v>
      </c>
      <c r="DB12" s="16">
        <f t="shared" si="18"/>
        <v>1337</v>
      </c>
      <c r="DC12" s="16">
        <f t="shared" si="19"/>
        <v>1820</v>
      </c>
      <c r="DD12" s="16">
        <f t="shared" si="20"/>
        <v>2009</v>
      </c>
      <c r="DE12" s="16">
        <f t="shared" si="21"/>
        <v>2288</v>
      </c>
      <c r="DF12" s="16">
        <f t="shared" si="22"/>
        <v>2583</v>
      </c>
      <c r="DG12" s="16">
        <f t="shared" si="23"/>
        <v>2830.9</v>
      </c>
      <c r="DH12" s="16">
        <f t="shared" ref="DH12:DK12" si="45">+DG12*1.03</f>
        <v>2915.8270000000002</v>
      </c>
      <c r="DI12" s="16">
        <f t="shared" si="45"/>
        <v>3003.3018100000004</v>
      </c>
      <c r="DJ12" s="16">
        <f t="shared" si="45"/>
        <v>3093.4008643000006</v>
      </c>
      <c r="DK12" s="16">
        <f t="shared" si="45"/>
        <v>3186.2028902290008</v>
      </c>
      <c r="DL12" s="15">
        <f>+DK12*0.1</f>
        <v>318.62028902290012</v>
      </c>
      <c r="DM12" s="15">
        <f t="shared" ref="DM12:DQ14" si="46">+DL12*0.1</f>
        <v>31.862028902290014</v>
      </c>
      <c r="DN12" s="15">
        <f t="shared" si="46"/>
        <v>3.1862028902290014</v>
      </c>
      <c r="DO12" s="15">
        <f t="shared" si="46"/>
        <v>0.31862028902290018</v>
      </c>
      <c r="DP12" s="15">
        <f t="shared" si="46"/>
        <v>3.1862028902290021E-2</v>
      </c>
      <c r="DQ12" s="15">
        <f t="shared" si="46"/>
        <v>3.1862028902290025E-3</v>
      </c>
    </row>
    <row r="13" spans="1:121" s="15" customFormat="1" x14ac:dyDescent="0.2">
      <c r="B13" s="23" t="s">
        <v>115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16">
        <v>14</v>
      </c>
      <c r="BR13" s="16">
        <v>33</v>
      </c>
      <c r="BS13" s="16">
        <v>86</v>
      </c>
      <c r="BT13" s="16">
        <v>149</v>
      </c>
      <c r="BU13" s="16">
        <v>215</v>
      </c>
      <c r="BV13" s="16">
        <v>281</v>
      </c>
      <c r="BW13" s="16">
        <v>303</v>
      </c>
      <c r="BX13" s="16">
        <v>378</v>
      </c>
      <c r="BY13" s="16">
        <v>453</v>
      </c>
      <c r="BZ13" s="16">
        <v>517</v>
      </c>
      <c r="CA13" s="16">
        <v>465</v>
      </c>
      <c r="CB13" s="16">
        <v>592</v>
      </c>
      <c r="CC13" s="16">
        <v>695</v>
      </c>
      <c r="CD13" s="16">
        <v>770</v>
      </c>
      <c r="CE13" s="16">
        <v>686</v>
      </c>
      <c r="CF13" s="16">
        <v>918</v>
      </c>
      <c r="CG13" s="16">
        <v>1110</v>
      </c>
      <c r="CH13" s="16">
        <v>1255</v>
      </c>
      <c r="CI13" s="16">
        <v>1093</v>
      </c>
      <c r="CJ13" s="16">
        <v>1430</v>
      </c>
      <c r="CK13" s="16">
        <v>1614</v>
      </c>
      <c r="CL13" s="16">
        <v>1834</v>
      </c>
      <c r="CM13" s="16">
        <v>1718</v>
      </c>
      <c r="CN13" s="16">
        <f>+CJ13*1.3</f>
        <v>1859</v>
      </c>
      <c r="CO13" s="16">
        <f>+CK13*1.3</f>
        <v>2098.2000000000003</v>
      </c>
      <c r="CP13" s="16">
        <f>+CL13*1.3</f>
        <v>2384.2000000000003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47</v>
      </c>
      <c r="DB13" s="16">
        <f t="shared" si="18"/>
        <v>731</v>
      </c>
      <c r="DC13" s="16">
        <f t="shared" si="19"/>
        <v>1651</v>
      </c>
      <c r="DD13" s="16">
        <f t="shared" si="20"/>
        <v>2522</v>
      </c>
      <c r="DE13" s="16">
        <f t="shared" si="21"/>
        <v>3969</v>
      </c>
      <c r="DF13" s="16">
        <f>SUM(CI13:CL13)</f>
        <v>5971</v>
      </c>
      <c r="DG13" s="16">
        <f t="shared" si="23"/>
        <v>8059.4000000000015</v>
      </c>
      <c r="DH13" s="16">
        <f>+DG13*1.2</f>
        <v>9671.2800000000007</v>
      </c>
      <c r="DI13" s="16">
        <f>+DH13*1.2</f>
        <v>11605.536</v>
      </c>
      <c r="DJ13" s="16">
        <f t="shared" ref="DJ13:DL13" si="47">+DI13*1.03</f>
        <v>11953.702080000001</v>
      </c>
      <c r="DK13" s="16">
        <f t="shared" si="47"/>
        <v>12312.313142400002</v>
      </c>
      <c r="DL13" s="16">
        <f t="shared" si="47"/>
        <v>12681.682536672002</v>
      </c>
      <c r="DM13" s="15">
        <f t="shared" si="46"/>
        <v>1268.1682536672004</v>
      </c>
      <c r="DN13" s="15">
        <f t="shared" si="46"/>
        <v>126.81682536672004</v>
      </c>
      <c r="DO13" s="15">
        <f t="shared" si="46"/>
        <v>12.681682536672005</v>
      </c>
      <c r="DP13" s="15">
        <f t="shared" si="46"/>
        <v>1.2681682536672005</v>
      </c>
      <c r="DQ13" s="15">
        <f t="shared" si="46"/>
        <v>0.12681682536672007</v>
      </c>
    </row>
    <row r="14" spans="1:121" s="15" customFormat="1" x14ac:dyDescent="0.2">
      <c r="B14" s="23" t="s">
        <v>124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192</v>
      </c>
      <c r="BU14" s="16">
        <v>358</v>
      </c>
      <c r="BV14" s="16">
        <v>401</v>
      </c>
      <c r="BW14" s="16">
        <v>346</v>
      </c>
      <c r="BX14" s="16">
        <v>432</v>
      </c>
      <c r="BY14" s="16">
        <v>461</v>
      </c>
      <c r="BZ14" s="16">
        <v>489</v>
      </c>
      <c r="CA14" s="16">
        <v>427</v>
      </c>
      <c r="CB14" s="16">
        <v>492</v>
      </c>
      <c r="CC14" s="16">
        <v>554</v>
      </c>
      <c r="CD14" s="16">
        <v>565</v>
      </c>
      <c r="CE14" s="16">
        <v>561</v>
      </c>
      <c r="CF14" s="16">
        <v>658</v>
      </c>
      <c r="CG14" s="16">
        <v>751</v>
      </c>
      <c r="CH14" s="16">
        <v>789</v>
      </c>
      <c r="CI14" s="16">
        <v>694</v>
      </c>
      <c r="CJ14" s="16">
        <v>774</v>
      </c>
      <c r="CK14" s="16">
        <v>875</v>
      </c>
      <c r="CL14" s="16">
        <v>924</v>
      </c>
      <c r="CM14" s="16">
        <v>765</v>
      </c>
      <c r="CN14" s="16">
        <f t="shared" ref="CM14:CP14" si="48">+CJ14*1.1</f>
        <v>851.40000000000009</v>
      </c>
      <c r="CO14" s="16">
        <f t="shared" si="48"/>
        <v>962.50000000000011</v>
      </c>
      <c r="CP14" s="16">
        <f t="shared" si="48"/>
        <v>1016.4000000000001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951</v>
      </c>
      <c r="DC14" s="16">
        <f t="shared" si="19"/>
        <v>1728</v>
      </c>
      <c r="DD14" s="16">
        <f t="shared" si="20"/>
        <v>2038</v>
      </c>
      <c r="DE14" s="16">
        <f t="shared" si="21"/>
        <v>2759</v>
      </c>
      <c r="DF14" s="16">
        <f t="shared" si="22"/>
        <v>3267</v>
      </c>
      <c r="DG14" s="16">
        <f t="shared" si="23"/>
        <v>3595.3</v>
      </c>
      <c r="DH14" s="16">
        <f t="shared" ref="DH14:DK14" si="49">+DG14*1.03</f>
        <v>3703.1590000000001</v>
      </c>
      <c r="DI14" s="16">
        <f t="shared" si="49"/>
        <v>3814.2537700000003</v>
      </c>
      <c r="DJ14" s="16">
        <f t="shared" si="49"/>
        <v>3928.6813831000004</v>
      </c>
      <c r="DK14" s="16">
        <f t="shared" si="49"/>
        <v>4046.5418245930005</v>
      </c>
      <c r="DL14" s="15">
        <f t="shared" ref="DL14" si="50">+DK14*0.1</f>
        <v>404.65418245930005</v>
      </c>
      <c r="DM14" s="15">
        <f t="shared" si="46"/>
        <v>40.46541824593001</v>
      </c>
      <c r="DN14" s="15">
        <f t="shared" si="46"/>
        <v>4.0465418245930014</v>
      </c>
      <c r="DO14" s="15">
        <f t="shared" si="46"/>
        <v>0.40465418245930018</v>
      </c>
      <c r="DP14" s="15">
        <f t="shared" si="46"/>
        <v>4.0465418245930022E-2</v>
      </c>
      <c r="DQ14" s="15">
        <f t="shared" si="46"/>
        <v>4.0465418245930022E-3</v>
      </c>
    </row>
    <row r="15" spans="1:121" s="15" customFormat="1" x14ac:dyDescent="0.2">
      <c r="B15" s="23" t="s">
        <v>119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95" t="s">
        <v>202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113</v>
      </c>
      <c r="BU15" s="16">
        <v>274</v>
      </c>
      <c r="BV15" s="16">
        <v>331</v>
      </c>
      <c r="BW15" s="16">
        <v>321</v>
      </c>
      <c r="BX15" s="16">
        <v>428</v>
      </c>
      <c r="BY15" s="16">
        <v>354</v>
      </c>
      <c r="BZ15" s="16">
        <v>252</v>
      </c>
      <c r="CA15" s="16">
        <v>410</v>
      </c>
      <c r="CB15" s="16">
        <v>344</v>
      </c>
      <c r="CC15" s="16">
        <v>352</v>
      </c>
      <c r="CD15" s="16">
        <v>322</v>
      </c>
      <c r="CE15" s="16">
        <v>355</v>
      </c>
      <c r="CF15" s="16">
        <v>368</v>
      </c>
      <c r="CG15" s="16">
        <v>321</v>
      </c>
      <c r="CH15" s="16">
        <v>334</v>
      </c>
      <c r="CI15" s="16">
        <v>297</v>
      </c>
      <c r="CJ15" s="16">
        <v>343</v>
      </c>
      <c r="CK15" s="16">
        <v>258</v>
      </c>
      <c r="CL15" s="16">
        <v>279</v>
      </c>
      <c r="CM15" s="16">
        <v>231</v>
      </c>
      <c r="CN15" s="16">
        <f t="shared" ref="CN15:CN16" si="51">+CJ15*0.9</f>
        <v>308.7</v>
      </c>
      <c r="CO15" s="16">
        <f t="shared" ref="CO15:CO16" si="52">+CK15*0.9</f>
        <v>232.20000000000002</v>
      </c>
      <c r="CP15" s="16">
        <f t="shared" ref="CP15:CP16" si="53">+CL15*0.9</f>
        <v>251.1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0</v>
      </c>
      <c r="DA15" s="16">
        <f t="shared" si="16"/>
        <v>0</v>
      </c>
      <c r="DB15" s="16">
        <f t="shared" si="18"/>
        <v>718</v>
      </c>
      <c r="DC15" s="16">
        <f t="shared" si="19"/>
        <v>1355</v>
      </c>
      <c r="DD15" s="16">
        <f t="shared" si="20"/>
        <v>1428</v>
      </c>
      <c r="DE15" s="16">
        <f t="shared" si="21"/>
        <v>1378</v>
      </c>
      <c r="DF15" s="16">
        <f t="shared" si="22"/>
        <v>1177</v>
      </c>
      <c r="DG15" s="16">
        <f t="shared" si="23"/>
        <v>1023.0000000000001</v>
      </c>
      <c r="DH15" s="16">
        <f t="shared" ref="DH15:DL15" si="54">+DG15*1.05</f>
        <v>1074.1500000000001</v>
      </c>
      <c r="DI15" s="16">
        <f t="shared" si="54"/>
        <v>1127.8575000000001</v>
      </c>
      <c r="DJ15" s="16">
        <f t="shared" si="54"/>
        <v>1184.2503750000001</v>
      </c>
      <c r="DK15" s="16">
        <f t="shared" si="54"/>
        <v>1243.4628937500001</v>
      </c>
      <c r="DL15" s="16">
        <f t="shared" si="54"/>
        <v>1305.6360384375002</v>
      </c>
      <c r="DM15" s="16">
        <f t="shared" ref="DM15" si="55">+DL15*1.05</f>
        <v>1370.9178403593753</v>
      </c>
      <c r="DN15" s="16">
        <f t="shared" ref="DN15" si="56">+DM15*1.05</f>
        <v>1439.4637323773441</v>
      </c>
      <c r="DO15" s="16">
        <f t="shared" ref="DO15" si="57">+DN15*1.05</f>
        <v>1511.4369189962113</v>
      </c>
      <c r="DP15" s="16">
        <f t="shared" ref="DP15" si="58">+DO15*1.05</f>
        <v>1587.008764946022</v>
      </c>
      <c r="DQ15" s="16">
        <f t="shared" ref="DQ15" si="59">+DP15*1.05</f>
        <v>1666.3592031933231</v>
      </c>
    </row>
    <row r="16" spans="1:121" s="15" customFormat="1" x14ac:dyDescent="0.2">
      <c r="B16" s="23" t="s">
        <v>132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276</v>
      </c>
      <c r="BJ16" s="16">
        <v>510</v>
      </c>
      <c r="BK16" s="16">
        <v>919</v>
      </c>
      <c r="BL16" s="16">
        <v>973</v>
      </c>
      <c r="BM16" s="16">
        <v>839</v>
      </c>
      <c r="BN16" s="16">
        <v>819</v>
      </c>
      <c r="BO16" s="16">
        <v>790</v>
      </c>
      <c r="BP16" s="16">
        <v>780</v>
      </c>
      <c r="BQ16" s="16">
        <v>695</v>
      </c>
      <c r="BR16" s="16">
        <v>628</v>
      </c>
      <c r="BS16" s="16">
        <v>559</v>
      </c>
      <c r="BT16" s="16">
        <v>376</v>
      </c>
      <c r="BU16" s="16">
        <v>414</v>
      </c>
      <c r="BV16" s="16">
        <v>481</v>
      </c>
      <c r="BW16" s="16">
        <v>415</v>
      </c>
      <c r="BX16" s="16">
        <v>442</v>
      </c>
      <c r="BY16" s="16">
        <v>426</v>
      </c>
      <c r="BZ16" s="16">
        <v>427</v>
      </c>
      <c r="CA16" s="16">
        <v>380</v>
      </c>
      <c r="CB16" s="16">
        <v>398</v>
      </c>
      <c r="CC16" s="16">
        <v>383</v>
      </c>
      <c r="CD16" s="16">
        <v>380</v>
      </c>
      <c r="CE16" s="16">
        <v>364</v>
      </c>
      <c r="CF16" s="16">
        <v>387</v>
      </c>
      <c r="CG16" s="16">
        <v>370</v>
      </c>
      <c r="CH16" s="16">
        <v>309</v>
      </c>
      <c r="CI16" s="16">
        <v>349</v>
      </c>
      <c r="CJ16" s="16">
        <v>369</v>
      </c>
      <c r="CK16" s="16">
        <v>302</v>
      </c>
      <c r="CL16" s="16">
        <v>291</v>
      </c>
      <c r="CM16" s="16">
        <v>306</v>
      </c>
      <c r="CN16" s="16">
        <f t="shared" si="51"/>
        <v>332.1</v>
      </c>
      <c r="CO16" s="16">
        <f t="shared" si="52"/>
        <v>271.8</v>
      </c>
      <c r="CP16" s="16">
        <f t="shared" si="53"/>
        <v>261.90000000000003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3550</v>
      </c>
      <c r="DA16" s="16">
        <f t="shared" si="16"/>
        <v>2893</v>
      </c>
      <c r="DB16" s="16">
        <f t="shared" si="18"/>
        <v>1830</v>
      </c>
      <c r="DC16" s="16">
        <f t="shared" si="19"/>
        <v>1710</v>
      </c>
      <c r="DD16" s="16">
        <f t="shared" si="20"/>
        <v>1541</v>
      </c>
      <c r="DE16" s="16">
        <f t="shared" si="21"/>
        <v>1430</v>
      </c>
      <c r="DF16" s="16">
        <f t="shared" si="22"/>
        <v>1311</v>
      </c>
      <c r="DG16" s="16">
        <f t="shared" si="23"/>
        <v>1171.8000000000002</v>
      </c>
      <c r="DH16" s="16">
        <f t="shared" ref="DH16:DL16" si="60">+DG16*0.7</f>
        <v>820.2600000000001</v>
      </c>
      <c r="DI16" s="16">
        <f t="shared" si="60"/>
        <v>574.18200000000002</v>
      </c>
      <c r="DJ16" s="16">
        <f t="shared" si="60"/>
        <v>401.92739999999998</v>
      </c>
      <c r="DK16" s="16">
        <f t="shared" si="60"/>
        <v>281.34917999999999</v>
      </c>
      <c r="DL16" s="16">
        <f t="shared" si="60"/>
        <v>196.94442599999999</v>
      </c>
      <c r="DM16" s="16">
        <f t="shared" ref="DM16" si="61">+DL16*0.7</f>
        <v>137.86109819999999</v>
      </c>
      <c r="DN16" s="16">
        <f t="shared" ref="DN16" si="62">+DM16*0.7</f>
        <v>96.502768739999979</v>
      </c>
      <c r="DO16" s="16">
        <f t="shared" ref="DO16" si="63">+DN16*0.7</f>
        <v>67.551938117999981</v>
      </c>
      <c r="DP16" s="16">
        <f t="shared" ref="DP16" si="64">+DO16*0.7</f>
        <v>47.286356682599987</v>
      </c>
      <c r="DQ16" s="16">
        <f t="shared" ref="DQ16" si="65">+DP16*0.7</f>
        <v>33.100449677819988</v>
      </c>
    </row>
    <row r="17" spans="2:121" s="15" customFormat="1" x14ac:dyDescent="0.2">
      <c r="B17" s="23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95" t="s">
        <v>202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142</v>
      </c>
      <c r="BU17" s="16">
        <v>300</v>
      </c>
      <c r="BV17" s="16">
        <v>318</v>
      </c>
      <c r="BW17" s="16">
        <v>343</v>
      </c>
      <c r="BX17" s="16">
        <v>422</v>
      </c>
      <c r="BY17" s="16">
        <v>352</v>
      </c>
      <c r="BZ17" s="16">
        <v>349</v>
      </c>
      <c r="CA17" s="16">
        <v>323</v>
      </c>
      <c r="CB17" s="16">
        <v>332</v>
      </c>
      <c r="CC17" s="16">
        <v>312</v>
      </c>
      <c r="CD17" s="16">
        <v>323</v>
      </c>
      <c r="CE17" s="16">
        <v>286</v>
      </c>
      <c r="CF17" s="16">
        <v>331</v>
      </c>
      <c r="CG17" s="16">
        <v>298</v>
      </c>
      <c r="CH17" s="16">
        <v>319</v>
      </c>
      <c r="CI17" s="16">
        <v>319</v>
      </c>
      <c r="CJ17" s="16">
        <v>318</v>
      </c>
      <c r="CK17" s="16">
        <v>310</v>
      </c>
      <c r="CL17" s="16">
        <v>332</v>
      </c>
      <c r="CM17" s="16">
        <v>315</v>
      </c>
      <c r="CN17" s="16">
        <f t="shared" ref="CN17:CN19" si="66">+CJ17</f>
        <v>318</v>
      </c>
      <c r="CO17" s="16">
        <f t="shared" ref="CO17:CO19" si="67">+CK17</f>
        <v>310</v>
      </c>
      <c r="CP17" s="16">
        <f t="shared" ref="CP17:CP19" si="68">+CL17</f>
        <v>332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0</v>
      </c>
      <c r="DA17" s="16">
        <f t="shared" si="16"/>
        <v>0</v>
      </c>
      <c r="DB17" s="16">
        <f t="shared" si="18"/>
        <v>760</v>
      </c>
      <c r="DC17" s="16">
        <f t="shared" si="19"/>
        <v>1466</v>
      </c>
      <c r="DD17" s="16">
        <f t="shared" si="20"/>
        <v>1290</v>
      </c>
      <c r="DE17" s="16">
        <f t="shared" si="21"/>
        <v>1234</v>
      </c>
      <c r="DF17" s="16">
        <f t="shared" si="22"/>
        <v>1279</v>
      </c>
      <c r="DG17" s="16">
        <f t="shared" si="23"/>
        <v>1275</v>
      </c>
      <c r="DH17" s="16">
        <f t="shared" ref="DH17:DL17" si="69">+DG17*0.9</f>
        <v>1147.5</v>
      </c>
      <c r="DI17" s="16">
        <f t="shared" si="69"/>
        <v>1032.75</v>
      </c>
      <c r="DJ17" s="16">
        <f t="shared" si="69"/>
        <v>929.47500000000002</v>
      </c>
      <c r="DK17" s="16">
        <f t="shared" si="69"/>
        <v>836.52750000000003</v>
      </c>
      <c r="DL17" s="16">
        <f t="shared" si="69"/>
        <v>752.87475000000006</v>
      </c>
      <c r="DM17" s="16">
        <f t="shared" ref="DM17" si="70">+DL17*0.9</f>
        <v>677.58727500000009</v>
      </c>
      <c r="DN17" s="16">
        <f t="shared" ref="DN17" si="71">+DM17*0.9</f>
        <v>609.82854750000013</v>
      </c>
      <c r="DO17" s="16">
        <f t="shared" ref="DO17" si="72">+DN17*0.9</f>
        <v>548.84569275000013</v>
      </c>
      <c r="DP17" s="16">
        <f t="shared" ref="DP17" si="73">+DO17*0.9</f>
        <v>493.96112347500014</v>
      </c>
      <c r="DQ17" s="16">
        <f t="shared" ref="DQ17" si="74">+DP17*0.9</f>
        <v>444.56501112750016</v>
      </c>
    </row>
    <row r="18" spans="2:121" s="15" customFormat="1" x14ac:dyDescent="0.2">
      <c r="B18" s="15" t="s">
        <v>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146</v>
      </c>
      <c r="AN18" s="16">
        <v>162</v>
      </c>
      <c r="AO18" s="16">
        <v>163</v>
      </c>
      <c r="AP18" s="16">
        <v>188</v>
      </c>
      <c r="AQ18" s="16">
        <v>90</v>
      </c>
      <c r="AR18" s="16">
        <v>106</v>
      </c>
      <c r="AS18" s="16">
        <v>101</v>
      </c>
      <c r="AT18" s="16">
        <v>115</v>
      </c>
      <c r="AU18" s="16">
        <v>107</v>
      </c>
      <c r="AV18" s="16">
        <v>110</v>
      </c>
      <c r="AW18" s="16">
        <v>148</v>
      </c>
      <c r="AX18" s="16">
        <v>151</v>
      </c>
      <c r="AY18" s="16">
        <v>127</v>
      </c>
      <c r="AZ18" s="16">
        <v>159</v>
      </c>
      <c r="BA18" s="16">
        <v>161</v>
      </c>
      <c r="BB18" s="16">
        <v>185</v>
      </c>
      <c r="BC18" s="16">
        <v>150</v>
      </c>
      <c r="BD18" s="16">
        <v>180</v>
      </c>
      <c r="BE18" s="16">
        <v>187</v>
      </c>
      <c r="BF18" s="16">
        <v>213</v>
      </c>
      <c r="BG18" s="16">
        <v>185</v>
      </c>
      <c r="BH18" s="16">
        <v>196</v>
      </c>
      <c r="BI18" s="16">
        <v>215</v>
      </c>
      <c r="BJ18" s="16">
        <v>235</v>
      </c>
      <c r="BK18" s="16">
        <v>209</v>
      </c>
      <c r="BL18" s="16">
        <v>219</v>
      </c>
      <c r="BM18" s="16">
        <v>239</v>
      </c>
      <c r="BN18" s="16">
        <v>261</v>
      </c>
      <c r="BO18" s="16">
        <v>227</v>
      </c>
      <c r="BP18" s="16">
        <v>257</v>
      </c>
      <c r="BQ18" s="16">
        <v>265</v>
      </c>
      <c r="BR18" s="16">
        <v>292</v>
      </c>
      <c r="BS18" s="16">
        <v>276</v>
      </c>
      <c r="BT18" s="16">
        <v>252</v>
      </c>
      <c r="BU18" s="16">
        <v>282</v>
      </c>
      <c r="BV18" s="16">
        <v>304</v>
      </c>
      <c r="BW18" s="16">
        <v>274</v>
      </c>
      <c r="BX18" s="16">
        <v>280</v>
      </c>
      <c r="BY18" s="16">
        <v>310</v>
      </c>
      <c r="BZ18" s="16">
        <v>327</v>
      </c>
      <c r="CA18" s="16">
        <v>287</v>
      </c>
      <c r="CB18" s="16">
        <v>318</v>
      </c>
      <c r="CC18" s="16">
        <v>336</v>
      </c>
      <c r="CD18" s="16">
        <v>337</v>
      </c>
      <c r="CE18" s="16">
        <v>305</v>
      </c>
      <c r="CF18" s="16">
        <v>282</v>
      </c>
      <c r="CG18" s="16">
        <v>305</v>
      </c>
      <c r="CH18" s="16">
        <v>376</v>
      </c>
      <c r="CI18" s="16">
        <v>285</v>
      </c>
      <c r="CJ18" s="16">
        <v>372</v>
      </c>
      <c r="CK18" s="16">
        <v>338</v>
      </c>
      <c r="CL18" s="16">
        <v>388</v>
      </c>
      <c r="CM18" s="16">
        <v>355</v>
      </c>
      <c r="CN18" s="16">
        <f t="shared" si="66"/>
        <v>372</v>
      </c>
      <c r="CO18" s="16">
        <f t="shared" si="67"/>
        <v>338</v>
      </c>
      <c r="CP18" s="16">
        <f t="shared" si="68"/>
        <v>388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928</v>
      </c>
      <c r="DA18" s="16">
        <f t="shared" si="16"/>
        <v>1041</v>
      </c>
      <c r="DB18" s="16">
        <f t="shared" si="18"/>
        <v>1114</v>
      </c>
      <c r="DC18" s="16">
        <f t="shared" si="19"/>
        <v>1191</v>
      </c>
      <c r="DD18" s="16">
        <f t="shared" si="20"/>
        <v>1278</v>
      </c>
      <c r="DE18" s="16">
        <f t="shared" si="21"/>
        <v>1268</v>
      </c>
      <c r="DF18" s="16">
        <f t="shared" si="22"/>
        <v>1383</v>
      </c>
      <c r="DG18" s="16">
        <f t="shared" si="23"/>
        <v>1453</v>
      </c>
      <c r="DH18" s="16">
        <f t="shared" ref="DH18:DL18" si="75">+DG18*1.03</f>
        <v>1496.5900000000001</v>
      </c>
      <c r="DI18" s="16">
        <f t="shared" si="75"/>
        <v>1541.4877000000001</v>
      </c>
      <c r="DJ18" s="16">
        <f t="shared" si="75"/>
        <v>1587.7323310000002</v>
      </c>
      <c r="DK18" s="16">
        <f t="shared" si="75"/>
        <v>1635.3643009300001</v>
      </c>
      <c r="DL18" s="16">
        <f t="shared" si="75"/>
        <v>1684.4252299579002</v>
      </c>
      <c r="DM18" s="16">
        <f t="shared" ref="DM18" si="76">+DL18*1.03</f>
        <v>1734.9579868566373</v>
      </c>
      <c r="DN18" s="16">
        <f t="shared" ref="DN18" si="77">+DM18*1.03</f>
        <v>1787.0067264623365</v>
      </c>
      <c r="DO18" s="16">
        <f t="shared" ref="DO18" si="78">+DN18*1.03</f>
        <v>1840.6169282562066</v>
      </c>
      <c r="DP18" s="16">
        <f t="shared" ref="DP18" si="79">+DO18*1.03</f>
        <v>1895.8354361038928</v>
      </c>
      <c r="DQ18" s="16">
        <f t="shared" ref="DQ18" si="80">+DP18*1.03</f>
        <v>1952.7104991870096</v>
      </c>
    </row>
    <row r="19" spans="2:121" s="15" customFormat="1" x14ac:dyDescent="0.2">
      <c r="B19" s="23" t="s">
        <v>131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128</v>
      </c>
      <c r="BU19" s="16">
        <v>269</v>
      </c>
      <c r="BV19" s="16">
        <v>296</v>
      </c>
      <c r="BW19" s="16">
        <v>276</v>
      </c>
      <c r="BX19" s="16">
        <v>301</v>
      </c>
      <c r="BY19" s="16">
        <v>286</v>
      </c>
      <c r="BZ19" s="16">
        <v>306</v>
      </c>
      <c r="CA19" s="16">
        <v>278</v>
      </c>
      <c r="CB19" s="16">
        <v>217</v>
      </c>
      <c r="CC19" s="16">
        <f>287-CC31</f>
        <v>181</v>
      </c>
      <c r="CD19" s="16">
        <f>283-CD31</f>
        <v>71</v>
      </c>
      <c r="CE19" s="16">
        <v>200</v>
      </c>
      <c r="CF19" s="16">
        <v>215</v>
      </c>
      <c r="CG19" s="16">
        <v>207</v>
      </c>
      <c r="CH19" s="16">
        <v>181</v>
      </c>
      <c r="CI19" s="16">
        <v>200</v>
      </c>
      <c r="CJ19" s="16">
        <v>225</v>
      </c>
      <c r="CK19" s="16">
        <v>207</v>
      </c>
      <c r="CL19" s="16">
        <v>215</v>
      </c>
      <c r="CM19" s="16">
        <v>217</v>
      </c>
      <c r="CN19" s="16">
        <f t="shared" si="66"/>
        <v>225</v>
      </c>
      <c r="CO19" s="16">
        <f t="shared" si="67"/>
        <v>207</v>
      </c>
      <c r="CP19" s="16">
        <f t="shared" si="68"/>
        <v>215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693</v>
      </c>
      <c r="DC19" s="16">
        <f t="shared" si="19"/>
        <v>1169</v>
      </c>
      <c r="DD19" s="16">
        <f>SUM(CA19:CD19)</f>
        <v>747</v>
      </c>
      <c r="DE19" s="16">
        <f t="shared" si="21"/>
        <v>803</v>
      </c>
      <c r="DF19" s="16">
        <f t="shared" si="22"/>
        <v>847</v>
      </c>
      <c r="DG19" s="16">
        <f t="shared" si="23"/>
        <v>864</v>
      </c>
      <c r="DH19" s="16">
        <f t="shared" ref="DH19:DL19" si="81">+DG19*0.9</f>
        <v>777.6</v>
      </c>
      <c r="DI19" s="16">
        <f t="shared" si="81"/>
        <v>699.84</v>
      </c>
      <c r="DJ19" s="16">
        <f t="shared" si="81"/>
        <v>629.85599999999999</v>
      </c>
      <c r="DK19" s="16">
        <f t="shared" si="81"/>
        <v>566.87040000000002</v>
      </c>
      <c r="DL19" s="16">
        <f t="shared" si="81"/>
        <v>510.18336000000005</v>
      </c>
      <c r="DM19" s="16">
        <f t="shared" ref="DM19:DM20" si="82">+DL19*0.9</f>
        <v>459.16502400000007</v>
      </c>
      <c r="DN19" s="16">
        <f t="shared" ref="DN19:DN20" si="83">+DM19*0.9</f>
        <v>413.24852160000006</v>
      </c>
      <c r="DO19" s="16">
        <f t="shared" ref="DO19:DO20" si="84">+DN19*0.9</f>
        <v>371.92366944000008</v>
      </c>
      <c r="DP19" s="16">
        <f t="shared" ref="DP19:DP20" si="85">+DO19*0.9</f>
        <v>334.73130249600007</v>
      </c>
      <c r="DQ19" s="16">
        <f t="shared" ref="DQ19:DQ20" si="86">+DP19*0.9</f>
        <v>301.25817224640008</v>
      </c>
    </row>
    <row r="20" spans="2:121" s="15" customFormat="1" x14ac:dyDescent="0.2">
      <c r="B20" s="23" t="s">
        <v>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144</v>
      </c>
      <c r="BU20" s="16">
        <v>299</v>
      </c>
      <c r="BV20" s="16">
        <v>344</v>
      </c>
      <c r="BW20" s="16">
        <v>280</v>
      </c>
      <c r="BX20" s="16">
        <v>327</v>
      </c>
      <c r="BY20" s="16">
        <v>319</v>
      </c>
      <c r="BZ20" s="16">
        <v>364</v>
      </c>
      <c r="CA20" s="16">
        <v>246</v>
      </c>
      <c r="CB20" s="16">
        <v>168</v>
      </c>
      <c r="CC20" s="16">
        <v>142</v>
      </c>
      <c r="CD20" s="16">
        <v>110</v>
      </c>
      <c r="CE20" s="16">
        <v>92</v>
      </c>
      <c r="CF20" s="16">
        <v>99</v>
      </c>
      <c r="CG20" s="16">
        <v>117</v>
      </c>
      <c r="CH20" s="16">
        <v>128</v>
      </c>
      <c r="CI20" s="16">
        <v>57</v>
      </c>
      <c r="CJ20" s="16">
        <v>32</v>
      </c>
      <c r="CK20" s="16">
        <v>21</v>
      </c>
      <c r="CL20" s="16">
        <v>114</v>
      </c>
      <c r="CM20" s="16">
        <f t="shared" ref="CM20:CP20" si="87">+CL20-3</f>
        <v>111</v>
      </c>
      <c r="CN20" s="16">
        <f t="shared" si="87"/>
        <v>108</v>
      </c>
      <c r="CO20" s="16">
        <f t="shared" si="87"/>
        <v>105</v>
      </c>
      <c r="CP20" s="16">
        <f t="shared" si="87"/>
        <v>102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787</v>
      </c>
      <c r="DC20" s="16">
        <f t="shared" si="19"/>
        <v>1290</v>
      </c>
      <c r="DD20" s="16">
        <f t="shared" si="20"/>
        <v>666</v>
      </c>
      <c r="DE20" s="16">
        <f t="shared" si="21"/>
        <v>436</v>
      </c>
      <c r="DF20" s="16">
        <f t="shared" si="22"/>
        <v>224</v>
      </c>
      <c r="DG20" s="16">
        <f t="shared" si="23"/>
        <v>426</v>
      </c>
      <c r="DH20" s="16">
        <f t="shared" ref="DH20:DL20" si="88">+DG20*0.9</f>
        <v>383.40000000000003</v>
      </c>
      <c r="DI20" s="16">
        <f t="shared" si="88"/>
        <v>345.06000000000006</v>
      </c>
      <c r="DJ20" s="16">
        <f t="shared" si="88"/>
        <v>310.55400000000009</v>
      </c>
      <c r="DK20" s="16">
        <f t="shared" si="88"/>
        <v>279.49860000000007</v>
      </c>
      <c r="DL20" s="16">
        <f t="shared" si="88"/>
        <v>251.54874000000007</v>
      </c>
      <c r="DM20" s="16">
        <f t="shared" si="82"/>
        <v>226.39386600000006</v>
      </c>
      <c r="DN20" s="16">
        <f t="shared" si="83"/>
        <v>203.75447940000006</v>
      </c>
      <c r="DO20" s="16">
        <f t="shared" si="84"/>
        <v>183.37903146000005</v>
      </c>
      <c r="DP20" s="16">
        <f t="shared" si="85"/>
        <v>165.04112831400005</v>
      </c>
      <c r="DQ20" s="16">
        <f t="shared" si="86"/>
        <v>148.53701548260005</v>
      </c>
    </row>
    <row r="21" spans="2:121" s="15" customFormat="1" x14ac:dyDescent="0.2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133</v>
      </c>
      <c r="BU21" s="16">
        <v>248</v>
      </c>
      <c r="BV21" s="16">
        <v>286</v>
      </c>
      <c r="BW21" s="16">
        <v>222</v>
      </c>
      <c r="BX21" s="16">
        <v>268</v>
      </c>
      <c r="BY21" s="16">
        <v>261</v>
      </c>
      <c r="BZ21" s="16">
        <v>287</v>
      </c>
      <c r="CA21" s="16">
        <v>240</v>
      </c>
      <c r="CB21" s="16">
        <v>255</v>
      </c>
      <c r="CC21" s="16">
        <v>271</v>
      </c>
      <c r="CD21" s="16">
        <v>269</v>
      </c>
      <c r="CE21" s="16">
        <v>259</v>
      </c>
      <c r="CF21" s="16">
        <v>278</v>
      </c>
      <c r="CG21" s="16">
        <v>288</v>
      </c>
      <c r="CH21" s="16">
        <v>283</v>
      </c>
      <c r="CI21" s="16">
        <v>266</v>
      </c>
      <c r="CJ21" s="16">
        <v>221</v>
      </c>
      <c r="CK21" s="16">
        <v>234</v>
      </c>
      <c r="CL21" s="16">
        <v>233</v>
      </c>
      <c r="CM21" s="16">
        <v>148</v>
      </c>
      <c r="CN21" s="16">
        <f t="shared" ref="CN21:CN22" si="89">+CJ21</f>
        <v>221</v>
      </c>
      <c r="CO21" s="16">
        <f t="shared" ref="CO21:CO22" si="90">+CK21</f>
        <v>234</v>
      </c>
      <c r="CP21" s="16">
        <f t="shared" ref="CP21:CP22" si="91">+CL21</f>
        <v>233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667</v>
      </c>
      <c r="DC21" s="16">
        <f t="shared" si="19"/>
        <v>1038</v>
      </c>
      <c r="DD21" s="16">
        <f t="shared" si="20"/>
        <v>1035</v>
      </c>
      <c r="DE21" s="16">
        <f t="shared" si="21"/>
        <v>1108</v>
      </c>
      <c r="DF21" s="16">
        <f t="shared" si="22"/>
        <v>954</v>
      </c>
      <c r="DG21" s="16">
        <f t="shared" si="23"/>
        <v>836</v>
      </c>
      <c r="DH21" s="16">
        <f t="shared" ref="DH21:DL21" si="92">+DG21*0.5</f>
        <v>418</v>
      </c>
      <c r="DI21" s="16">
        <f t="shared" si="92"/>
        <v>209</v>
      </c>
      <c r="DJ21" s="16">
        <f t="shared" si="92"/>
        <v>104.5</v>
      </c>
      <c r="DK21" s="16">
        <f t="shared" si="92"/>
        <v>52.25</v>
      </c>
      <c r="DL21" s="16">
        <f t="shared" si="92"/>
        <v>26.125</v>
      </c>
      <c r="DM21" s="16">
        <f t="shared" ref="DM21" si="93">+DL21*0.5</f>
        <v>13.0625</v>
      </c>
      <c r="DN21" s="16">
        <f t="shared" ref="DN21" si="94">+DM21*0.5</f>
        <v>6.53125</v>
      </c>
      <c r="DO21" s="16">
        <f t="shared" ref="DO21" si="95">+DN21*0.5</f>
        <v>3.265625</v>
      </c>
      <c r="DP21" s="16">
        <f t="shared" ref="DP21" si="96">+DO21*0.5</f>
        <v>1.6328125</v>
      </c>
      <c r="DQ21" s="16">
        <f t="shared" ref="DQ21" si="97">+DP21*0.5</f>
        <v>0.81640625</v>
      </c>
    </row>
    <row r="22" spans="2:121" s="15" customFormat="1" x14ac:dyDescent="0.2">
      <c r="B22" s="23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105</v>
      </c>
      <c r="BU22" s="16">
        <v>207</v>
      </c>
      <c r="BV22" s="16">
        <v>227</v>
      </c>
      <c r="BW22" s="16">
        <v>160</v>
      </c>
      <c r="BX22" s="16">
        <v>171</v>
      </c>
      <c r="BY22" s="16">
        <v>171</v>
      </c>
      <c r="BZ22" s="16">
        <v>183</v>
      </c>
      <c r="CA22" s="16">
        <v>177</v>
      </c>
      <c r="CB22" s="16">
        <v>150</v>
      </c>
      <c r="CC22" s="16">
        <v>87</v>
      </c>
      <c r="CD22" s="16">
        <v>61</v>
      </c>
      <c r="CE22" s="16">
        <v>79</v>
      </c>
      <c r="CF22" s="16">
        <v>70</v>
      </c>
      <c r="CG22" s="16">
        <v>61</v>
      </c>
      <c r="CH22" s="16">
        <v>66</v>
      </c>
      <c r="CI22" s="16">
        <v>74</v>
      </c>
      <c r="CJ22" s="16">
        <v>80</v>
      </c>
      <c r="CK22" s="16">
        <v>84</v>
      </c>
      <c r="CL22" s="16">
        <v>100</v>
      </c>
      <c r="CM22" s="16">
        <f t="shared" ref="CM21:CM22" si="98">+CI22</f>
        <v>74</v>
      </c>
      <c r="CN22" s="16">
        <f t="shared" si="89"/>
        <v>80</v>
      </c>
      <c r="CO22" s="16">
        <f t="shared" si="90"/>
        <v>84</v>
      </c>
      <c r="CP22" s="16">
        <f t="shared" si="91"/>
        <v>100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539</v>
      </c>
      <c r="DC22" s="16">
        <f t="shared" si="19"/>
        <v>685</v>
      </c>
      <c r="DD22" s="16">
        <f t="shared" si="20"/>
        <v>475</v>
      </c>
      <c r="DE22" s="16">
        <f t="shared" si="21"/>
        <v>276</v>
      </c>
      <c r="DF22" s="16">
        <f t="shared" si="22"/>
        <v>338</v>
      </c>
      <c r="DG22" s="16">
        <f t="shared" si="23"/>
        <v>338</v>
      </c>
      <c r="DH22" s="16">
        <f t="shared" ref="DH22:DL22" si="99">+DG22*0.9</f>
        <v>304.2</v>
      </c>
      <c r="DI22" s="16">
        <f t="shared" si="99"/>
        <v>273.77999999999997</v>
      </c>
      <c r="DJ22" s="16">
        <f t="shared" si="99"/>
        <v>246.40199999999999</v>
      </c>
      <c r="DK22" s="16">
        <f t="shared" si="99"/>
        <v>221.76179999999999</v>
      </c>
      <c r="DL22" s="16">
        <f t="shared" si="99"/>
        <v>199.58562000000001</v>
      </c>
      <c r="DM22" s="16">
        <f t="shared" ref="DM22:DM23" si="100">+DL22*0.9</f>
        <v>179.62705800000001</v>
      </c>
      <c r="DN22" s="16">
        <f t="shared" ref="DN22:DN23" si="101">+DM22*0.9</f>
        <v>161.6643522</v>
      </c>
      <c r="DO22" s="16">
        <f t="shared" ref="DO22:DO23" si="102">+DN22*0.9</f>
        <v>145.49791698000001</v>
      </c>
      <c r="DP22" s="16">
        <f t="shared" ref="DP22:DP23" si="103">+DO22*0.9</f>
        <v>130.94812528200001</v>
      </c>
      <c r="DQ22" s="16">
        <f t="shared" ref="DQ22:DQ23" si="104">+DP22*0.9</f>
        <v>117.85331275380001</v>
      </c>
    </row>
    <row r="23" spans="2:121" s="15" customFormat="1" x14ac:dyDescent="0.2">
      <c r="B23" s="23" t="s">
        <v>128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76</v>
      </c>
      <c r="BU23" s="16">
        <v>149</v>
      </c>
      <c r="BV23" s="16">
        <v>153</v>
      </c>
      <c r="BW23" s="16">
        <v>143</v>
      </c>
      <c r="BX23" s="16">
        <v>149</v>
      </c>
      <c r="BY23" s="16">
        <v>138</v>
      </c>
      <c r="BZ23" s="16">
        <v>149</v>
      </c>
      <c r="CA23" s="16">
        <v>140</v>
      </c>
      <c r="CB23" s="16">
        <v>130</v>
      </c>
      <c r="CC23" s="16">
        <v>121</v>
      </c>
      <c r="CD23" s="16">
        <v>123</v>
      </c>
      <c r="CE23" s="16">
        <v>130</v>
      </c>
      <c r="CF23" s="16">
        <v>119</v>
      </c>
      <c r="CG23" s="16">
        <v>91</v>
      </c>
      <c r="CH23" s="16">
        <v>92</v>
      </c>
      <c r="CI23" s="16">
        <v>91</v>
      </c>
      <c r="CJ23" s="16">
        <v>103</v>
      </c>
      <c r="CK23" s="16">
        <v>116</v>
      </c>
      <c r="CL23" s="16">
        <v>119</v>
      </c>
      <c r="CM23" s="16">
        <v>106</v>
      </c>
      <c r="CN23" s="16">
        <f t="shared" ref="CM23:CP23" si="105">+CM23-1</f>
        <v>105</v>
      </c>
      <c r="CO23" s="16">
        <f t="shared" si="105"/>
        <v>104</v>
      </c>
      <c r="CP23" s="16">
        <f t="shared" si="105"/>
        <v>103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378</v>
      </c>
      <c r="DC23" s="16">
        <f t="shared" si="19"/>
        <v>579</v>
      </c>
      <c r="DD23" s="16">
        <f t="shared" si="20"/>
        <v>514</v>
      </c>
      <c r="DE23" s="16">
        <f t="shared" si="21"/>
        <v>432</v>
      </c>
      <c r="DF23" s="16">
        <f t="shared" si="22"/>
        <v>429</v>
      </c>
      <c r="DG23" s="16">
        <f t="shared" si="23"/>
        <v>418</v>
      </c>
      <c r="DH23" s="16">
        <f t="shared" ref="DH23:DL23" si="106">+DG23*0.9</f>
        <v>376.2</v>
      </c>
      <c r="DI23" s="16">
        <f t="shared" si="106"/>
        <v>338.58</v>
      </c>
      <c r="DJ23" s="16">
        <f t="shared" si="106"/>
        <v>304.72199999999998</v>
      </c>
      <c r="DK23" s="16">
        <f t="shared" si="106"/>
        <v>274.24979999999999</v>
      </c>
      <c r="DL23" s="16">
        <f t="shared" si="106"/>
        <v>246.82481999999999</v>
      </c>
      <c r="DM23" s="16">
        <f t="shared" si="100"/>
        <v>222.142338</v>
      </c>
      <c r="DN23" s="16">
        <f t="shared" si="101"/>
        <v>199.92810420000001</v>
      </c>
      <c r="DO23" s="16">
        <f t="shared" si="102"/>
        <v>179.93529378000002</v>
      </c>
      <c r="DP23" s="16">
        <f t="shared" si="103"/>
        <v>161.94176440200002</v>
      </c>
      <c r="DQ23" s="16">
        <f t="shared" si="104"/>
        <v>145.74758796180001</v>
      </c>
    </row>
    <row r="24" spans="2:121" s="15" customFormat="1" x14ac:dyDescent="0.2">
      <c r="B24" s="23" t="s">
        <v>125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22</v>
      </c>
      <c r="BU24" s="16">
        <v>38</v>
      </c>
      <c r="BV24" s="16">
        <v>65</v>
      </c>
      <c r="BW24" s="16">
        <v>81</v>
      </c>
      <c r="BX24" s="16">
        <v>126</v>
      </c>
      <c r="BY24" s="16">
        <v>162</v>
      </c>
      <c r="BZ24" s="16">
        <v>183</v>
      </c>
      <c r="CA24" s="16">
        <v>138</v>
      </c>
      <c r="CB24" s="16">
        <v>185</v>
      </c>
      <c r="CC24" s="16">
        <v>160</v>
      </c>
      <c r="CD24" s="16">
        <v>197</v>
      </c>
      <c r="CE24" s="16">
        <v>152</v>
      </c>
      <c r="CF24" s="16">
        <v>196</v>
      </c>
      <c r="CG24" s="16">
        <v>233</v>
      </c>
      <c r="CH24" s="16">
        <v>234</v>
      </c>
      <c r="CI24" s="16">
        <v>203</v>
      </c>
      <c r="CJ24" s="16">
        <v>231</v>
      </c>
      <c r="CK24" s="16">
        <v>269</v>
      </c>
      <c r="CL24" s="16">
        <v>303</v>
      </c>
      <c r="CM24" s="16">
        <v>240</v>
      </c>
      <c r="CN24" s="16">
        <f t="shared" ref="CM24:CP24" si="107">+CJ24*1.1</f>
        <v>254.10000000000002</v>
      </c>
      <c r="CO24" s="16">
        <f t="shared" si="107"/>
        <v>295.90000000000003</v>
      </c>
      <c r="CP24" s="16">
        <f t="shared" si="107"/>
        <v>333.3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0</v>
      </c>
      <c r="DA24" s="16">
        <f t="shared" si="16"/>
        <v>0</v>
      </c>
      <c r="DB24" s="16">
        <f t="shared" si="18"/>
        <v>125</v>
      </c>
      <c r="DC24" s="16">
        <f t="shared" si="19"/>
        <v>552</v>
      </c>
      <c r="DD24" s="16">
        <f t="shared" si="20"/>
        <v>680</v>
      </c>
      <c r="DE24" s="16">
        <f t="shared" si="21"/>
        <v>815</v>
      </c>
      <c r="DF24" s="16">
        <f t="shared" si="22"/>
        <v>1006</v>
      </c>
      <c r="DG24" s="16">
        <f t="shared" si="23"/>
        <v>1123.3</v>
      </c>
      <c r="DH24" s="16">
        <f>+DG24*1.2</f>
        <v>1347.9599999999998</v>
      </c>
      <c r="DI24" s="16">
        <f>+DH24*1.1</f>
        <v>1482.7559999999999</v>
      </c>
      <c r="DJ24" s="16">
        <f>+DI24*1.1</f>
        <v>1631.0316</v>
      </c>
      <c r="DK24" s="16">
        <f>+DJ24*1.03</f>
        <v>1679.962548</v>
      </c>
      <c r="DL24" s="15">
        <f>+DK24*0.1</f>
        <v>167.9962548</v>
      </c>
      <c r="DM24" s="15">
        <f t="shared" ref="DM24:DQ24" si="108">+DL24*0.1</f>
        <v>16.79962548</v>
      </c>
      <c r="DN24" s="15">
        <f t="shared" si="108"/>
        <v>1.679962548</v>
      </c>
      <c r="DO24" s="15">
        <f t="shared" si="108"/>
        <v>0.16799625480000002</v>
      </c>
      <c r="DP24" s="15">
        <f t="shared" si="108"/>
        <v>1.6799625480000004E-2</v>
      </c>
      <c r="DQ24" s="15">
        <f t="shared" si="108"/>
        <v>1.6799625480000005E-3</v>
      </c>
    </row>
    <row r="25" spans="2:121" s="15" customFormat="1" x14ac:dyDescent="0.2">
      <c r="B25" s="15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37</v>
      </c>
      <c r="AP25" s="16"/>
      <c r="AQ25" s="16">
        <v>39</v>
      </c>
      <c r="AR25" s="16">
        <v>44</v>
      </c>
      <c r="AS25" s="16">
        <v>46</v>
      </c>
      <c r="AT25" s="16">
        <v>49</v>
      </c>
      <c r="AU25" s="16">
        <v>52</v>
      </c>
      <c r="AV25" s="16">
        <v>56</v>
      </c>
      <c r="AW25" s="16">
        <v>56</v>
      </c>
      <c r="AX25" s="16">
        <v>56</v>
      </c>
      <c r="AY25" s="16">
        <v>53</v>
      </c>
      <c r="AZ25" s="16">
        <v>55</v>
      </c>
      <c r="BA25" s="16">
        <v>61</v>
      </c>
      <c r="BB25" s="16">
        <v>62</v>
      </c>
      <c r="BC25" s="16">
        <v>68</v>
      </c>
      <c r="BD25" s="16">
        <v>73</v>
      </c>
      <c r="BE25" s="16">
        <v>74</v>
      </c>
      <c r="BF25" s="16">
        <v>78</v>
      </c>
      <c r="BG25" s="16">
        <v>80</v>
      </c>
      <c r="BH25" s="16">
        <v>81</v>
      </c>
      <c r="BI25" s="16">
        <v>94</v>
      </c>
      <c r="BJ25" s="16">
        <v>100</v>
      </c>
      <c r="BK25" s="16">
        <v>103</v>
      </c>
      <c r="BL25" s="16">
        <v>108</v>
      </c>
      <c r="BM25" s="16">
        <v>106</v>
      </c>
      <c r="BN25" s="16">
        <v>113</v>
      </c>
      <c r="BO25" s="16">
        <v>111</v>
      </c>
      <c r="BP25" s="16">
        <v>115</v>
      </c>
      <c r="BQ25" s="16">
        <v>117</v>
      </c>
      <c r="BR25" s="16">
        <v>118</v>
      </c>
      <c r="BS25" s="16">
        <v>124</v>
      </c>
      <c r="BT25" s="16">
        <v>118</v>
      </c>
      <c r="BU25" s="16">
        <v>123</v>
      </c>
      <c r="BV25" s="16">
        <v>129</v>
      </c>
      <c r="BW25" s="16">
        <v>129</v>
      </c>
      <c r="BX25" s="16">
        <v>127</v>
      </c>
      <c r="BY25" s="16">
        <v>127</v>
      </c>
      <c r="BZ25" s="16">
        <v>128</v>
      </c>
      <c r="CA25" s="16">
        <v>121</v>
      </c>
      <c r="CB25" s="16">
        <v>120</v>
      </c>
      <c r="CC25" s="16">
        <v>110</v>
      </c>
      <c r="CD25" s="16">
        <v>107</v>
      </c>
      <c r="CE25" s="16">
        <v>118</v>
      </c>
      <c r="CF25" s="16">
        <v>117</v>
      </c>
      <c r="CG25" s="16">
        <v>118</v>
      </c>
      <c r="CH25" s="16">
        <v>115</v>
      </c>
      <c r="CI25" s="16">
        <v>115</v>
      </c>
      <c r="CJ25" s="16">
        <v>113</v>
      </c>
      <c r="CK25" s="16">
        <v>111</v>
      </c>
      <c r="CL25" s="16">
        <v>108</v>
      </c>
      <c r="CM25" s="16">
        <v>96</v>
      </c>
      <c r="CN25" s="16">
        <f t="shared" ref="CM25:CP25" si="109">+CJ25</f>
        <v>113</v>
      </c>
      <c r="CO25" s="16">
        <f t="shared" si="109"/>
        <v>111</v>
      </c>
      <c r="CP25" s="16">
        <f t="shared" si="109"/>
        <v>108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430</v>
      </c>
      <c r="DA25" s="16">
        <f t="shared" si="16"/>
        <v>461</v>
      </c>
      <c r="DB25" s="16">
        <f t="shared" si="18"/>
        <v>494</v>
      </c>
      <c r="DC25" s="16">
        <f t="shared" si="19"/>
        <v>511</v>
      </c>
      <c r="DD25" s="16">
        <f t="shared" si="20"/>
        <v>458</v>
      </c>
      <c r="DE25" s="16">
        <f t="shared" si="21"/>
        <v>468</v>
      </c>
      <c r="DF25" s="16">
        <f t="shared" si="22"/>
        <v>447</v>
      </c>
      <c r="DG25" s="16">
        <f t="shared" si="23"/>
        <v>428</v>
      </c>
      <c r="DH25" s="16">
        <f t="shared" ref="DH25:DL25" si="110">+DG25*0.9</f>
        <v>385.2</v>
      </c>
      <c r="DI25" s="16">
        <f t="shared" si="110"/>
        <v>346.68</v>
      </c>
      <c r="DJ25" s="16">
        <f t="shared" si="110"/>
        <v>312.012</v>
      </c>
      <c r="DK25" s="16">
        <f t="shared" si="110"/>
        <v>280.81080000000003</v>
      </c>
      <c r="DL25" s="16">
        <f t="shared" si="110"/>
        <v>252.72972000000004</v>
      </c>
      <c r="DM25" s="16">
        <f t="shared" ref="DM25:DM26" si="111">+DL25*0.9</f>
        <v>227.45674800000003</v>
      </c>
      <c r="DN25" s="16">
        <f t="shared" ref="DN25:DN26" si="112">+DM25*0.9</f>
        <v>204.71107320000004</v>
      </c>
      <c r="DO25" s="16">
        <f t="shared" ref="DO25:DO26" si="113">+DN25*0.9</f>
        <v>184.23996588000006</v>
      </c>
      <c r="DP25" s="16">
        <f t="shared" ref="DP25:DP26" si="114">+DO25*0.9</f>
        <v>165.81596929200006</v>
      </c>
      <c r="DQ25" s="16">
        <f t="shared" ref="DQ25:DQ26" si="115">+DP25*0.9</f>
        <v>149.23437236280006</v>
      </c>
    </row>
    <row r="26" spans="2:121" s="15" customFormat="1" x14ac:dyDescent="0.2">
      <c r="B26" s="23" t="s">
        <v>129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69</v>
      </c>
      <c r="BU26" s="16">
        <v>123</v>
      </c>
      <c r="BV26" s="16">
        <v>134</v>
      </c>
      <c r="BW26" s="16">
        <v>118</v>
      </c>
      <c r="BX26" s="16">
        <v>142</v>
      </c>
      <c r="BY26" s="16">
        <v>128</v>
      </c>
      <c r="BZ26" s="16">
        <v>141</v>
      </c>
      <c r="CA26" s="16">
        <v>107</v>
      </c>
      <c r="CB26" s="16">
        <v>92</v>
      </c>
      <c r="CC26" s="16">
        <v>73</v>
      </c>
      <c r="CD26" s="16">
        <v>74</v>
      </c>
      <c r="CE26" s="16">
        <v>71</v>
      </c>
      <c r="CF26" s="16">
        <v>65</v>
      </c>
      <c r="CG26" s="16">
        <v>70</v>
      </c>
      <c r="CH26" s="16">
        <v>66</v>
      </c>
      <c r="CI26" s="16">
        <v>59</v>
      </c>
      <c r="CJ26" s="16">
        <v>49</v>
      </c>
      <c r="CK26" s="16">
        <v>62</v>
      </c>
      <c r="CL26" s="16">
        <v>78</v>
      </c>
      <c r="CM26" s="16">
        <v>60</v>
      </c>
      <c r="CN26" s="16">
        <f t="shared" ref="CM26:CP26" si="116">+CM26-1</f>
        <v>59</v>
      </c>
      <c r="CO26" s="16">
        <f t="shared" si="116"/>
        <v>58</v>
      </c>
      <c r="CP26" s="16">
        <f t="shared" si="116"/>
        <v>57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326</v>
      </c>
      <c r="DC26" s="16">
        <f t="shared" si="19"/>
        <v>529</v>
      </c>
      <c r="DD26" s="16">
        <f t="shared" si="20"/>
        <v>346</v>
      </c>
      <c r="DE26" s="16">
        <f t="shared" si="21"/>
        <v>272</v>
      </c>
      <c r="DF26" s="16">
        <f t="shared" si="22"/>
        <v>248</v>
      </c>
      <c r="DG26" s="16">
        <f t="shared" si="23"/>
        <v>234</v>
      </c>
      <c r="DH26" s="16">
        <f t="shared" ref="DH26:DL26" si="117">+DG26*0.9</f>
        <v>210.6</v>
      </c>
      <c r="DI26" s="16">
        <f t="shared" si="117"/>
        <v>189.54</v>
      </c>
      <c r="DJ26" s="16">
        <f t="shared" si="117"/>
        <v>170.58599999999998</v>
      </c>
      <c r="DK26" s="16">
        <f t="shared" si="117"/>
        <v>153.5274</v>
      </c>
      <c r="DL26" s="16">
        <f t="shared" si="117"/>
        <v>138.17466000000002</v>
      </c>
      <c r="DM26" s="16">
        <f t="shared" si="111"/>
        <v>124.35719400000002</v>
      </c>
      <c r="DN26" s="16">
        <f t="shared" si="112"/>
        <v>111.92147460000002</v>
      </c>
      <c r="DO26" s="16">
        <f t="shared" si="113"/>
        <v>100.72932714000002</v>
      </c>
      <c r="DP26" s="16">
        <f t="shared" si="114"/>
        <v>90.65639442600002</v>
      </c>
      <c r="DQ26" s="16">
        <f t="shared" si="115"/>
        <v>81.590754983400018</v>
      </c>
    </row>
    <row r="27" spans="2:121" s="15" customFormat="1" x14ac:dyDescent="0.2">
      <c r="B27" s="23" t="s">
        <v>126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11</v>
      </c>
      <c r="CB27" s="16">
        <v>33</v>
      </c>
      <c r="CC27" s="16">
        <v>62</v>
      </c>
      <c r="CD27" s="16">
        <v>52</v>
      </c>
      <c r="CE27" s="16">
        <v>66</v>
      </c>
      <c r="CF27" s="16">
        <v>96</v>
      </c>
      <c r="CG27" s="16">
        <v>132</v>
      </c>
      <c r="CH27" s="16">
        <v>114</v>
      </c>
      <c r="CI27" s="16">
        <v>131</v>
      </c>
      <c r="CJ27" s="16">
        <v>150</v>
      </c>
      <c r="CK27" s="16">
        <v>176</v>
      </c>
      <c r="CL27" s="16">
        <v>201</v>
      </c>
      <c r="CM27" s="16">
        <v>193</v>
      </c>
      <c r="CN27" s="16">
        <f t="shared" ref="CM27:CP27" si="118">+CJ27*1.3</f>
        <v>195</v>
      </c>
      <c r="CO27" s="16">
        <f t="shared" si="118"/>
        <v>228.8</v>
      </c>
      <c r="CP27" s="16">
        <f t="shared" si="118"/>
        <v>261.3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>
        <f t="shared" si="15"/>
        <v>0</v>
      </c>
      <c r="DA27" s="16">
        <f t="shared" si="16"/>
        <v>0</v>
      </c>
      <c r="DB27" s="16">
        <f t="shared" si="18"/>
        <v>0</v>
      </c>
      <c r="DC27" s="16">
        <f t="shared" si="19"/>
        <v>0</v>
      </c>
      <c r="DD27" s="16">
        <f t="shared" si="20"/>
        <v>158</v>
      </c>
      <c r="DE27" s="16">
        <f t="shared" si="21"/>
        <v>408</v>
      </c>
      <c r="DF27" s="16">
        <f t="shared" si="22"/>
        <v>658</v>
      </c>
      <c r="DG27" s="16">
        <f t="shared" si="23"/>
        <v>878.09999999999991</v>
      </c>
      <c r="DH27" s="16">
        <f>+DG27*1.2</f>
        <v>1053.7199999999998</v>
      </c>
      <c r="DI27" s="16">
        <f>+DH27*1.1</f>
        <v>1159.0919999999999</v>
      </c>
      <c r="DJ27" s="16">
        <f>+DI27*1.1</f>
        <v>1275.0011999999999</v>
      </c>
      <c r="DK27" s="16">
        <f>+DJ27*1.03</f>
        <v>1313.2512360000001</v>
      </c>
      <c r="DL27" s="15">
        <f>+DK27*0.1</f>
        <v>131.32512360000001</v>
      </c>
      <c r="DM27" s="15">
        <f t="shared" ref="DM27:DQ27" si="119">+DL27*0.1</f>
        <v>13.132512360000002</v>
      </c>
      <c r="DN27" s="15">
        <f t="shared" si="119"/>
        <v>1.3132512360000002</v>
      </c>
      <c r="DO27" s="15">
        <f t="shared" si="119"/>
        <v>0.13132512360000001</v>
      </c>
      <c r="DP27" s="15">
        <f t="shared" si="119"/>
        <v>1.3132512360000001E-2</v>
      </c>
      <c r="DQ27" s="15">
        <f t="shared" si="119"/>
        <v>1.3132512360000002E-3</v>
      </c>
    </row>
    <row r="28" spans="2:121" s="15" customFormat="1" x14ac:dyDescent="0.2">
      <c r="B28" s="79" t="s">
        <v>324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>
        <v>64</v>
      </c>
      <c r="CJ28" s="16">
        <v>128</v>
      </c>
      <c r="CK28" s="16">
        <v>139</v>
      </c>
      <c r="CL28" s="16">
        <v>148</v>
      </c>
      <c r="CM28" s="16">
        <v>179</v>
      </c>
      <c r="CN28" s="16">
        <f>+CM28+5</f>
        <v>184</v>
      </c>
      <c r="CO28" s="16">
        <f>+CN28+5</f>
        <v>189</v>
      </c>
      <c r="CP28" s="16">
        <f>+CO28+5</f>
        <v>194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>
        <f t="shared" si="22"/>
        <v>479</v>
      </c>
      <c r="DG28" s="16">
        <f t="shared" si="23"/>
        <v>746</v>
      </c>
      <c r="DH28" s="16">
        <f>+DG28*1.1</f>
        <v>820.6</v>
      </c>
      <c r="DI28" s="16">
        <f>+DH28*1.1</f>
        <v>902.66000000000008</v>
      </c>
      <c r="DJ28" s="16">
        <f>+DI28*1.1</f>
        <v>992.92600000000016</v>
      </c>
      <c r="DK28" s="16">
        <f>+DJ28*1.1</f>
        <v>1092.2186000000002</v>
      </c>
      <c r="DL28" s="16">
        <f>+DK28*1.1</f>
        <v>1201.4404600000003</v>
      </c>
      <c r="DM28" s="16">
        <f t="shared" ref="DM28:DQ28" si="120">+DL28*1.1</f>
        <v>1321.5845060000004</v>
      </c>
      <c r="DN28" s="16">
        <f t="shared" si="120"/>
        <v>1453.7429566000005</v>
      </c>
      <c r="DO28" s="16">
        <f t="shared" si="120"/>
        <v>1599.1172522600007</v>
      </c>
      <c r="DP28" s="16">
        <f t="shared" si="120"/>
        <v>1759.0289774860009</v>
      </c>
      <c r="DQ28" s="16">
        <f t="shared" si="120"/>
        <v>1934.9318752346012</v>
      </c>
    </row>
    <row r="29" spans="2:121" s="15" customFormat="1" x14ac:dyDescent="0.2">
      <c r="B29" s="109" t="s">
        <v>635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>
        <v>300</v>
      </c>
      <c r="DH29" s="16">
        <v>500</v>
      </c>
      <c r="DI29" s="16">
        <v>800</v>
      </c>
      <c r="DJ29" s="16">
        <v>1200</v>
      </c>
      <c r="DK29" s="16">
        <v>1500</v>
      </c>
      <c r="DL29" s="16">
        <v>1800</v>
      </c>
      <c r="DM29" s="16">
        <v>2000</v>
      </c>
      <c r="DN29" s="16">
        <v>2200</v>
      </c>
      <c r="DO29" s="16">
        <v>2400</v>
      </c>
      <c r="DP29" s="16">
        <v>2600</v>
      </c>
      <c r="DQ29" s="16">
        <v>2800</v>
      </c>
    </row>
    <row r="30" spans="2:121" s="15" customFormat="1" x14ac:dyDescent="0.2">
      <c r="B30" s="79" t="s">
        <v>325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>
        <v>14</v>
      </c>
      <c r="CH30" s="16">
        <v>17</v>
      </c>
      <c r="CI30" s="16">
        <v>27</v>
      </c>
      <c r="CJ30" s="16">
        <v>36</v>
      </c>
      <c r="CK30" s="16">
        <v>43</v>
      </c>
      <c r="CL30" s="16">
        <v>40</v>
      </c>
      <c r="CM30" s="16">
        <v>51</v>
      </c>
      <c r="CN30" s="16">
        <f>+CM30+15</f>
        <v>66</v>
      </c>
      <c r="CO30" s="16">
        <f>+CN30+15</f>
        <v>81</v>
      </c>
      <c r="CP30" s="16">
        <f>+CO30+15</f>
        <v>96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ref="DE30:DE31" si="121">SUM(CE30:CH30)</f>
        <v>31</v>
      </c>
      <c r="DF30" s="16">
        <f t="shared" si="22"/>
        <v>146</v>
      </c>
      <c r="DG30" s="16">
        <f t="shared" si="23"/>
        <v>294</v>
      </c>
      <c r="DH30" s="16">
        <f>+DG30*1.4</f>
        <v>411.59999999999997</v>
      </c>
      <c r="DI30" s="16">
        <f>+DH30*1.3</f>
        <v>535.07999999999993</v>
      </c>
      <c r="DJ30" s="16">
        <f t="shared" ref="DJ30:DK30" si="122">+DI30*1.2</f>
        <v>642.09599999999989</v>
      </c>
      <c r="DK30" s="16">
        <f t="shared" si="122"/>
        <v>770.51519999999982</v>
      </c>
      <c r="DL30" s="16">
        <f>+DK30*1.1</f>
        <v>847.56671999999992</v>
      </c>
      <c r="DM30" s="16">
        <f>+DL30*1.05</f>
        <v>889.94505599999991</v>
      </c>
      <c r="DN30" s="16">
        <f t="shared" ref="DN30:DQ30" si="123">+DM30*1.05</f>
        <v>934.44230879999998</v>
      </c>
      <c r="DO30" s="16">
        <f t="shared" si="123"/>
        <v>981.16442424000002</v>
      </c>
      <c r="DP30" s="16">
        <f t="shared" si="123"/>
        <v>1030.2226454520001</v>
      </c>
      <c r="DQ30" s="16">
        <f t="shared" si="123"/>
        <v>1081.7337777246</v>
      </c>
    </row>
    <row r="31" spans="2:121" s="15" customFormat="1" x14ac:dyDescent="0.2">
      <c r="B31" s="74" t="s">
        <v>318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>
        <v>110</v>
      </c>
      <c r="CC31" s="16">
        <v>106</v>
      </c>
      <c r="CD31" s="16">
        <f>428-CC31-CB31-CA31</f>
        <v>212</v>
      </c>
      <c r="CE31" s="16">
        <v>115</v>
      </c>
      <c r="CF31" s="16">
        <v>119</v>
      </c>
      <c r="CG31" s="16">
        <v>120</v>
      </c>
      <c r="CH31" s="16">
        <v>118</v>
      </c>
      <c r="CI31" s="16">
        <v>131</v>
      </c>
      <c r="CJ31" s="16">
        <v>124</v>
      </c>
      <c r="CK31" s="16">
        <v>119</v>
      </c>
      <c r="CL31" s="16">
        <v>120</v>
      </c>
      <c r="CM31" s="16">
        <v>123</v>
      </c>
      <c r="CN31" s="16">
        <f t="shared" ref="CM31:CP31" si="124">+CJ31+5</f>
        <v>129</v>
      </c>
      <c r="CO31" s="16">
        <f t="shared" si="124"/>
        <v>124</v>
      </c>
      <c r="CP31" s="16">
        <f t="shared" si="124"/>
        <v>125</v>
      </c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>
        <f>SUM(CA31:CD31)</f>
        <v>428</v>
      </c>
      <c r="DE31" s="16">
        <f t="shared" si="121"/>
        <v>472</v>
      </c>
      <c r="DF31" s="16">
        <f t="shared" si="22"/>
        <v>494</v>
      </c>
      <c r="DG31" s="16">
        <f t="shared" si="23"/>
        <v>501</v>
      </c>
      <c r="DH31" s="16">
        <f>+DG31</f>
        <v>501</v>
      </c>
      <c r="DI31" s="16">
        <f t="shared" ref="DI31:DQ31" si="125">+DH31</f>
        <v>501</v>
      </c>
      <c r="DJ31" s="16">
        <f t="shared" si="125"/>
        <v>501</v>
      </c>
      <c r="DK31" s="16">
        <f t="shared" si="125"/>
        <v>501</v>
      </c>
      <c r="DL31" s="16">
        <f t="shared" si="125"/>
        <v>501</v>
      </c>
      <c r="DM31" s="16">
        <f t="shared" si="125"/>
        <v>501</v>
      </c>
      <c r="DN31" s="16">
        <f t="shared" si="125"/>
        <v>501</v>
      </c>
      <c r="DO31" s="16">
        <f t="shared" si="125"/>
        <v>501</v>
      </c>
      <c r="DP31" s="16">
        <f t="shared" si="125"/>
        <v>501</v>
      </c>
      <c r="DQ31" s="16">
        <f t="shared" si="125"/>
        <v>501</v>
      </c>
    </row>
    <row r="32" spans="2:121" s="15" customFormat="1" x14ac:dyDescent="0.2">
      <c r="B32" s="109" t="s">
        <v>461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100</v>
      </c>
      <c r="DH32" s="16">
        <v>200</v>
      </c>
      <c r="DI32" s="16">
        <v>300</v>
      </c>
      <c r="DJ32" s="16">
        <f>+DI32*1.01</f>
        <v>303</v>
      </c>
      <c r="DK32" s="16">
        <f t="shared" ref="DK32:DP32" si="126">+DJ32*1.01</f>
        <v>306.03000000000003</v>
      </c>
      <c r="DL32" s="16">
        <f t="shared" si="126"/>
        <v>309.09030000000001</v>
      </c>
      <c r="DM32" s="16">
        <f t="shared" si="126"/>
        <v>312.18120300000004</v>
      </c>
      <c r="DN32" s="16">
        <f t="shared" si="126"/>
        <v>315.30301503000004</v>
      </c>
      <c r="DO32" s="16">
        <f t="shared" si="126"/>
        <v>318.45604518030007</v>
      </c>
      <c r="DP32" s="16">
        <f t="shared" si="126"/>
        <v>321.64060563210307</v>
      </c>
      <c r="DQ32" s="16">
        <f>+DP32*0.1</f>
        <v>32.164060563210306</v>
      </c>
    </row>
    <row r="33" spans="2:121" s="15" customFormat="1" x14ac:dyDescent="0.2">
      <c r="B33" s="109" t="s">
        <v>572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>
        <v>63</v>
      </c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>
        <v>50</v>
      </c>
      <c r="DH33" s="16">
        <v>150</v>
      </c>
      <c r="DI33" s="16">
        <v>300</v>
      </c>
      <c r="DJ33" s="16">
        <v>450</v>
      </c>
      <c r="DK33" s="16">
        <v>600</v>
      </c>
      <c r="DL33" s="16">
        <v>700</v>
      </c>
      <c r="DM33" s="16">
        <v>800</v>
      </c>
      <c r="DN33" s="16">
        <v>900</v>
      </c>
      <c r="DO33" s="16">
        <v>1000</v>
      </c>
      <c r="DP33" s="16">
        <f>+DO33</f>
        <v>1000</v>
      </c>
      <c r="DQ33" s="16">
        <f>+DP33</f>
        <v>1000</v>
      </c>
    </row>
    <row r="34" spans="2:121" s="15" customFormat="1" x14ac:dyDescent="0.2">
      <c r="B34" s="48" t="s">
        <v>230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80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0</v>
      </c>
      <c r="DB34" s="16">
        <f t="shared" si="18"/>
        <v>80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21" s="15" customFormat="1" x14ac:dyDescent="0.2">
      <c r="B35" s="48" t="s">
        <v>231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19</v>
      </c>
      <c r="BQ35" s="16">
        <v>27</v>
      </c>
      <c r="BR35" s="16">
        <v>34</v>
      </c>
      <c r="BS35" s="16">
        <v>31</v>
      </c>
      <c r="BT35" s="16">
        <v>31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15"/>
        <v>0</v>
      </c>
      <c r="DA35" s="16">
        <f t="shared" si="16"/>
        <v>80</v>
      </c>
      <c r="DB35" s="16">
        <f t="shared" si="18"/>
        <v>62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21" s="15" customFormat="1" x14ac:dyDescent="0.2">
      <c r="B36" s="98" t="s">
        <v>436</v>
      </c>
      <c r="C36" s="16"/>
      <c r="D36" s="16"/>
      <c r="E36" s="16"/>
      <c r="F36" s="16"/>
      <c r="G36" s="16">
        <v>50</v>
      </c>
      <c r="H36" s="16">
        <v>43</v>
      </c>
      <c r="I36" s="16">
        <v>50</v>
      </c>
      <c r="J36" s="16">
        <v>54</v>
      </c>
      <c r="K36" s="16">
        <v>52</v>
      </c>
      <c r="L36" s="16">
        <v>57</v>
      </c>
      <c r="M36" s="16">
        <f>219-N36-L36-K36</f>
        <v>56</v>
      </c>
      <c r="N36" s="16">
        <v>54</v>
      </c>
      <c r="O36" s="16">
        <v>53</v>
      </c>
      <c r="P36" s="16">
        <v>58</v>
      </c>
      <c r="Q36" s="16">
        <f>168-P36-O36</f>
        <v>57</v>
      </c>
      <c r="R36" s="16">
        <v>61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21" s="15" customFormat="1" x14ac:dyDescent="0.2">
      <c r="B37" s="98" t="s">
        <v>437</v>
      </c>
      <c r="C37" s="16"/>
      <c r="D37" s="16"/>
      <c r="E37" s="16"/>
      <c r="F37" s="16"/>
      <c r="G37" s="16">
        <v>37</v>
      </c>
      <c r="H37" s="16">
        <v>30</v>
      </c>
      <c r="I37" s="16">
        <v>35</v>
      </c>
      <c r="J37" s="16">
        <v>41</v>
      </c>
      <c r="K37" s="16">
        <v>36</v>
      </c>
      <c r="L37" s="16">
        <v>37</v>
      </c>
      <c r="M37" s="16">
        <f>154-L37-K37-N37</f>
        <v>40</v>
      </c>
      <c r="N37" s="16">
        <v>41</v>
      </c>
      <c r="O37" s="16">
        <v>40</v>
      </c>
      <c r="P37" s="16">
        <v>44</v>
      </c>
      <c r="Q37" s="16">
        <f>127-P37-O37</f>
        <v>43</v>
      </c>
      <c r="R37" s="16">
        <v>46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21" s="15" customFormat="1" x14ac:dyDescent="0.2">
      <c r="B38" s="98" t="s">
        <v>438</v>
      </c>
      <c r="C38" s="16"/>
      <c r="D38" s="16"/>
      <c r="E38" s="16"/>
      <c r="F38" s="16"/>
      <c r="G38" s="16">
        <v>700</v>
      </c>
      <c r="H38" s="16">
        <v>706</v>
      </c>
      <c r="I38" s="16">
        <v>711</v>
      </c>
      <c r="J38" s="16">
        <v>475</v>
      </c>
      <c r="K38" s="16">
        <v>590</v>
      </c>
      <c r="L38" s="16">
        <v>337</v>
      </c>
      <c r="M38" s="16">
        <f>2501-L38-K38-N38</f>
        <v>942</v>
      </c>
      <c r="N38" s="16">
        <v>632</v>
      </c>
      <c r="O38" s="16">
        <v>616</v>
      </c>
      <c r="P38" s="16">
        <v>663</v>
      </c>
      <c r="Q38" s="16">
        <f>1891-P38-O38</f>
        <v>612</v>
      </c>
      <c r="R38" s="16">
        <v>709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21" s="15" customFormat="1" x14ac:dyDescent="0.2">
      <c r="B39" s="15" t="s">
        <v>9</v>
      </c>
      <c r="C39" s="16"/>
      <c r="D39" s="16"/>
      <c r="E39" s="16"/>
      <c r="F39" s="16"/>
      <c r="G39" s="16">
        <v>180</v>
      </c>
      <c r="H39" s="16">
        <v>182</v>
      </c>
      <c r="I39" s="16">
        <v>202</v>
      </c>
      <c r="J39" s="16">
        <v>206</v>
      </c>
      <c r="K39" s="16">
        <v>171</v>
      </c>
      <c r="L39" s="16">
        <v>174</v>
      </c>
      <c r="M39" s="16">
        <f>699-L39-K39-N39</f>
        <v>181</v>
      </c>
      <c r="N39" s="16">
        <v>173</v>
      </c>
      <c r="O39" s="16">
        <v>168</v>
      </c>
      <c r="P39" s="16">
        <v>159</v>
      </c>
      <c r="Q39" s="16">
        <f>499-P39-O39</f>
        <v>172</v>
      </c>
      <c r="R39" s="16">
        <v>164</v>
      </c>
      <c r="S39" s="16"/>
      <c r="T39" s="16"/>
      <c r="U39" s="16"/>
      <c r="V39" s="16"/>
      <c r="W39" s="16">
        <f>218-X39</f>
        <v>64</v>
      </c>
      <c r="X39" s="16">
        <v>154</v>
      </c>
      <c r="Y39" s="16">
        <v>221</v>
      </c>
      <c r="Z39" s="16">
        <v>213</v>
      </c>
      <c r="AA39" s="16">
        <f>390-AB39</f>
        <v>193</v>
      </c>
      <c r="AB39" s="16">
        <v>197</v>
      </c>
      <c r="AC39" s="16">
        <v>195</v>
      </c>
      <c r="AD39" s="16">
        <v>215</v>
      </c>
      <c r="AE39" s="16">
        <v>172</v>
      </c>
      <c r="AF39" s="16">
        <v>187</v>
      </c>
      <c r="AG39" s="16">
        <v>189</v>
      </c>
      <c r="AH39" s="16">
        <v>200</v>
      </c>
      <c r="AI39" s="16">
        <v>184</v>
      </c>
      <c r="AJ39" s="16">
        <v>205</v>
      </c>
      <c r="AK39" s="16">
        <f>810-AJ39-AI39-AL39</f>
        <v>213</v>
      </c>
      <c r="AL39" s="16">
        <v>208</v>
      </c>
      <c r="AM39" s="16">
        <v>199</v>
      </c>
      <c r="AN39" s="16">
        <v>200</v>
      </c>
      <c r="AO39" s="16">
        <v>189</v>
      </c>
      <c r="AP39" s="16">
        <v>211</v>
      </c>
      <c r="AQ39" s="16">
        <v>181</v>
      </c>
      <c r="AR39" s="16">
        <v>199</v>
      </c>
      <c r="AS39" s="16">
        <v>196</v>
      </c>
      <c r="AT39" s="16">
        <v>209</v>
      </c>
      <c r="AU39" s="16">
        <v>189</v>
      </c>
      <c r="AV39" s="16">
        <v>186</v>
      </c>
      <c r="AW39" s="16">
        <v>196</v>
      </c>
      <c r="AX39" s="16">
        <v>207</v>
      </c>
      <c r="AY39" s="16">
        <v>192</v>
      </c>
      <c r="AZ39" s="16">
        <v>198</v>
      </c>
      <c r="BA39" s="16">
        <v>201</v>
      </c>
      <c r="BB39" s="16">
        <v>235</v>
      </c>
      <c r="BC39" s="16">
        <v>190</v>
      </c>
      <c r="BD39" s="16">
        <v>219</v>
      </c>
      <c r="BE39" s="16">
        <v>193</v>
      </c>
      <c r="BF39" s="16">
        <v>219</v>
      </c>
      <c r="BG39" s="16">
        <v>194</v>
      </c>
      <c r="BH39" s="16">
        <v>210</v>
      </c>
      <c r="BI39" s="16">
        <v>201</v>
      </c>
      <c r="BJ39" s="16">
        <v>224</v>
      </c>
      <c r="BK39" s="16">
        <v>219</v>
      </c>
      <c r="BL39" s="16">
        <v>223</v>
      </c>
      <c r="BM39" s="16">
        <v>214</v>
      </c>
      <c r="BN39" s="16">
        <v>236</v>
      </c>
      <c r="BO39" s="16">
        <v>229</v>
      </c>
      <c r="BP39" s="16">
        <v>209</v>
      </c>
      <c r="BQ39" s="16">
        <v>230</v>
      </c>
      <c r="BR39" s="16">
        <v>219</v>
      </c>
      <c r="BS39" s="16">
        <v>233</v>
      </c>
      <c r="BT39" s="16">
        <v>205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892</v>
      </c>
      <c r="DA39" s="16">
        <f t="shared" si="16"/>
        <v>887</v>
      </c>
      <c r="DB39" s="16">
        <f t="shared" si="18"/>
        <v>438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21" s="15" customFormat="1" x14ac:dyDescent="0.2">
      <c r="B40" s="15" t="s">
        <v>7</v>
      </c>
      <c r="C40" s="16"/>
      <c r="D40" s="16"/>
      <c r="E40" s="16"/>
      <c r="F40" s="16"/>
      <c r="G40" s="16">
        <v>180</v>
      </c>
      <c r="H40" s="16">
        <v>189</v>
      </c>
      <c r="I40" s="16">
        <v>165</v>
      </c>
      <c r="J40" s="16">
        <v>154</v>
      </c>
      <c r="K40" s="16">
        <v>136</v>
      </c>
      <c r="L40" s="16">
        <v>127</v>
      </c>
      <c r="M40" s="16">
        <f>554-L40-K40-N40</f>
        <v>135</v>
      </c>
      <c r="N40" s="16">
        <v>156</v>
      </c>
      <c r="O40" s="16">
        <v>126</v>
      </c>
      <c r="P40" s="16">
        <v>149</v>
      </c>
      <c r="Q40" s="16">
        <f>403-P40-O40</f>
        <v>128</v>
      </c>
      <c r="R40" s="16">
        <v>132</v>
      </c>
      <c r="S40" s="16">
        <v>129</v>
      </c>
      <c r="T40" s="16">
        <v>121</v>
      </c>
      <c r="U40" s="16">
        <v>130</v>
      </c>
      <c r="V40" s="16">
        <v>153</v>
      </c>
      <c r="W40" s="16">
        <v>115</v>
      </c>
      <c r="X40" s="16">
        <v>138</v>
      </c>
      <c r="Y40" s="16">
        <v>129</v>
      </c>
      <c r="Z40" s="16">
        <v>142</v>
      </c>
      <c r="AA40" s="16">
        <f>220-AB40</f>
        <v>104</v>
      </c>
      <c r="AB40" s="16">
        <v>116</v>
      </c>
      <c r="AC40" s="16">
        <v>134</v>
      </c>
      <c r="AD40" s="16">
        <v>148</v>
      </c>
      <c r="AE40" s="16">
        <v>123</v>
      </c>
      <c r="AF40" s="16">
        <v>129</v>
      </c>
      <c r="AG40" s="16">
        <v>143</v>
      </c>
      <c r="AH40" s="16">
        <v>160</v>
      </c>
      <c r="AI40" s="16">
        <v>145</v>
      </c>
      <c r="AJ40" s="16">
        <v>169</v>
      </c>
      <c r="AK40" s="16">
        <f>638-AJ40-AI40-AL40</f>
        <v>161</v>
      </c>
      <c r="AL40" s="16">
        <v>163</v>
      </c>
      <c r="AM40" s="16">
        <v>155</v>
      </c>
      <c r="AN40" s="16">
        <v>149</v>
      </c>
      <c r="AO40" s="16">
        <v>157</v>
      </c>
      <c r="AP40" s="16">
        <v>194</v>
      </c>
      <c r="AQ40" s="16">
        <v>119</v>
      </c>
      <c r="AR40" s="16">
        <v>153</v>
      </c>
      <c r="AS40" s="16">
        <v>161</v>
      </c>
      <c r="AT40" s="16">
        <v>189</v>
      </c>
      <c r="AU40" s="16">
        <v>157</v>
      </c>
      <c r="AV40" s="16">
        <v>166</v>
      </c>
      <c r="AW40" s="16">
        <v>200</v>
      </c>
      <c r="AX40" s="16">
        <v>186</v>
      </c>
      <c r="AY40" s="16">
        <v>186</v>
      </c>
      <c r="AZ40" s="16">
        <v>187</v>
      </c>
      <c r="BA40" s="16">
        <v>188</v>
      </c>
      <c r="BB40" s="16">
        <v>194</v>
      </c>
      <c r="BC40" s="16">
        <v>182</v>
      </c>
      <c r="BD40" s="16">
        <v>188</v>
      </c>
      <c r="BE40" s="16">
        <v>188</v>
      </c>
      <c r="BF40" s="16">
        <v>205</v>
      </c>
      <c r="BG40" s="16">
        <v>192</v>
      </c>
      <c r="BH40" s="16">
        <v>193</v>
      </c>
      <c r="BI40" s="16">
        <v>191</v>
      </c>
      <c r="BJ40" s="16">
        <v>205</v>
      </c>
      <c r="BK40" s="16">
        <v>182</v>
      </c>
      <c r="BL40" s="16">
        <v>193</v>
      </c>
      <c r="BM40" s="16">
        <v>192</v>
      </c>
      <c r="BN40" s="16">
        <v>209</v>
      </c>
      <c r="BO40" s="16">
        <v>182</v>
      </c>
      <c r="BP40" s="16">
        <v>203</v>
      </c>
      <c r="BQ40" s="16">
        <v>197</v>
      </c>
      <c r="BR40" s="16">
        <v>204</v>
      </c>
      <c r="BS40" s="16">
        <v>205</v>
      </c>
      <c r="BT40" s="16">
        <v>183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776</v>
      </c>
      <c r="DA40" s="16">
        <f t="shared" si="16"/>
        <v>786</v>
      </c>
      <c r="DB40" s="16">
        <f t="shared" si="18"/>
        <v>388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21" s="15" customFormat="1" x14ac:dyDescent="0.2">
      <c r="B41" s="48" t="s">
        <v>232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36</v>
      </c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0</v>
      </c>
      <c r="DA41" s="16">
        <f t="shared" si="16"/>
        <v>0</v>
      </c>
      <c r="DB41" s="16">
        <f t="shared" si="18"/>
        <v>36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21" s="15" customFormat="1" x14ac:dyDescent="0.2">
      <c r="B42" s="15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96</v>
      </c>
      <c r="AP42" s="16"/>
      <c r="AQ42" s="16">
        <v>345</v>
      </c>
      <c r="AR42" s="16">
        <v>70</v>
      </c>
      <c r="AS42" s="16">
        <v>98</v>
      </c>
      <c r="AT42" s="16">
        <v>314</v>
      </c>
      <c r="AU42" s="16">
        <v>354</v>
      </c>
      <c r="AV42" s="16">
        <v>74</v>
      </c>
      <c r="AW42" s="16">
        <v>109</v>
      </c>
      <c r="AX42" s="16">
        <v>298</v>
      </c>
      <c r="AY42" s="16">
        <v>335</v>
      </c>
      <c r="AZ42" s="16">
        <v>46</v>
      </c>
      <c r="BA42" s="16">
        <v>93</v>
      </c>
      <c r="BB42" s="16">
        <v>266</v>
      </c>
      <c r="BC42" s="16">
        <v>319</v>
      </c>
      <c r="BD42" s="16">
        <v>45</v>
      </c>
      <c r="BE42" s="16">
        <v>96</v>
      </c>
      <c r="BF42" s="16">
        <v>270</v>
      </c>
      <c r="BG42" s="16">
        <v>300</v>
      </c>
      <c r="BH42" s="16">
        <v>40</v>
      </c>
      <c r="BI42" s="16">
        <v>116</v>
      </c>
      <c r="BJ42" s="16">
        <v>282</v>
      </c>
      <c r="BK42" s="16">
        <v>321</v>
      </c>
      <c r="BL42" s="16">
        <v>44</v>
      </c>
      <c r="BM42" s="16">
        <v>97</v>
      </c>
      <c r="BN42" s="16">
        <v>264</v>
      </c>
      <c r="BO42" s="16">
        <v>287</v>
      </c>
      <c r="BP42" s="16">
        <v>38</v>
      </c>
      <c r="BQ42" s="16">
        <v>132</v>
      </c>
      <c r="BR42" s="16">
        <v>261</v>
      </c>
      <c r="BS42" s="16">
        <v>270</v>
      </c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>
        <f t="shared" si="15"/>
        <v>726</v>
      </c>
      <c r="DA42" s="16">
        <f t="shared" si="16"/>
        <v>718</v>
      </c>
      <c r="DB42" s="16">
        <f t="shared" si="18"/>
        <v>270</v>
      </c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21" s="15" customFormat="1" x14ac:dyDescent="0.2">
      <c r="B43" s="98" t="s">
        <v>426</v>
      </c>
      <c r="C43" s="16"/>
      <c r="D43" s="16"/>
      <c r="E43" s="16"/>
      <c r="F43" s="16"/>
      <c r="G43" s="16">
        <v>17</v>
      </c>
      <c r="H43" s="16">
        <v>193</v>
      </c>
      <c r="I43" s="16">
        <v>200</v>
      </c>
      <c r="J43" s="16">
        <v>211</v>
      </c>
      <c r="K43" s="16">
        <v>197</v>
      </c>
      <c r="L43" s="16">
        <v>226</v>
      </c>
      <c r="M43" s="16">
        <f>874-L43-K43-N43</f>
        <v>218</v>
      </c>
      <c r="N43" s="16">
        <v>233</v>
      </c>
      <c r="O43" s="16">
        <v>207</v>
      </c>
      <c r="P43" s="16">
        <v>189</v>
      </c>
      <c r="Q43" s="16">
        <f>604-P43-O43</f>
        <v>208</v>
      </c>
      <c r="R43" s="16">
        <v>195</v>
      </c>
      <c r="S43" s="16">
        <v>174</v>
      </c>
      <c r="T43" s="16">
        <v>197</v>
      </c>
      <c r="U43" s="16">
        <v>188</v>
      </c>
      <c r="V43" s="16">
        <v>200</v>
      </c>
      <c r="W43" s="16">
        <v>187</v>
      </c>
      <c r="X43" s="16">
        <v>202</v>
      </c>
      <c r="Y43" s="16">
        <v>200</v>
      </c>
      <c r="Z43" s="16">
        <v>198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21" s="15" customFormat="1" x14ac:dyDescent="0.2">
      <c r="B44" s="15" t="s">
        <v>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>
        <v>241</v>
      </c>
      <c r="AN44" s="16">
        <v>284</v>
      </c>
      <c r="AO44" s="16">
        <v>287</v>
      </c>
      <c r="AP44" s="16">
        <v>373</v>
      </c>
      <c r="AQ44" s="16">
        <v>240</v>
      </c>
      <c r="AR44" s="16">
        <v>258</v>
      </c>
      <c r="AS44" s="16">
        <v>248</v>
      </c>
      <c r="AT44" s="16">
        <v>289</v>
      </c>
      <c r="AU44" s="16">
        <v>254</v>
      </c>
      <c r="AV44" s="16">
        <v>218</v>
      </c>
      <c r="AW44" s="16">
        <v>232</v>
      </c>
      <c r="AX44" s="16">
        <v>230</v>
      </c>
      <c r="AY44" s="16">
        <v>153</v>
      </c>
      <c r="AZ44" s="16">
        <v>170</v>
      </c>
      <c r="BA44" s="16">
        <v>177</v>
      </c>
      <c r="BB44" s="16">
        <v>194</v>
      </c>
      <c r="BC44" s="16">
        <v>156</v>
      </c>
      <c r="BD44" s="16">
        <v>171</v>
      </c>
      <c r="BE44" s="16">
        <v>174</v>
      </c>
      <c r="BF44" s="16">
        <v>174</v>
      </c>
      <c r="BG44" s="16">
        <v>136</v>
      </c>
      <c r="BH44" s="16">
        <v>154</v>
      </c>
      <c r="BI44" s="16">
        <v>147</v>
      </c>
      <c r="BJ44" s="16">
        <v>140</v>
      </c>
      <c r="BK44" s="16">
        <v>130</v>
      </c>
      <c r="BL44" s="16">
        <v>128</v>
      </c>
      <c r="BM44" s="16">
        <v>135</v>
      </c>
      <c r="BN44" s="16">
        <v>76</v>
      </c>
      <c r="BO44" s="16">
        <v>74</v>
      </c>
      <c r="BP44" s="16">
        <v>22</v>
      </c>
      <c r="BQ44" s="16">
        <v>53</v>
      </c>
      <c r="BR44" s="16">
        <v>23</v>
      </c>
      <c r="BS44" s="16">
        <v>8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15"/>
        <v>469</v>
      </c>
      <c r="DA44" s="16">
        <f t="shared" si="16"/>
        <v>172</v>
      </c>
      <c r="DB44" s="16">
        <f t="shared" si="18"/>
        <v>8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21" s="15" customFormat="1" x14ac:dyDescent="0.2">
      <c r="B45" s="98" t="s">
        <v>443</v>
      </c>
      <c r="C45" s="16"/>
      <c r="D45" s="16"/>
      <c r="E45" s="16"/>
      <c r="F45" s="16"/>
      <c r="G45" s="16">
        <v>104</v>
      </c>
      <c r="H45" s="16">
        <v>104</v>
      </c>
      <c r="I45" s="16">
        <v>126</v>
      </c>
      <c r="J45" s="16">
        <v>258</v>
      </c>
      <c r="K45" s="16">
        <v>293</v>
      </c>
      <c r="L45" s="16">
        <v>322</v>
      </c>
      <c r="M45" s="16">
        <f>1232-N45-K45-L45</f>
        <v>311</v>
      </c>
      <c r="N45" s="16">
        <v>306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21" s="15" customFormat="1" x14ac:dyDescent="0.2">
      <c r="B46" s="98" t="s">
        <v>431</v>
      </c>
      <c r="C46" s="16"/>
      <c r="D46" s="16"/>
      <c r="E46" s="16"/>
      <c r="F46" s="16"/>
      <c r="G46" s="16">
        <v>75</v>
      </c>
      <c r="H46" s="16">
        <v>50</v>
      </c>
      <c r="I46" s="16">
        <v>50</v>
      </c>
      <c r="J46" s="16">
        <v>148</v>
      </c>
      <c r="K46" s="16">
        <v>135</v>
      </c>
      <c r="L46" s="16">
        <v>85</v>
      </c>
      <c r="M46" s="16">
        <f>495-N46-L46-K46</f>
        <v>86</v>
      </c>
      <c r="N46" s="16">
        <v>189</v>
      </c>
      <c r="O46" s="16">
        <v>143</v>
      </c>
      <c r="P46" s="16">
        <v>135</v>
      </c>
      <c r="Q46" s="16">
        <f>378-P46-O46</f>
        <v>100</v>
      </c>
      <c r="R46" s="16">
        <v>259</v>
      </c>
      <c r="S46" s="16">
        <v>161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21" s="15" customFormat="1" x14ac:dyDescent="0.2">
      <c r="B47" s="98" t="s">
        <v>421</v>
      </c>
      <c r="C47" s="16"/>
      <c r="D47" s="16"/>
      <c r="E47" s="16"/>
      <c r="F47" s="16"/>
      <c r="G47" s="16">
        <v>290</v>
      </c>
      <c r="H47" s="16">
        <v>286</v>
      </c>
      <c r="I47" s="16">
        <v>224</v>
      </c>
      <c r="J47" s="16">
        <v>383</v>
      </c>
      <c r="K47" s="16">
        <v>353</v>
      </c>
      <c r="L47" s="16">
        <v>254</v>
      </c>
      <c r="M47" s="16">
        <f>1065-N47-L47-K47</f>
        <v>177</v>
      </c>
      <c r="N47" s="16">
        <v>281</v>
      </c>
      <c r="O47" s="16">
        <v>249</v>
      </c>
      <c r="P47" s="16">
        <v>138</v>
      </c>
      <c r="Q47" s="16">
        <f>580-P47-O47</f>
        <v>193</v>
      </c>
      <c r="R47" s="16">
        <v>235</v>
      </c>
      <c r="S47" s="16">
        <v>224</v>
      </c>
      <c r="T47" s="16">
        <v>170</v>
      </c>
      <c r="U47" s="16">
        <v>131</v>
      </c>
      <c r="V47" s="16">
        <v>200</v>
      </c>
      <c r="W47" s="16">
        <v>222</v>
      </c>
      <c r="X47" s="16">
        <v>159</v>
      </c>
      <c r="Y47" s="16">
        <v>115</v>
      </c>
      <c r="Z47" s="16">
        <v>154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21" s="15" customFormat="1" x14ac:dyDescent="0.2">
      <c r="B48" s="15" t="s">
        <v>11</v>
      </c>
      <c r="C48" s="16"/>
      <c r="D48" s="16"/>
      <c r="E48" s="16"/>
      <c r="F48" s="16"/>
      <c r="G48" s="16">
        <v>200</v>
      </c>
      <c r="H48" s="16">
        <v>225</v>
      </c>
      <c r="I48" s="16">
        <v>224</v>
      </c>
      <c r="J48" s="16">
        <v>247</v>
      </c>
      <c r="K48" s="16">
        <v>238</v>
      </c>
      <c r="L48" s="16">
        <v>236</v>
      </c>
      <c r="M48" s="16">
        <f>1005-N48-L48-K48</f>
        <v>259</v>
      </c>
      <c r="N48" s="16">
        <v>272</v>
      </c>
      <c r="O48" s="16">
        <v>280</v>
      </c>
      <c r="P48" s="16">
        <v>294</v>
      </c>
      <c r="Q48" s="16">
        <f>839-P48-O48</f>
        <v>265</v>
      </c>
      <c r="R48" s="16">
        <v>159</v>
      </c>
      <c r="S48" s="16">
        <v>300</v>
      </c>
      <c r="T48" s="16">
        <v>315</v>
      </c>
      <c r="U48" s="16">
        <v>338</v>
      </c>
      <c r="V48" s="16">
        <v>371</v>
      </c>
      <c r="W48" s="16">
        <v>353</v>
      </c>
      <c r="X48" s="16">
        <v>355</v>
      </c>
      <c r="Y48" s="16">
        <v>387</v>
      </c>
      <c r="Z48" s="16">
        <v>378</v>
      </c>
      <c r="AA48" s="16">
        <f>635-AB48</f>
        <v>292</v>
      </c>
      <c r="AB48" s="16">
        <v>343</v>
      </c>
      <c r="AC48" s="16">
        <v>353</v>
      </c>
      <c r="AD48" s="16">
        <v>378</v>
      </c>
      <c r="AE48" s="16">
        <v>292</v>
      </c>
      <c r="AF48" s="16">
        <v>294</v>
      </c>
      <c r="AG48" s="16">
        <v>328</v>
      </c>
      <c r="AH48" s="16">
        <v>341</v>
      </c>
      <c r="AI48" s="16">
        <v>248</v>
      </c>
      <c r="AJ48" s="16">
        <v>336</v>
      </c>
      <c r="AK48" s="16">
        <f>1170-AJ48-AI48-AL48</f>
        <v>298</v>
      </c>
      <c r="AL48" s="16">
        <v>288</v>
      </c>
      <c r="AM48" s="16">
        <v>221</v>
      </c>
      <c r="AN48" s="16">
        <v>275</v>
      </c>
      <c r="AO48" s="16">
        <v>267</v>
      </c>
      <c r="AP48" s="16">
        <v>250</v>
      </c>
      <c r="AQ48" s="16">
        <v>219</v>
      </c>
      <c r="AR48" s="16">
        <v>278</v>
      </c>
      <c r="AS48" s="16">
        <v>237</v>
      </c>
      <c r="AT48" s="16">
        <v>228</v>
      </c>
      <c r="AU48" s="16">
        <v>195</v>
      </c>
      <c r="AV48" s="16">
        <v>216</v>
      </c>
      <c r="AW48" s="16">
        <v>256</v>
      </c>
      <c r="AX48" s="16">
        <v>203</v>
      </c>
      <c r="AY48" s="16">
        <v>180</v>
      </c>
      <c r="AZ48" s="16">
        <v>167</v>
      </c>
      <c r="BA48" s="16">
        <v>168</v>
      </c>
      <c r="BB48" s="16">
        <v>185</v>
      </c>
      <c r="BC48" s="16">
        <v>133</v>
      </c>
      <c r="BD48" s="16">
        <v>146</v>
      </c>
      <c r="BE48" s="16">
        <v>137</v>
      </c>
      <c r="BF48" s="16">
        <v>133</v>
      </c>
      <c r="BG48" s="16">
        <v>115</v>
      </c>
      <c r="BH48" s="16">
        <v>110</v>
      </c>
      <c r="BI48" s="16">
        <v>85</v>
      </c>
      <c r="BJ48" s="16">
        <v>113</v>
      </c>
      <c r="BK48" s="16">
        <v>73</v>
      </c>
      <c r="BL48" s="16">
        <v>91</v>
      </c>
      <c r="BM48" s="16">
        <v>88</v>
      </c>
      <c r="BN48" s="16">
        <v>84</v>
      </c>
      <c r="BO48" s="16">
        <v>78</v>
      </c>
      <c r="BP48" s="16">
        <v>77</v>
      </c>
      <c r="BQ48" s="16">
        <v>74</v>
      </c>
      <c r="BR48" s="16">
        <v>54</v>
      </c>
      <c r="BS48" s="16">
        <v>86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336</v>
      </c>
      <c r="DA48" s="16">
        <f t="shared" si="16"/>
        <v>283</v>
      </c>
      <c r="DB48" s="16">
        <f t="shared" si="18"/>
        <v>86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">
      <c r="B49" s="98" t="s">
        <v>420</v>
      </c>
      <c r="C49" s="16"/>
      <c r="D49" s="16"/>
      <c r="E49" s="16"/>
      <c r="F49" s="16"/>
      <c r="G49" s="16">
        <v>225</v>
      </c>
      <c r="H49" s="16">
        <v>224</v>
      </c>
      <c r="I49" s="16">
        <v>262</v>
      </c>
      <c r="J49" s="16">
        <v>317</v>
      </c>
      <c r="K49" s="16">
        <v>217</v>
      </c>
      <c r="L49" s="16">
        <v>267</v>
      </c>
      <c r="M49" s="16">
        <f>1096-N49-L49-K49</f>
        <v>262</v>
      </c>
      <c r="N49" s="16">
        <v>350</v>
      </c>
      <c r="O49" s="16">
        <v>246</v>
      </c>
      <c r="P49" s="16">
        <v>339</v>
      </c>
      <c r="Q49" s="16">
        <f>904-P49-O49</f>
        <v>319</v>
      </c>
      <c r="R49" s="16">
        <v>405</v>
      </c>
      <c r="S49" s="16">
        <v>326</v>
      </c>
      <c r="T49" s="16">
        <v>404</v>
      </c>
      <c r="U49" s="16">
        <v>383</v>
      </c>
      <c r="V49" s="16">
        <v>461</v>
      </c>
      <c r="W49" s="16">
        <v>365</v>
      </c>
      <c r="X49" s="16">
        <v>414</v>
      </c>
      <c r="Y49" s="16">
        <v>387</v>
      </c>
      <c r="Z49" s="16">
        <v>268</v>
      </c>
      <c r="AA49" s="16">
        <f>232-AB49</f>
        <v>130</v>
      </c>
      <c r="AB49" s="16">
        <v>102</v>
      </c>
      <c r="AC49" s="16">
        <v>92</v>
      </c>
      <c r="AD49" s="16">
        <v>102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">
      <c r="B50" s="15" t="s">
        <v>10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142</v>
      </c>
      <c r="T50" s="16">
        <v>170</v>
      </c>
      <c r="U50" s="16">
        <v>167</v>
      </c>
      <c r="V50" s="16">
        <v>179</v>
      </c>
      <c r="W50" s="16">
        <v>176</v>
      </c>
      <c r="X50" s="16">
        <v>194</v>
      </c>
      <c r="Y50" s="16">
        <v>194</v>
      </c>
      <c r="Z50" s="16">
        <v>221</v>
      </c>
      <c r="AA50" s="16">
        <f>386-AB50</f>
        <v>178</v>
      </c>
      <c r="AB50" s="16">
        <v>208</v>
      </c>
      <c r="AC50" s="16">
        <v>215</v>
      </c>
      <c r="AD50" s="16">
        <v>254</v>
      </c>
      <c r="AE50" s="16">
        <v>205</v>
      </c>
      <c r="AF50" s="16">
        <v>211</v>
      </c>
      <c r="AG50" s="16">
        <v>225</v>
      </c>
      <c r="AH50" s="16">
        <v>286</v>
      </c>
      <c r="AI50" s="16">
        <v>226</v>
      </c>
      <c r="AJ50" s="16">
        <v>247</v>
      </c>
      <c r="AK50" s="16">
        <f>976-AJ50-AI50-AL50</f>
        <v>245</v>
      </c>
      <c r="AL50" s="16">
        <v>258</v>
      </c>
      <c r="AM50" s="16">
        <v>191</v>
      </c>
      <c r="AN50" s="16">
        <v>211</v>
      </c>
      <c r="AO50" s="16">
        <v>232</v>
      </c>
      <c r="AP50" s="16">
        <v>277</v>
      </c>
      <c r="AQ50" s="16">
        <v>186</v>
      </c>
      <c r="AR50" s="16">
        <v>232</v>
      </c>
      <c r="AS50" s="16">
        <v>201</v>
      </c>
      <c r="AT50" s="16">
        <v>31</v>
      </c>
      <c r="AU50" s="16">
        <v>47</v>
      </c>
      <c r="AV50" s="16">
        <v>21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0</v>
      </c>
      <c r="DA50" s="16">
        <f t="shared" si="16"/>
        <v>0</v>
      </c>
      <c r="DB50" s="16">
        <f t="shared" si="18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">
      <c r="B51" s="48" t="s">
        <v>233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16">
        <v>48</v>
      </c>
      <c r="AY51" s="16">
        <v>231</v>
      </c>
      <c r="AZ51" s="16">
        <v>385</v>
      </c>
      <c r="BA51" s="16">
        <v>469</v>
      </c>
      <c r="BB51" s="16">
        <v>554</v>
      </c>
      <c r="BC51" s="16">
        <v>414</v>
      </c>
      <c r="BD51" s="16">
        <v>419</v>
      </c>
      <c r="BE51" s="16">
        <v>378</v>
      </c>
      <c r="BF51" s="16">
        <v>311</v>
      </c>
      <c r="BG51" s="16">
        <v>263</v>
      </c>
      <c r="BH51" s="16">
        <v>225</v>
      </c>
      <c r="BI51" s="16">
        <v>0</v>
      </c>
      <c r="BJ51" s="16">
        <v>0</v>
      </c>
      <c r="BK51" s="16">
        <v>0</v>
      </c>
      <c r="BL51" s="16">
        <v>0</v>
      </c>
      <c r="BM51" s="16">
        <v>23</v>
      </c>
      <c r="BN51" s="16">
        <v>43</v>
      </c>
      <c r="BO51" s="16">
        <v>25</v>
      </c>
      <c r="BP51" s="16">
        <v>4</v>
      </c>
      <c r="BQ51" s="16">
        <v>3</v>
      </c>
      <c r="BR51" s="16">
        <v>4</v>
      </c>
      <c r="BS51" s="16">
        <v>5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66</v>
      </c>
      <c r="DA51" s="16">
        <f t="shared" si="16"/>
        <v>36</v>
      </c>
      <c r="DB51" s="16">
        <f t="shared" si="18"/>
        <v>5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">
      <c r="B52" s="15" t="s">
        <v>8</v>
      </c>
      <c r="C52" s="16"/>
      <c r="D52" s="16"/>
      <c r="E52" s="16"/>
      <c r="F52" s="16"/>
      <c r="G52" s="16"/>
      <c r="H52" s="16"/>
      <c r="I52" s="16">
        <v>208</v>
      </c>
      <c r="J52" s="16">
        <v>227</v>
      </c>
      <c r="K52" s="16">
        <v>171</v>
      </c>
      <c r="L52" s="16">
        <v>219</v>
      </c>
      <c r="M52" s="16">
        <f>927-N52-L52-K52</f>
        <v>225</v>
      </c>
      <c r="N52" s="16">
        <v>312</v>
      </c>
      <c r="O52" s="16">
        <v>205</v>
      </c>
      <c r="P52" s="16">
        <v>266</v>
      </c>
      <c r="Q52" s="16">
        <f>722-P52-O52</f>
        <v>251</v>
      </c>
      <c r="R52" s="16">
        <v>326</v>
      </c>
      <c r="S52" s="16">
        <v>223</v>
      </c>
      <c r="T52" s="16">
        <v>302</v>
      </c>
      <c r="U52" s="16">
        <v>300</v>
      </c>
      <c r="V52" s="16">
        <v>392</v>
      </c>
      <c r="W52" s="16">
        <v>245</v>
      </c>
      <c r="X52" s="16">
        <v>307</v>
      </c>
      <c r="Y52" s="16">
        <v>334</v>
      </c>
      <c r="Z52" s="16">
        <v>455</v>
      </c>
      <c r="AA52" s="16">
        <f>588-AB52</f>
        <v>252</v>
      </c>
      <c r="AB52" s="16">
        <v>336</v>
      </c>
      <c r="AC52" s="16">
        <v>330</v>
      </c>
      <c r="AD52" s="16">
        <v>419</v>
      </c>
      <c r="AE52" s="16">
        <v>291</v>
      </c>
      <c r="AF52" s="16">
        <v>388</v>
      </c>
      <c r="AG52" s="16">
        <v>404</v>
      </c>
      <c r="AH52" s="16">
        <v>499</v>
      </c>
      <c r="AI52" s="16">
        <v>372</v>
      </c>
      <c r="AJ52" s="16">
        <v>419</v>
      </c>
      <c r="AK52" s="16">
        <f>1692-AJ52-AI52-AL52</f>
        <v>418</v>
      </c>
      <c r="AL52" s="16">
        <v>483</v>
      </c>
      <c r="AM52" s="16">
        <v>329</v>
      </c>
      <c r="AN52" s="16">
        <v>388</v>
      </c>
      <c r="AO52" s="16">
        <v>404</v>
      </c>
      <c r="AP52" s="16">
        <v>269</v>
      </c>
      <c r="AQ52" s="16">
        <v>128</v>
      </c>
      <c r="AR52" s="16">
        <v>107</v>
      </c>
      <c r="AS52" s="16">
        <v>39</v>
      </c>
      <c r="AT52" s="16">
        <v>29</v>
      </c>
      <c r="AU52" s="16">
        <v>23</v>
      </c>
      <c r="AV52" s="16">
        <v>17</v>
      </c>
      <c r="AW52" s="16">
        <v>63</v>
      </c>
      <c r="AX52" s="16">
        <v>104</v>
      </c>
      <c r="AY52" s="16"/>
      <c r="AZ52" s="16"/>
      <c r="BA52" s="16"/>
      <c r="BB52" s="16"/>
      <c r="BC52" s="16"/>
      <c r="BD52" s="16"/>
      <c r="BE52" s="16"/>
      <c r="BF52" s="16"/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">
      <c r="B53" s="15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135</v>
      </c>
      <c r="AP53" s="16"/>
      <c r="AQ53" s="16">
        <f>274-AR53</f>
        <v>137</v>
      </c>
      <c r="AR53" s="16">
        <v>137</v>
      </c>
      <c r="AS53" s="16">
        <v>138</v>
      </c>
      <c r="AT53" s="16">
        <v>156</v>
      </c>
      <c r="AU53" s="16">
        <v>142</v>
      </c>
      <c r="AV53" s="16">
        <v>154</v>
      </c>
      <c r="AW53" s="16">
        <v>134</v>
      </c>
      <c r="AX53" s="16">
        <v>120</v>
      </c>
      <c r="AY53" s="16">
        <v>126</v>
      </c>
      <c r="AZ53" s="16">
        <v>118</v>
      </c>
      <c r="BA53" s="16">
        <v>122</v>
      </c>
      <c r="BB53" s="16">
        <v>108</v>
      </c>
      <c r="BC53" s="16">
        <v>111</v>
      </c>
      <c r="BD53" s="16">
        <v>114</v>
      </c>
      <c r="BE53" s="16">
        <v>102</v>
      </c>
      <c r="BF53" s="16">
        <v>101</v>
      </c>
      <c r="BG53" s="16">
        <v>107</v>
      </c>
      <c r="BH53" s="16">
        <v>104</v>
      </c>
      <c r="BI53" s="16">
        <v>100</v>
      </c>
      <c r="BJ53" s="16">
        <v>99</v>
      </c>
      <c r="BK53" s="16">
        <v>106</v>
      </c>
      <c r="BL53" s="16">
        <v>113</v>
      </c>
      <c r="BM53" s="16">
        <v>86</v>
      </c>
      <c r="BN53" s="16">
        <v>86</v>
      </c>
      <c r="BO53" s="16">
        <v>92</v>
      </c>
      <c r="BP53" s="16">
        <v>91</v>
      </c>
      <c r="BQ53" s="16">
        <v>84</v>
      </c>
      <c r="BR53" s="16">
        <v>81</v>
      </c>
      <c r="BS53" s="16">
        <v>79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391</v>
      </c>
      <c r="DA53" s="16">
        <f t="shared" si="16"/>
        <v>348</v>
      </c>
      <c r="DB53" s="16">
        <f t="shared" si="18"/>
        <v>79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">
      <c r="B54" s="15" t="s">
        <v>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91</v>
      </c>
      <c r="AP54" s="16"/>
      <c r="AQ54" s="16">
        <v>81</v>
      </c>
      <c r="AR54" s="16">
        <v>107</v>
      </c>
      <c r="AS54" s="16">
        <v>100</v>
      </c>
      <c r="AT54" s="16">
        <v>101</v>
      </c>
      <c r="AU54" s="16"/>
      <c r="AV54" s="16">
        <v>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">
      <c r="B55" s="15" t="s">
        <v>13</v>
      </c>
      <c r="C55" s="16">
        <f t="shared" ref="C55:AH55" si="127">SUM(C5:C54)</f>
        <v>30</v>
      </c>
      <c r="D55" s="16">
        <f t="shared" si="127"/>
        <v>60</v>
      </c>
      <c r="E55" s="16">
        <f t="shared" si="127"/>
        <v>80</v>
      </c>
      <c r="F55" s="16">
        <f t="shared" si="127"/>
        <v>110</v>
      </c>
      <c r="G55" s="16">
        <f t="shared" si="127"/>
        <v>2207</v>
      </c>
      <c r="H55" s="16">
        <f t="shared" si="127"/>
        <v>2435</v>
      </c>
      <c r="I55" s="16">
        <f t="shared" si="127"/>
        <v>2684</v>
      </c>
      <c r="J55" s="16">
        <f t="shared" si="127"/>
        <v>2994</v>
      </c>
      <c r="K55" s="16">
        <f t="shared" si="127"/>
        <v>2871</v>
      </c>
      <c r="L55" s="16">
        <f t="shared" si="127"/>
        <v>2662</v>
      </c>
      <c r="M55" s="16">
        <f t="shared" si="127"/>
        <v>3248</v>
      </c>
      <c r="N55" s="16">
        <f t="shared" si="127"/>
        <v>3440</v>
      </c>
      <c r="O55" s="16">
        <f t="shared" si="127"/>
        <v>2725</v>
      </c>
      <c r="P55" s="16">
        <f t="shared" si="127"/>
        <v>2925</v>
      </c>
      <c r="Q55" s="16">
        <f t="shared" si="127"/>
        <v>2889</v>
      </c>
      <c r="R55" s="16">
        <f t="shared" si="127"/>
        <v>3311</v>
      </c>
      <c r="S55" s="16">
        <f t="shared" si="127"/>
        <v>2250</v>
      </c>
      <c r="T55" s="16">
        <f t="shared" si="127"/>
        <v>2414</v>
      </c>
      <c r="U55" s="16">
        <f t="shared" si="127"/>
        <v>2440</v>
      </c>
      <c r="V55" s="16">
        <f t="shared" si="127"/>
        <v>2910</v>
      </c>
      <c r="W55" s="16">
        <f t="shared" si="127"/>
        <v>2605</v>
      </c>
      <c r="X55" s="16">
        <f t="shared" si="127"/>
        <v>3012</v>
      </c>
      <c r="Y55" s="16">
        <f t="shared" si="127"/>
        <v>3171</v>
      </c>
      <c r="Z55" s="16">
        <f t="shared" si="127"/>
        <v>3380</v>
      </c>
      <c r="AA55" s="16">
        <f t="shared" si="127"/>
        <v>2173</v>
      </c>
      <c r="AB55" s="16">
        <f t="shared" si="127"/>
        <v>2613</v>
      </c>
      <c r="AC55" s="16">
        <f t="shared" si="127"/>
        <v>2810</v>
      </c>
      <c r="AD55" s="16">
        <f t="shared" si="127"/>
        <v>3178</v>
      </c>
      <c r="AE55" s="16">
        <f t="shared" si="127"/>
        <v>2480</v>
      </c>
      <c r="AF55" s="16">
        <f t="shared" si="127"/>
        <v>2802</v>
      </c>
      <c r="AG55" s="16">
        <f t="shared" si="127"/>
        <v>2968</v>
      </c>
      <c r="AH55" s="16">
        <f t="shared" si="127"/>
        <v>3365</v>
      </c>
      <c r="AI55" s="16">
        <f t="shared" ref="AI55:BF55" si="128">SUM(AI5:AI54)</f>
        <v>2821</v>
      </c>
      <c r="AJ55" s="16">
        <f t="shared" si="128"/>
        <v>3373</v>
      </c>
      <c r="AK55" s="16">
        <f t="shared" si="128"/>
        <v>3446</v>
      </c>
      <c r="AL55" s="16">
        <f t="shared" si="128"/>
        <v>3578</v>
      </c>
      <c r="AM55" s="16">
        <f t="shared" si="128"/>
        <v>3416</v>
      </c>
      <c r="AN55" s="16">
        <f t="shared" si="128"/>
        <v>3995</v>
      </c>
      <c r="AO55" s="16">
        <f t="shared" si="128"/>
        <v>4383</v>
      </c>
      <c r="AP55" s="16">
        <f t="shared" si="128"/>
        <v>4443</v>
      </c>
      <c r="AQ55" s="16">
        <f t="shared" si="128"/>
        <v>4009</v>
      </c>
      <c r="AR55" s="16">
        <f t="shared" si="128"/>
        <v>4297</v>
      </c>
      <c r="AS55" s="16">
        <f t="shared" si="128"/>
        <v>4335</v>
      </c>
      <c r="AT55" s="16">
        <f t="shared" si="128"/>
        <v>4749</v>
      </c>
      <c r="AU55" s="16">
        <f t="shared" si="128"/>
        <v>4157</v>
      </c>
      <c r="AV55" s="16">
        <f t="shared" si="128"/>
        <v>4506</v>
      </c>
      <c r="AW55" s="16">
        <f t="shared" si="128"/>
        <v>4649</v>
      </c>
      <c r="AX55" s="16">
        <f t="shared" si="128"/>
        <v>4966</v>
      </c>
      <c r="AY55" s="16">
        <f t="shared" si="128"/>
        <v>4694</v>
      </c>
      <c r="AZ55" s="16">
        <f t="shared" si="128"/>
        <v>5129</v>
      </c>
      <c r="BA55" s="16">
        <f t="shared" si="128"/>
        <v>5591</v>
      </c>
      <c r="BB55" s="16">
        <f t="shared" si="128"/>
        <v>6043</v>
      </c>
      <c r="BC55" s="16">
        <f t="shared" si="128"/>
        <v>5681</v>
      </c>
      <c r="BD55" s="16">
        <f t="shared" si="128"/>
        <v>6143</v>
      </c>
      <c r="BE55" s="16">
        <f t="shared" si="128"/>
        <v>6090</v>
      </c>
      <c r="BF55" s="16">
        <f t="shared" si="128"/>
        <v>6507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0</v>
      </c>
      <c r="DA55" s="16">
        <f t="shared" si="16"/>
        <v>0</v>
      </c>
      <c r="DB55" s="16">
        <f t="shared" si="18"/>
        <v>0</v>
      </c>
      <c r="DC55" s="16"/>
      <c r="DD55" s="16"/>
      <c r="DE55" s="16"/>
      <c r="DF55" s="16"/>
      <c r="DG55" s="16"/>
      <c r="DH55" s="16"/>
      <c r="DI55" s="16"/>
      <c r="DJ55" s="16"/>
      <c r="DK55" s="16"/>
    </row>
    <row r="56" spans="2:121" s="15" customFormat="1" x14ac:dyDescent="0.2">
      <c r="B56" s="15" t="s">
        <v>12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>
        <v>301</v>
      </c>
      <c r="AP56" s="16"/>
      <c r="AQ56" s="16">
        <f>+AQ57-AQ55</f>
        <v>320</v>
      </c>
      <c r="AR56" s="16">
        <v>395</v>
      </c>
      <c r="AS56" s="16">
        <v>323</v>
      </c>
      <c r="AT56" s="16">
        <v>362</v>
      </c>
      <c r="AU56" s="16">
        <v>406</v>
      </c>
      <c r="AV56" s="16">
        <f>4926-AV55</f>
        <v>420</v>
      </c>
      <c r="AW56" s="16">
        <v>370</v>
      </c>
      <c r="AX56" s="16">
        <v>486</v>
      </c>
      <c r="AY56" s="16">
        <v>346</v>
      </c>
      <c r="AZ56" s="16">
        <v>346</v>
      </c>
      <c r="BA56" s="16">
        <v>353</v>
      </c>
      <c r="BB56" s="16">
        <v>317</v>
      </c>
      <c r="BC56" s="16">
        <v>277</v>
      </c>
      <c r="BD56" s="16">
        <v>289</v>
      </c>
      <c r="BE56" s="16">
        <v>296</v>
      </c>
      <c r="BF56" s="16">
        <v>277</v>
      </c>
      <c r="BG56" s="16">
        <f>6538-SUM(BG5:BG55)</f>
        <v>297</v>
      </c>
      <c r="BH56" s="16">
        <f>6944-SUM(BH5:BH55)</f>
        <v>289</v>
      </c>
      <c r="BI56" s="16">
        <f>6995-SUM(BI5:BI55)</f>
        <v>181</v>
      </c>
      <c r="BJ56" s="16">
        <f>7739-SUM(BJ5:BJ55)</f>
        <v>231</v>
      </c>
      <c r="BK56" s="16">
        <f>7934-7733</f>
        <v>201</v>
      </c>
      <c r="BL56" s="16">
        <v>131</v>
      </c>
      <c r="BM56" s="16">
        <v>25</v>
      </c>
      <c r="BN56" s="16">
        <f>8305-8239</f>
        <v>66</v>
      </c>
      <c r="BO56" s="16">
        <f>7828-7714</f>
        <v>114</v>
      </c>
      <c r="BP56" s="16">
        <v>254</v>
      </c>
      <c r="BQ56" s="16">
        <f>8479-8396</f>
        <v>83</v>
      </c>
      <c r="BR56" s="16">
        <f>8704-8631</f>
        <v>73</v>
      </c>
      <c r="BS56" s="16">
        <f>8619-8514</f>
        <v>105</v>
      </c>
      <c r="BT56" s="16">
        <f>10425-9835</f>
        <v>590</v>
      </c>
      <c r="BU56" s="16">
        <f>12882-11512</f>
        <v>1370</v>
      </c>
      <c r="BV56" s="16">
        <f>13858-12276</f>
        <v>1582</v>
      </c>
      <c r="BW56" s="16">
        <f>12935-11534</f>
        <v>1401</v>
      </c>
      <c r="BX56" s="16">
        <f>13959-12738</f>
        <v>1221</v>
      </c>
      <c r="BY56" s="16">
        <f>14342-13225</f>
        <v>1117</v>
      </c>
      <c r="BZ56" s="16">
        <f>14886-13501</f>
        <v>1385</v>
      </c>
      <c r="CA56" s="16">
        <f>13538-12327</f>
        <v>1211</v>
      </c>
      <c r="CB56" s="16">
        <f>14583-13574</f>
        <v>1009</v>
      </c>
      <c r="CC56" s="16">
        <v>925</v>
      </c>
      <c r="CD56" s="16">
        <v>992</v>
      </c>
      <c r="CE56" s="16">
        <v>691</v>
      </c>
      <c r="CF56" s="16">
        <v>741</v>
      </c>
      <c r="CG56" s="16">
        <v>782</v>
      </c>
      <c r="CH56" s="16">
        <f>3035-CG56-CF56-CE56</f>
        <v>821</v>
      </c>
      <c r="CI56" s="16">
        <v>744</v>
      </c>
      <c r="CJ56" s="16">
        <f>14462-SUM(CJ5:CJ31)</f>
        <v>810</v>
      </c>
      <c r="CK56" s="16">
        <v>726</v>
      </c>
      <c r="CL56" s="16">
        <v>752</v>
      </c>
      <c r="CM56" s="16">
        <v>563</v>
      </c>
      <c r="CN56" s="16">
        <f t="shared" ref="CM56:CP56" si="129">+CJ56</f>
        <v>810</v>
      </c>
      <c r="CO56" s="16">
        <f t="shared" si="129"/>
        <v>726</v>
      </c>
      <c r="CP56" s="16">
        <f t="shared" si="129"/>
        <v>752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15"/>
        <v>423</v>
      </c>
      <c r="DA56" s="16">
        <f t="shared" ref="DA56" si="130">SUM(BO56:BR56)</f>
        <v>524</v>
      </c>
      <c r="DB56" s="16">
        <f t="shared" ref="DB56" si="131">SUM(BS56:BV56)</f>
        <v>3647</v>
      </c>
      <c r="DC56" s="16">
        <f t="shared" si="19"/>
        <v>5124</v>
      </c>
      <c r="DD56" s="16">
        <f t="shared" si="20"/>
        <v>4137</v>
      </c>
      <c r="DE56" s="16">
        <f>SUM(CE56:CH56)</f>
        <v>3035</v>
      </c>
      <c r="DF56" s="16">
        <f>SUM(CI56:CL56)</f>
        <v>3032</v>
      </c>
      <c r="DG56" s="16">
        <f t="shared" ref="DG56:DL56" si="132">+DF56*0.9</f>
        <v>2728.8</v>
      </c>
      <c r="DH56" s="16">
        <f t="shared" si="132"/>
        <v>2455.92</v>
      </c>
      <c r="DI56" s="16">
        <f t="shared" si="132"/>
        <v>2210.328</v>
      </c>
      <c r="DJ56" s="16">
        <f t="shared" si="132"/>
        <v>1989.2952</v>
      </c>
      <c r="DK56" s="16">
        <f t="shared" si="132"/>
        <v>1790.3656800000001</v>
      </c>
      <c r="DL56" s="16">
        <f t="shared" si="132"/>
        <v>1611.3291120000001</v>
      </c>
      <c r="DM56" s="16">
        <f t="shared" ref="DM56" si="133">+DL56*0.9</f>
        <v>1450.1962008</v>
      </c>
      <c r="DN56" s="16">
        <f t="shared" ref="DN56" si="134">+DM56*0.9</f>
        <v>1305.1765807200002</v>
      </c>
      <c r="DO56" s="16">
        <f t="shared" ref="DO56" si="135">+DN56*0.9</f>
        <v>1174.6589226480003</v>
      </c>
      <c r="DP56" s="16">
        <f t="shared" ref="DP56" si="136">+DO56*0.9</f>
        <v>1057.1930303832003</v>
      </c>
      <c r="DQ56" s="16">
        <f t="shared" ref="DQ56" si="137">+DP56*0.9</f>
        <v>951.47372734488022</v>
      </c>
    </row>
    <row r="57" spans="2:121" s="17" customFormat="1" x14ac:dyDescent="0.2">
      <c r="B57" s="17" t="s">
        <v>241</v>
      </c>
      <c r="C57" s="18">
        <f t="shared" ref="C57:AP57" si="138">+C56+C55</f>
        <v>30</v>
      </c>
      <c r="D57" s="18">
        <f t="shared" si="138"/>
        <v>60</v>
      </c>
      <c r="E57" s="18">
        <f t="shared" si="138"/>
        <v>80</v>
      </c>
      <c r="F57" s="18">
        <f t="shared" si="138"/>
        <v>110</v>
      </c>
      <c r="G57" s="18">
        <f t="shared" si="138"/>
        <v>2207</v>
      </c>
      <c r="H57" s="18">
        <f t="shared" si="138"/>
        <v>2435</v>
      </c>
      <c r="I57" s="18">
        <f t="shared" si="138"/>
        <v>2684</v>
      </c>
      <c r="J57" s="18">
        <f t="shared" si="138"/>
        <v>2994</v>
      </c>
      <c r="K57" s="18">
        <f t="shared" si="138"/>
        <v>2871</v>
      </c>
      <c r="L57" s="18">
        <f t="shared" si="138"/>
        <v>2662</v>
      </c>
      <c r="M57" s="18">
        <f t="shared" si="138"/>
        <v>3248</v>
      </c>
      <c r="N57" s="18">
        <f t="shared" si="138"/>
        <v>3440</v>
      </c>
      <c r="O57" s="18">
        <f t="shared" si="138"/>
        <v>2725</v>
      </c>
      <c r="P57" s="18">
        <f t="shared" si="138"/>
        <v>2925</v>
      </c>
      <c r="Q57" s="18">
        <f t="shared" si="138"/>
        <v>2889</v>
      </c>
      <c r="R57" s="18">
        <f t="shared" si="138"/>
        <v>3311</v>
      </c>
      <c r="S57" s="18">
        <f t="shared" si="138"/>
        <v>2250</v>
      </c>
      <c r="T57" s="18">
        <f t="shared" si="138"/>
        <v>2414</v>
      </c>
      <c r="U57" s="18">
        <f t="shared" si="138"/>
        <v>2440</v>
      </c>
      <c r="V57" s="18">
        <f t="shared" si="138"/>
        <v>2910</v>
      </c>
      <c r="W57" s="18">
        <f t="shared" si="138"/>
        <v>2605</v>
      </c>
      <c r="X57" s="18">
        <f t="shared" si="138"/>
        <v>3012</v>
      </c>
      <c r="Y57" s="18">
        <f t="shared" si="138"/>
        <v>3171</v>
      </c>
      <c r="Z57" s="18">
        <f t="shared" si="138"/>
        <v>3380</v>
      </c>
      <c r="AA57" s="18">
        <f t="shared" si="138"/>
        <v>2173</v>
      </c>
      <c r="AB57" s="18">
        <f t="shared" si="138"/>
        <v>2613</v>
      </c>
      <c r="AC57" s="18">
        <f t="shared" si="138"/>
        <v>2810</v>
      </c>
      <c r="AD57" s="18">
        <f t="shared" si="138"/>
        <v>3178</v>
      </c>
      <c r="AE57" s="18">
        <f t="shared" si="138"/>
        <v>2480</v>
      </c>
      <c r="AF57" s="18">
        <f t="shared" si="138"/>
        <v>2802</v>
      </c>
      <c r="AG57" s="18">
        <f t="shared" si="138"/>
        <v>2968</v>
      </c>
      <c r="AH57" s="18">
        <f t="shared" si="138"/>
        <v>3365</v>
      </c>
      <c r="AI57" s="18">
        <f t="shared" si="138"/>
        <v>2821</v>
      </c>
      <c r="AJ57" s="18">
        <f t="shared" si="138"/>
        <v>3373</v>
      </c>
      <c r="AK57" s="18">
        <f t="shared" si="138"/>
        <v>3446</v>
      </c>
      <c r="AL57" s="18">
        <f t="shared" si="138"/>
        <v>3578</v>
      </c>
      <c r="AM57" s="18">
        <f t="shared" si="138"/>
        <v>3416</v>
      </c>
      <c r="AN57" s="18">
        <f t="shared" si="138"/>
        <v>3995</v>
      </c>
      <c r="AO57" s="18">
        <f t="shared" si="138"/>
        <v>4684</v>
      </c>
      <c r="AP57" s="18">
        <f t="shared" si="138"/>
        <v>4443</v>
      </c>
      <c r="AQ57" s="18">
        <v>4329</v>
      </c>
      <c r="AR57" s="18">
        <f>+AR55+AR56</f>
        <v>4692</v>
      </c>
      <c r="AS57" s="18">
        <f t="shared" ref="AS57:BF57" si="139">+AS56+AS55</f>
        <v>4658</v>
      </c>
      <c r="AT57" s="18">
        <f t="shared" si="139"/>
        <v>5111</v>
      </c>
      <c r="AU57" s="18">
        <f t="shared" si="139"/>
        <v>4563</v>
      </c>
      <c r="AV57" s="18">
        <f t="shared" si="139"/>
        <v>4926</v>
      </c>
      <c r="AW57" s="18">
        <f t="shared" si="139"/>
        <v>5019</v>
      </c>
      <c r="AX57" s="18">
        <f t="shared" si="139"/>
        <v>5452</v>
      </c>
      <c r="AY57" s="18">
        <f t="shared" si="139"/>
        <v>5040</v>
      </c>
      <c r="AZ57" s="18">
        <f t="shared" si="139"/>
        <v>5475</v>
      </c>
      <c r="BA57" s="18">
        <f t="shared" si="139"/>
        <v>5944</v>
      </c>
      <c r="BB57" s="18">
        <f t="shared" si="139"/>
        <v>6360</v>
      </c>
      <c r="BC57" s="18">
        <f t="shared" si="139"/>
        <v>5958</v>
      </c>
      <c r="BD57" s="18">
        <f t="shared" si="139"/>
        <v>6432</v>
      </c>
      <c r="BE57" s="18">
        <f t="shared" si="139"/>
        <v>6386</v>
      </c>
      <c r="BF57" s="18">
        <f t="shared" si="139"/>
        <v>6784</v>
      </c>
      <c r="BG57" s="18">
        <v>6538</v>
      </c>
      <c r="BH57" s="18">
        <v>6944</v>
      </c>
      <c r="BI57" s="18">
        <v>6995</v>
      </c>
      <c r="BJ57" s="18">
        <f>SUM(BJ5:BJ56)</f>
        <v>7739</v>
      </c>
      <c r="BK57" s="18">
        <v>7934</v>
      </c>
      <c r="BL57" s="18">
        <f t="shared" ref="BL57:CL57" si="140">SUM(BL5:BL56)</f>
        <v>8258</v>
      </c>
      <c r="BM57" s="18">
        <f t="shared" si="140"/>
        <v>8236</v>
      </c>
      <c r="BN57" s="18">
        <f t="shared" si="140"/>
        <v>8305</v>
      </c>
      <c r="BO57" s="18">
        <f t="shared" si="140"/>
        <v>7828</v>
      </c>
      <c r="BP57" s="18">
        <f t="shared" si="140"/>
        <v>8255</v>
      </c>
      <c r="BQ57" s="18">
        <f t="shared" si="140"/>
        <v>8479</v>
      </c>
      <c r="BR57" s="18">
        <f t="shared" si="140"/>
        <v>8704</v>
      </c>
      <c r="BS57" s="18">
        <f t="shared" si="140"/>
        <v>8619</v>
      </c>
      <c r="BT57" s="18">
        <f t="shared" si="140"/>
        <v>10425</v>
      </c>
      <c r="BU57" s="18">
        <f t="shared" si="140"/>
        <v>12882</v>
      </c>
      <c r="BV57" s="18">
        <f t="shared" si="140"/>
        <v>13858</v>
      </c>
      <c r="BW57" s="18">
        <f t="shared" si="140"/>
        <v>12935</v>
      </c>
      <c r="BX57" s="18">
        <f t="shared" si="140"/>
        <v>13959</v>
      </c>
      <c r="BY57" s="18">
        <f t="shared" si="140"/>
        <v>14342</v>
      </c>
      <c r="BZ57" s="18">
        <f t="shared" si="140"/>
        <v>14886</v>
      </c>
      <c r="CA57" s="18">
        <f t="shared" si="140"/>
        <v>13538</v>
      </c>
      <c r="CB57" s="18">
        <f t="shared" si="140"/>
        <v>14583</v>
      </c>
      <c r="CC57" s="18">
        <f t="shared" si="140"/>
        <v>14812</v>
      </c>
      <c r="CD57" s="18">
        <f t="shared" si="140"/>
        <v>15121</v>
      </c>
      <c r="CE57" s="18">
        <f t="shared" si="140"/>
        <v>12225</v>
      </c>
      <c r="CF57" s="18">
        <f t="shared" si="140"/>
        <v>13865</v>
      </c>
      <c r="CG57" s="18">
        <f t="shared" si="140"/>
        <v>13927</v>
      </c>
      <c r="CH57" s="18">
        <f t="shared" si="140"/>
        <v>14301</v>
      </c>
      <c r="CI57" s="18">
        <f t="shared" si="140"/>
        <v>12310</v>
      </c>
      <c r="CJ57" s="18">
        <f t="shared" si="140"/>
        <v>14462</v>
      </c>
      <c r="CK57" s="18">
        <f t="shared" si="140"/>
        <v>14460</v>
      </c>
      <c r="CL57" s="18">
        <f t="shared" si="140"/>
        <v>15102</v>
      </c>
      <c r="CM57" s="18">
        <f t="shared" ref="CM57:CP57" si="141">SUM(CM5:CM56)</f>
        <v>13343.1</v>
      </c>
      <c r="CN57" s="18">
        <f t="shared" si="141"/>
        <v>15054.730000000003</v>
      </c>
      <c r="CO57" s="18">
        <f t="shared" si="141"/>
        <v>15538.32</v>
      </c>
      <c r="CP57" s="18">
        <f t="shared" si="141"/>
        <v>16575.489999999998</v>
      </c>
      <c r="CQ57" s="18"/>
      <c r="CR57" s="18"/>
      <c r="CS57" s="18"/>
      <c r="CT57" s="18"/>
      <c r="CU57" s="18"/>
      <c r="CV57" s="18"/>
      <c r="CW57" s="18"/>
      <c r="CX57" s="18"/>
      <c r="CY57" s="18"/>
      <c r="CZ57" s="18">
        <f t="shared" ref="CZ57:DL57" si="142">SUM(CZ5:CZ56)</f>
        <v>32733</v>
      </c>
      <c r="DA57" s="18">
        <f t="shared" si="142"/>
        <v>33266</v>
      </c>
      <c r="DB57" s="18">
        <f t="shared" si="142"/>
        <v>45784</v>
      </c>
      <c r="DC57" s="18">
        <f t="shared" si="142"/>
        <v>56122</v>
      </c>
      <c r="DD57" s="18">
        <f t="shared" si="142"/>
        <v>58054</v>
      </c>
      <c r="DE57" s="18">
        <f t="shared" si="142"/>
        <v>54318</v>
      </c>
      <c r="DF57" s="18">
        <f t="shared" si="142"/>
        <v>56334</v>
      </c>
      <c r="DG57" s="18">
        <f t="shared" si="142"/>
        <v>60776.44000000001</v>
      </c>
      <c r="DH57" s="18">
        <f t="shared" si="142"/>
        <v>62186.430499999988</v>
      </c>
      <c r="DI57" s="18">
        <f t="shared" si="142"/>
        <v>64581.709655000006</v>
      </c>
      <c r="DJ57" s="18">
        <f t="shared" si="142"/>
        <v>64643.918674150023</v>
      </c>
      <c r="DK57" s="18">
        <f t="shared" si="142"/>
        <v>65522.157834099504</v>
      </c>
      <c r="DL57" s="18">
        <f t="shared" si="142"/>
        <v>57404.025930104297</v>
      </c>
      <c r="DM57" s="18">
        <f t="shared" ref="DM57:DQ57" si="143">SUM(DM5:DM56)</f>
        <v>46012.064661960059</v>
      </c>
      <c r="DN57" s="18">
        <f t="shared" si="143"/>
        <v>45912.417321597546</v>
      </c>
      <c r="DO57" s="18">
        <f t="shared" si="143"/>
        <v>47101.72160733991</v>
      </c>
      <c r="DP57" s="18">
        <f t="shared" si="143"/>
        <v>48447.778637923439</v>
      </c>
      <c r="DQ57" s="18">
        <f t="shared" si="143"/>
        <v>49640.395948376048</v>
      </c>
    </row>
    <row r="58" spans="2:121" s="15" customFormat="1" x14ac:dyDescent="0.2">
      <c r="B58" s="15" t="s">
        <v>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1153</v>
      </c>
      <c r="AR58" s="16">
        <v>1054</v>
      </c>
      <c r="AS58" s="16">
        <v>1092</v>
      </c>
      <c r="AT58" s="16">
        <v>1282</v>
      </c>
      <c r="AU58" s="16">
        <v>1100</v>
      </c>
      <c r="AV58" s="16">
        <f>1113-69-3-6</f>
        <v>1035</v>
      </c>
      <c r="AW58" s="16">
        <v>1094</v>
      </c>
      <c r="AX58" s="16">
        <v>1119</v>
      </c>
      <c r="AY58" s="16">
        <v>942</v>
      </c>
      <c r="AZ58" s="16">
        <v>916</v>
      </c>
      <c r="BA58" s="16">
        <v>1167</v>
      </c>
      <c r="BB58" s="16">
        <v>1475</v>
      </c>
      <c r="BC58" s="16">
        <v>1369</v>
      </c>
      <c r="BD58" s="16">
        <v>1405</v>
      </c>
      <c r="BE58" s="16">
        <v>1235</v>
      </c>
      <c r="BF58" s="16">
        <v>1287</v>
      </c>
      <c r="BG58" s="16">
        <v>1313</v>
      </c>
      <c r="BH58" s="16">
        <v>1231</v>
      </c>
      <c r="BI58" s="16">
        <v>1342</v>
      </c>
      <c r="BJ58" s="16">
        <v>1625</v>
      </c>
      <c r="BK58" s="16">
        <v>1572</v>
      </c>
      <c r="BL58" s="16">
        <v>1607</v>
      </c>
      <c r="BM58" s="16">
        <v>1509</v>
      </c>
      <c r="BN58" s="16">
        <v>1674</v>
      </c>
      <c r="BO58" s="16">
        <v>1303</v>
      </c>
      <c r="BP58" s="16">
        <v>1427</v>
      </c>
      <c r="BQ58" s="16">
        <v>1525</v>
      </c>
      <c r="BR58" s="16">
        <v>1605</v>
      </c>
      <c r="BS58" s="16">
        <v>1494</v>
      </c>
      <c r="BT58" s="16">
        <v>1796</v>
      </c>
      <c r="BU58" s="16">
        <v>2362</v>
      </c>
      <c r="BV58" s="16">
        <v>2523</v>
      </c>
      <c r="BW58" s="16">
        <v>2085</v>
      </c>
      <c r="BX58" s="16">
        <v>2479</v>
      </c>
      <c r="BY58" s="16">
        <v>2413</v>
      </c>
      <c r="BZ58" s="16">
        <v>2448</v>
      </c>
      <c r="CA58" s="16">
        <v>2103</v>
      </c>
      <c r="CB58" s="16">
        <v>2167</v>
      </c>
      <c r="CC58" s="16">
        <v>2167</v>
      </c>
      <c r="CD58" s="16">
        <f>+CD57-CD59</f>
        <v>2268.1499999999996</v>
      </c>
      <c r="CE58" s="16">
        <v>1931</v>
      </c>
      <c r="CF58" s="16">
        <v>2117</v>
      </c>
      <c r="CG58" s="16">
        <v>2301</v>
      </c>
      <c r="CH58" s="16">
        <v>2297</v>
      </c>
      <c r="CI58" s="16">
        <v>2108</v>
      </c>
      <c r="CJ58" s="16">
        <v>2135</v>
      </c>
      <c r="CK58" s="16">
        <v>2251</v>
      </c>
      <c r="CL58" s="16">
        <v>2453</v>
      </c>
      <c r="CM58" s="16">
        <v>2116</v>
      </c>
      <c r="CN58" s="16">
        <f>+CN57-CN59</f>
        <v>2258.2095000000008</v>
      </c>
      <c r="CO58" s="16">
        <f>+CO57-CO59</f>
        <v>2330.7479999999996</v>
      </c>
      <c r="CP58" s="16">
        <f>+CP57-CP59</f>
        <v>2486.3235000000004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6362</v>
      </c>
      <c r="DA58" s="16">
        <f t="shared" ref="DA58" si="144">SUM(BO58:BR58)</f>
        <v>5860</v>
      </c>
      <c r="DB58" s="16">
        <f t="shared" ref="DB58" si="145">SUM(BS58:BV58)</f>
        <v>8175</v>
      </c>
      <c r="DC58" s="16">
        <f t="shared" ref="DC58" si="146">SUM(BW58:BZ58)</f>
        <v>9425</v>
      </c>
      <c r="DD58" s="16">
        <f t="shared" ref="DD58" si="147">SUM(CA58:CD58)</f>
        <v>8705.15</v>
      </c>
      <c r="DE58" s="16">
        <f>SUM(CE58:CH58)</f>
        <v>8646</v>
      </c>
      <c r="DF58" s="16">
        <f>SUM(CI58:CL58)</f>
        <v>8947</v>
      </c>
      <c r="DG58" s="16">
        <f t="shared" ref="DG58:DL58" si="148">+DG57-DG59</f>
        <v>9116.4660000000003</v>
      </c>
      <c r="DH58" s="16">
        <f t="shared" si="148"/>
        <v>9327.9645749999981</v>
      </c>
      <c r="DI58" s="16">
        <f t="shared" si="148"/>
        <v>9687.256448250002</v>
      </c>
      <c r="DJ58" s="16">
        <f t="shared" si="148"/>
        <v>9696.5878011225068</v>
      </c>
      <c r="DK58" s="16">
        <f t="shared" si="148"/>
        <v>9828.3236751149234</v>
      </c>
      <c r="DL58" s="16">
        <f t="shared" si="148"/>
        <v>8610.6038895156453</v>
      </c>
    </row>
    <row r="59" spans="2:121" s="15" customFormat="1" x14ac:dyDescent="0.2">
      <c r="B59" s="15" t="s">
        <v>24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49">+AQ57-AQ58</f>
        <v>3176</v>
      </c>
      <c r="AR59" s="16">
        <f t="shared" si="149"/>
        <v>3638</v>
      </c>
      <c r="AS59" s="16">
        <f t="shared" si="149"/>
        <v>3566</v>
      </c>
      <c r="AT59" s="16">
        <f t="shared" si="149"/>
        <v>3829</v>
      </c>
      <c r="AU59" s="16">
        <f t="shared" si="149"/>
        <v>3463</v>
      </c>
      <c r="AV59" s="16">
        <f t="shared" si="149"/>
        <v>3891</v>
      </c>
      <c r="AW59" s="16">
        <f t="shared" si="149"/>
        <v>3925</v>
      </c>
      <c r="AX59" s="16">
        <f t="shared" si="149"/>
        <v>4333</v>
      </c>
      <c r="AY59" s="16">
        <f t="shared" si="149"/>
        <v>4098</v>
      </c>
      <c r="AZ59" s="16">
        <f t="shared" si="149"/>
        <v>4559</v>
      </c>
      <c r="BA59" s="16">
        <f t="shared" si="149"/>
        <v>4777</v>
      </c>
      <c r="BB59" s="16">
        <f t="shared" si="149"/>
        <v>4885</v>
      </c>
      <c r="BC59" s="16">
        <f t="shared" ref="BC59" si="150">+BC57-BC58</f>
        <v>4589</v>
      </c>
      <c r="BD59" s="16">
        <f t="shared" ref="BD59:BE59" si="151">+BD57-BD58</f>
        <v>5027</v>
      </c>
      <c r="BE59" s="16">
        <f t="shared" si="151"/>
        <v>5151</v>
      </c>
      <c r="BF59" s="16">
        <f t="shared" ref="BF59:BG59" si="152">+BF57-BF58</f>
        <v>5497</v>
      </c>
      <c r="BG59" s="16">
        <f t="shared" si="152"/>
        <v>5225</v>
      </c>
      <c r="BH59" s="16">
        <f t="shared" ref="BH59:BI59" si="153">+BH57-BH58</f>
        <v>5713</v>
      </c>
      <c r="BI59" s="16">
        <f t="shared" si="153"/>
        <v>5653</v>
      </c>
      <c r="BJ59" s="16">
        <f t="shared" ref="BJ59" si="154">+BJ57-BJ58</f>
        <v>6114</v>
      </c>
      <c r="BK59" s="16">
        <f t="shared" ref="BK59:BP59" si="155">+BK57-BK58</f>
        <v>6362</v>
      </c>
      <c r="BL59" s="16">
        <f t="shared" si="155"/>
        <v>6651</v>
      </c>
      <c r="BM59" s="16">
        <f t="shared" si="155"/>
        <v>6727</v>
      </c>
      <c r="BN59" s="16">
        <f t="shared" si="155"/>
        <v>6631</v>
      </c>
      <c r="BO59" s="16">
        <f t="shared" si="155"/>
        <v>6525</v>
      </c>
      <c r="BP59" s="16">
        <f t="shared" si="155"/>
        <v>6828</v>
      </c>
      <c r="BQ59" s="16">
        <f t="shared" ref="BQ59:BR59" si="156">BQ57-BQ58</f>
        <v>6954</v>
      </c>
      <c r="BR59" s="16">
        <f t="shared" si="156"/>
        <v>7099</v>
      </c>
      <c r="BS59" s="16">
        <f t="shared" ref="BS59:BT59" si="157">BS57-BS58</f>
        <v>7125</v>
      </c>
      <c r="BT59" s="16">
        <f t="shared" si="157"/>
        <v>8629</v>
      </c>
      <c r="BU59" s="16">
        <f t="shared" ref="BU59:CA59" si="158">BU57-BU58</f>
        <v>10520</v>
      </c>
      <c r="BV59" s="16">
        <f t="shared" si="158"/>
        <v>11335</v>
      </c>
      <c r="BW59" s="16">
        <f t="shared" si="158"/>
        <v>10850</v>
      </c>
      <c r="BX59" s="16">
        <f t="shared" si="158"/>
        <v>11480</v>
      </c>
      <c r="BY59" s="16">
        <f t="shared" si="158"/>
        <v>11929</v>
      </c>
      <c r="BZ59" s="16">
        <f t="shared" si="158"/>
        <v>12438</v>
      </c>
      <c r="CA59" s="16">
        <f t="shared" si="158"/>
        <v>11435</v>
      </c>
      <c r="CB59" s="16">
        <f t="shared" ref="CB59" si="159">CB57-CB58</f>
        <v>12416</v>
      </c>
      <c r="CC59" s="16">
        <f>+CC57-CC58</f>
        <v>12645</v>
      </c>
      <c r="CD59" s="16">
        <f>+CD57*0.85</f>
        <v>12852.85</v>
      </c>
      <c r="CE59" s="16">
        <f>CE57-CE58</f>
        <v>10294</v>
      </c>
      <c r="CF59" s="16">
        <f t="shared" ref="CF59:CK59" si="160">+CF57-CF58</f>
        <v>11748</v>
      </c>
      <c r="CG59" s="16">
        <f t="shared" si="160"/>
        <v>11626</v>
      </c>
      <c r="CH59" s="16">
        <f t="shared" si="160"/>
        <v>12004</v>
      </c>
      <c r="CI59" s="16">
        <f t="shared" si="160"/>
        <v>10202</v>
      </c>
      <c r="CJ59" s="16">
        <f t="shared" si="160"/>
        <v>12327</v>
      </c>
      <c r="CK59" s="16">
        <f t="shared" si="160"/>
        <v>12209</v>
      </c>
      <c r="CL59" s="16">
        <f>+CL57-CL58</f>
        <v>12649</v>
      </c>
      <c r="CM59" s="16">
        <f>+CM57-CM58</f>
        <v>11227.1</v>
      </c>
      <c r="CN59" s="16">
        <f>+CN57*0.85</f>
        <v>12796.520500000002</v>
      </c>
      <c r="CO59" s="16">
        <f>+CO57*0.85</f>
        <v>13207.572</v>
      </c>
      <c r="CP59" s="16">
        <f>+CP57*0.85</f>
        <v>14089.166499999998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:DB59" si="161">+CZ57-CZ58</f>
        <v>26371</v>
      </c>
      <c r="DA59" s="16">
        <f t="shared" si="161"/>
        <v>27406</v>
      </c>
      <c r="DB59" s="16">
        <f t="shared" si="161"/>
        <v>37609</v>
      </c>
      <c r="DC59" s="16">
        <f>+DC57-DC58</f>
        <v>46697</v>
      </c>
      <c r="DD59" s="16">
        <f>+DD57-DD58</f>
        <v>49348.85</v>
      </c>
      <c r="DE59" s="16">
        <f>+DE57-DE58</f>
        <v>45672</v>
      </c>
      <c r="DF59" s="16">
        <f>+DF57-DF58</f>
        <v>47387</v>
      </c>
      <c r="DG59" s="16">
        <f t="shared" ref="DG59:DL59" si="162">+DG57*0.85</f>
        <v>51659.974000000009</v>
      </c>
      <c r="DH59" s="16">
        <f t="shared" si="162"/>
        <v>52858.46592499999</v>
      </c>
      <c r="DI59" s="16">
        <f t="shared" si="162"/>
        <v>54894.453206750004</v>
      </c>
      <c r="DJ59" s="16">
        <f t="shared" si="162"/>
        <v>54947.330873027517</v>
      </c>
      <c r="DK59" s="16">
        <f t="shared" si="162"/>
        <v>55693.83415898458</v>
      </c>
      <c r="DL59" s="16">
        <f t="shared" si="162"/>
        <v>48793.422040588652</v>
      </c>
    </row>
    <row r="60" spans="2:121" s="15" customFormat="1" x14ac:dyDescent="0.2">
      <c r="B60" s="15" t="s">
        <v>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1237</v>
      </c>
      <c r="AR60" s="16">
        <v>1406</v>
      </c>
      <c r="AS60" s="16">
        <v>1261</v>
      </c>
      <c r="AT60" s="16">
        <v>1448</v>
      </c>
      <c r="AU60" s="16">
        <v>1340</v>
      </c>
      <c r="AV60" s="16">
        <f>1448-96-6</f>
        <v>1346</v>
      </c>
      <c r="AW60" s="16">
        <v>1595</v>
      </c>
      <c r="AX60" s="16">
        <v>3341</v>
      </c>
      <c r="AY60" s="16">
        <v>1473</v>
      </c>
      <c r="AZ60" s="16">
        <v>1703</v>
      </c>
      <c r="BA60" s="16">
        <v>1474</v>
      </c>
      <c r="BB60" s="16">
        <v>1737</v>
      </c>
      <c r="BC60" s="16">
        <v>1355</v>
      </c>
      <c r="BD60" s="16">
        <v>1466</v>
      </c>
      <c r="BE60" s="16">
        <v>1368</v>
      </c>
      <c r="BF60" s="16">
        <v>1625</v>
      </c>
      <c r="BG60" s="16">
        <v>1360</v>
      </c>
      <c r="BH60" s="16">
        <v>1405</v>
      </c>
      <c r="BI60" s="16">
        <v>1448</v>
      </c>
      <c r="BJ60" s="16">
        <v>1641</v>
      </c>
      <c r="BK60" s="16">
        <v>1670</v>
      </c>
      <c r="BL60" s="16">
        <v>1643</v>
      </c>
      <c r="BM60" s="16">
        <v>1575</v>
      </c>
      <c r="BN60" s="16">
        <v>1797</v>
      </c>
      <c r="BO60" s="16">
        <v>1563</v>
      </c>
      <c r="BP60" s="16">
        <v>1620</v>
      </c>
      <c r="BQ60" s="16">
        <v>1621</v>
      </c>
      <c r="BR60" s="16">
        <v>1883</v>
      </c>
      <c r="BS60" s="16">
        <v>1599</v>
      </c>
      <c r="BT60" s="16">
        <v>2392</v>
      </c>
      <c r="BU60" s="16">
        <v>2723</v>
      </c>
      <c r="BV60" s="16">
        <v>3089</v>
      </c>
      <c r="BW60" s="16">
        <v>2743</v>
      </c>
      <c r="BX60" s="16">
        <v>2953</v>
      </c>
      <c r="BY60" s="16">
        <v>2961</v>
      </c>
      <c r="BZ60" s="16">
        <v>3307</v>
      </c>
      <c r="CA60" s="16">
        <v>2852</v>
      </c>
      <c r="CB60" s="16">
        <v>3089</v>
      </c>
      <c r="CC60" s="16">
        <v>3089</v>
      </c>
      <c r="CD60" s="16">
        <f>+BZ60*1.01</f>
        <v>3340.07</v>
      </c>
      <c r="CE60" s="16">
        <v>2984</v>
      </c>
      <c r="CF60" s="16">
        <v>3218</v>
      </c>
      <c r="CG60" s="16">
        <v>3330</v>
      </c>
      <c r="CH60" s="16">
        <v>3540</v>
      </c>
      <c r="CI60" s="16">
        <v>3032</v>
      </c>
      <c r="CJ60" s="16">
        <v>3315</v>
      </c>
      <c r="CK60" s="16">
        <v>3326</v>
      </c>
      <c r="CL60" s="16">
        <v>3561</v>
      </c>
      <c r="CM60" s="16">
        <v>3280</v>
      </c>
      <c r="CN60" s="16">
        <f t="shared" ref="CN60:CN61" si="163">+CJ60*1.05</f>
        <v>3480.75</v>
      </c>
      <c r="CO60" s="16">
        <f t="shared" ref="CO60:CO61" si="164">+CK60*1.05</f>
        <v>3492.3</v>
      </c>
      <c r="CP60" s="16">
        <f t="shared" ref="CP60:CP61" si="165">+CL60*1.05</f>
        <v>3739.05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6685</v>
      </c>
      <c r="DA60" s="16">
        <f t="shared" ref="DA60:DA61" si="166">SUM(BO60:BR60)</f>
        <v>6687</v>
      </c>
      <c r="DB60" s="16">
        <f t="shared" ref="DB60:DB61" si="167">SUM(BS60:BV60)</f>
        <v>9803</v>
      </c>
      <c r="DC60" s="16">
        <f t="shared" ref="DC60:DC61" si="168">SUM(BW60:BZ60)</f>
        <v>11964</v>
      </c>
      <c r="DD60" s="16">
        <f t="shared" ref="DD60:DD61" si="169">SUM(CA60:CD60)</f>
        <v>12370.07</v>
      </c>
      <c r="DE60" s="16">
        <f>SUM(CE60:CH60)</f>
        <v>13072</v>
      </c>
      <c r="DF60" s="16">
        <f t="shared" ref="DF60:DF61" si="170">SUM(CI60:CL60)</f>
        <v>13234</v>
      </c>
      <c r="DG60" s="16">
        <f t="shared" ref="DG60:DL60" si="171">+DG57*0.2</f>
        <v>12155.288000000002</v>
      </c>
      <c r="DH60" s="16">
        <f t="shared" si="171"/>
        <v>12437.286099999998</v>
      </c>
      <c r="DI60" s="16">
        <f t="shared" si="171"/>
        <v>12916.341931000003</v>
      </c>
      <c r="DJ60" s="16">
        <f t="shared" si="171"/>
        <v>12928.783734830005</v>
      </c>
      <c r="DK60" s="16">
        <f t="shared" si="171"/>
        <v>13104.431566819901</v>
      </c>
      <c r="DL60" s="16">
        <f t="shared" si="171"/>
        <v>11480.80518602086</v>
      </c>
    </row>
    <row r="61" spans="2:121" s="15" customFormat="1" x14ac:dyDescent="0.2">
      <c r="B61" s="15" t="s">
        <v>22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v>634</v>
      </c>
      <c r="AR61" s="16">
        <v>709</v>
      </c>
      <c r="AS61" s="16">
        <v>714</v>
      </c>
      <c r="AT61" s="16">
        <v>798</v>
      </c>
      <c r="AU61" s="16">
        <v>772</v>
      </c>
      <c r="AV61" s="16">
        <f>834-41</f>
        <v>793</v>
      </c>
      <c r="AW61" s="16">
        <v>812</v>
      </c>
      <c r="AX61" s="16">
        <v>879</v>
      </c>
      <c r="AY61" s="16">
        <v>811</v>
      </c>
      <c r="AZ61" s="16">
        <v>981</v>
      </c>
      <c r="BA61" s="16">
        <v>1418</v>
      </c>
      <c r="BB61" s="16">
        <v>1075</v>
      </c>
      <c r="BC61" s="16">
        <v>946</v>
      </c>
      <c r="BD61" s="16">
        <v>1124</v>
      </c>
      <c r="BE61" s="16">
        <v>1051</v>
      </c>
      <c r="BF61" s="16">
        <v>1175</v>
      </c>
      <c r="BG61" s="16">
        <v>1112</v>
      </c>
      <c r="BH61" s="16">
        <v>1212</v>
      </c>
      <c r="BI61" s="16">
        <v>1190</v>
      </c>
      <c r="BJ61" s="16">
        <v>1322</v>
      </c>
      <c r="BK61" s="16">
        <v>1189</v>
      </c>
      <c r="BL61" s="16">
        <v>1267</v>
      </c>
      <c r="BM61" s="16">
        <v>1268</v>
      </c>
      <c r="BN61" s="16">
        <v>1369</v>
      </c>
      <c r="BO61" s="16">
        <v>1199</v>
      </c>
      <c r="BP61" s="16">
        <v>1232</v>
      </c>
      <c r="BQ61" s="16">
        <v>1227</v>
      </c>
      <c r="BR61" s="16">
        <v>1331</v>
      </c>
      <c r="BS61" s="16">
        <v>1234</v>
      </c>
      <c r="BT61" s="16">
        <v>1332</v>
      </c>
      <c r="BU61" s="16">
        <v>1513</v>
      </c>
      <c r="BV61" s="16">
        <v>1751</v>
      </c>
      <c r="BW61" s="16">
        <v>1505</v>
      </c>
      <c r="BX61" s="16">
        <v>1583</v>
      </c>
      <c r="BY61" s="16">
        <v>1632</v>
      </c>
      <c r="BZ61" s="16">
        <v>1798</v>
      </c>
      <c r="CA61" s="16">
        <v>1480</v>
      </c>
      <c r="CB61" s="16">
        <v>1607</v>
      </c>
      <c r="CC61" s="16">
        <v>1607</v>
      </c>
      <c r="CD61" s="16">
        <f>+BZ61*1.01</f>
        <v>1815.98</v>
      </c>
      <c r="CE61" s="16">
        <v>1657</v>
      </c>
      <c r="CF61" s="16">
        <v>1730</v>
      </c>
      <c r="CG61" s="16">
        <v>1720</v>
      </c>
      <c r="CH61" s="16">
        <v>1992</v>
      </c>
      <c r="CI61" s="16">
        <v>1811</v>
      </c>
      <c r="CJ61" s="16">
        <v>1917</v>
      </c>
      <c r="CK61" s="16">
        <v>2055</v>
      </c>
      <c r="CL61" s="16">
        <v>2273</v>
      </c>
      <c r="CM61" s="16">
        <v>2051</v>
      </c>
      <c r="CN61" s="16">
        <f t="shared" si="163"/>
        <v>2012.8500000000001</v>
      </c>
      <c r="CO61" s="16">
        <f t="shared" si="164"/>
        <v>2157.75</v>
      </c>
      <c r="CP61" s="16">
        <f t="shared" si="165"/>
        <v>2386.65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si="15"/>
        <v>5093</v>
      </c>
      <c r="DA61" s="16">
        <f t="shared" si="166"/>
        <v>4989</v>
      </c>
      <c r="DB61" s="16">
        <f t="shared" si="167"/>
        <v>5830</v>
      </c>
      <c r="DC61" s="16">
        <f t="shared" si="168"/>
        <v>6518</v>
      </c>
      <c r="DD61" s="16">
        <f t="shared" si="169"/>
        <v>6509.98</v>
      </c>
      <c r="DE61" s="16">
        <f>SUM(CE61:CH61)</f>
        <v>7099</v>
      </c>
      <c r="DF61" s="16">
        <f t="shared" si="170"/>
        <v>8056</v>
      </c>
      <c r="DG61" s="16"/>
      <c r="DH61" s="16"/>
      <c r="DI61" s="16"/>
      <c r="DJ61" s="16"/>
      <c r="DK61" s="16"/>
    </row>
    <row r="62" spans="2:121" s="15" customFormat="1" x14ac:dyDescent="0.2">
      <c r="B62" s="15" t="s">
        <v>20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 t="shared" ref="AQ62:BB62" si="172">+AQ61+AQ60</f>
        <v>1871</v>
      </c>
      <c r="AR62" s="16">
        <f t="shared" si="172"/>
        <v>2115</v>
      </c>
      <c r="AS62" s="16">
        <f t="shared" si="172"/>
        <v>1975</v>
      </c>
      <c r="AT62" s="16">
        <f t="shared" si="172"/>
        <v>2246</v>
      </c>
      <c r="AU62" s="16">
        <f t="shared" si="172"/>
        <v>2112</v>
      </c>
      <c r="AV62" s="16">
        <f t="shared" si="172"/>
        <v>2139</v>
      </c>
      <c r="AW62" s="16">
        <f t="shared" si="172"/>
        <v>2407</v>
      </c>
      <c r="AX62" s="16">
        <f t="shared" si="172"/>
        <v>4220</v>
      </c>
      <c r="AY62" s="16">
        <f t="shared" si="172"/>
        <v>2284</v>
      </c>
      <c r="AZ62" s="16">
        <f t="shared" si="172"/>
        <v>2684</v>
      </c>
      <c r="BA62" s="16">
        <f t="shared" si="172"/>
        <v>2892</v>
      </c>
      <c r="BB62" s="16">
        <f t="shared" si="172"/>
        <v>2812</v>
      </c>
      <c r="BC62" s="16">
        <f t="shared" ref="BC62" si="173">+BC60+BC61</f>
        <v>2301</v>
      </c>
      <c r="BD62" s="16">
        <f t="shared" ref="BD62:BE62" si="174">+BD60+BD61</f>
        <v>2590</v>
      </c>
      <c r="BE62" s="16">
        <f t="shared" si="174"/>
        <v>2419</v>
      </c>
      <c r="BF62" s="16">
        <f t="shared" ref="BF62:BG62" si="175">+BF60+BF61</f>
        <v>2800</v>
      </c>
      <c r="BG62" s="16">
        <f t="shared" si="175"/>
        <v>2472</v>
      </c>
      <c r="BH62" s="16">
        <f t="shared" ref="BH62:BI62" si="176">+BH60+BH61</f>
        <v>2617</v>
      </c>
      <c r="BI62" s="16">
        <f t="shared" si="176"/>
        <v>2638</v>
      </c>
      <c r="BJ62" s="16">
        <f t="shared" ref="BJ62" si="177">+BJ60+BJ61</f>
        <v>2963</v>
      </c>
      <c r="BK62" s="16">
        <f t="shared" ref="BK62:BP62" si="178">+BK60+BK61</f>
        <v>2859</v>
      </c>
      <c r="BL62" s="16">
        <f t="shared" si="178"/>
        <v>2910</v>
      </c>
      <c r="BM62" s="16">
        <f t="shared" si="178"/>
        <v>2843</v>
      </c>
      <c r="BN62" s="16">
        <f t="shared" si="178"/>
        <v>3166</v>
      </c>
      <c r="BO62" s="16">
        <f t="shared" si="178"/>
        <v>2762</v>
      </c>
      <c r="BP62" s="16">
        <f t="shared" si="178"/>
        <v>2852</v>
      </c>
      <c r="BQ62" s="16">
        <f t="shared" ref="BQ62:BR62" si="179">BQ61+BQ60</f>
        <v>2848</v>
      </c>
      <c r="BR62" s="16">
        <f t="shared" si="179"/>
        <v>3214</v>
      </c>
      <c r="BS62" s="16">
        <f t="shared" ref="BS62:BT62" si="180">BS61+BS60</f>
        <v>2833</v>
      </c>
      <c r="BT62" s="16">
        <f t="shared" si="180"/>
        <v>3724</v>
      </c>
      <c r="BU62" s="16">
        <f t="shared" ref="BU62:CA62" si="181">BU61+BU60</f>
        <v>4236</v>
      </c>
      <c r="BV62" s="16">
        <f t="shared" si="181"/>
        <v>4840</v>
      </c>
      <c r="BW62" s="16">
        <f t="shared" si="181"/>
        <v>4248</v>
      </c>
      <c r="BX62" s="16">
        <f t="shared" si="181"/>
        <v>4536</v>
      </c>
      <c r="BY62" s="16">
        <f t="shared" si="181"/>
        <v>4593</v>
      </c>
      <c r="BZ62" s="16">
        <f t="shared" si="181"/>
        <v>5105</v>
      </c>
      <c r="CA62" s="16">
        <f t="shared" si="181"/>
        <v>4332</v>
      </c>
      <c r="CB62" s="16">
        <f t="shared" ref="CB62:CD62" si="182">CB61+CB60</f>
        <v>4696</v>
      </c>
      <c r="CC62" s="16">
        <f t="shared" si="182"/>
        <v>4696</v>
      </c>
      <c r="CD62" s="16">
        <f t="shared" si="182"/>
        <v>5156.05</v>
      </c>
      <c r="CE62" s="16">
        <f t="shared" ref="CE62:CH62" si="183">CE61+CE60</f>
        <v>4641</v>
      </c>
      <c r="CF62" s="16">
        <f t="shared" si="183"/>
        <v>4948</v>
      </c>
      <c r="CG62" s="16">
        <f t="shared" si="183"/>
        <v>5050</v>
      </c>
      <c r="CH62" s="16">
        <f t="shared" si="183"/>
        <v>5532</v>
      </c>
      <c r="CI62" s="16">
        <f>+CI60+CI61</f>
        <v>4843</v>
      </c>
      <c r="CJ62" s="16">
        <f t="shared" ref="CJ62:CK62" si="184">+CJ60+CJ61</f>
        <v>5232</v>
      </c>
      <c r="CK62" s="16">
        <f t="shared" si="184"/>
        <v>5381</v>
      </c>
      <c r="CL62" s="16">
        <f>+CL60+CL61</f>
        <v>5834</v>
      </c>
      <c r="CM62" s="16">
        <f t="shared" ref="CM62:CP62" si="185">+CM60+CM61</f>
        <v>5331</v>
      </c>
      <c r="CN62" s="16">
        <f t="shared" si="185"/>
        <v>5493.6</v>
      </c>
      <c r="CO62" s="16">
        <f t="shared" si="185"/>
        <v>5650.05</v>
      </c>
      <c r="CP62" s="16">
        <f t="shared" si="185"/>
        <v>6125.7000000000007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186">+CZ60+CZ61</f>
        <v>11778</v>
      </c>
      <c r="DA62" s="16">
        <f t="shared" ref="DA62:DB62" si="187">+DA60+DA61</f>
        <v>11676</v>
      </c>
      <c r="DB62" s="16">
        <f t="shared" si="187"/>
        <v>15633</v>
      </c>
      <c r="DC62" s="16">
        <f>+DC60+DC61</f>
        <v>18482</v>
      </c>
      <c r="DD62" s="16">
        <f>+DD60+DD61</f>
        <v>18880.05</v>
      </c>
      <c r="DE62" s="16">
        <f t="shared" ref="DE62:DL62" si="188">+DE60+DE61</f>
        <v>20171</v>
      </c>
      <c r="DF62" s="16">
        <f t="shared" si="188"/>
        <v>21290</v>
      </c>
      <c r="DG62" s="16">
        <f t="shared" si="188"/>
        <v>12155.288000000002</v>
      </c>
      <c r="DH62" s="16">
        <f t="shared" si="188"/>
        <v>12437.286099999998</v>
      </c>
      <c r="DI62" s="16">
        <f t="shared" si="188"/>
        <v>12916.341931000003</v>
      </c>
      <c r="DJ62" s="16">
        <f t="shared" si="188"/>
        <v>12928.783734830005</v>
      </c>
      <c r="DK62" s="16">
        <f t="shared" si="188"/>
        <v>13104.431566819901</v>
      </c>
      <c r="DL62" s="16">
        <f t="shared" si="188"/>
        <v>11480.80518602086</v>
      </c>
    </row>
    <row r="63" spans="2:121" s="15" customFormat="1" x14ac:dyDescent="0.2">
      <c r="B63" s="15" t="s">
        <v>21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AQ59-AQ62</f>
        <v>1305</v>
      </c>
      <c r="AR63" s="16">
        <f>AR59-AR62</f>
        <v>1523</v>
      </c>
      <c r="AS63" s="16">
        <f>AS59-AS62</f>
        <v>1591</v>
      </c>
      <c r="AT63" s="16">
        <f>AT59-AT62</f>
        <v>1583</v>
      </c>
      <c r="AU63" s="16">
        <f>AU59-AU62</f>
        <v>1351</v>
      </c>
      <c r="AV63" s="16">
        <f t="shared" ref="AV63:BB63" si="189">+AV59-AV62</f>
        <v>1752</v>
      </c>
      <c r="AW63" s="16">
        <f t="shared" si="189"/>
        <v>1518</v>
      </c>
      <c r="AX63" s="16">
        <f t="shared" si="189"/>
        <v>113</v>
      </c>
      <c r="AY63" s="16">
        <f t="shared" si="189"/>
        <v>1814</v>
      </c>
      <c r="AZ63" s="16">
        <f t="shared" si="189"/>
        <v>1875</v>
      </c>
      <c r="BA63" s="16">
        <f t="shared" si="189"/>
        <v>1885</v>
      </c>
      <c r="BB63" s="16">
        <f t="shared" si="189"/>
        <v>2073</v>
      </c>
      <c r="BC63" s="16">
        <f t="shared" ref="BC63" si="190">+BC59-BC62</f>
        <v>2288</v>
      </c>
      <c r="BD63" s="16">
        <f t="shared" ref="BD63:BE63" si="191">+BD59-BD62</f>
        <v>2437</v>
      </c>
      <c r="BE63" s="16">
        <f t="shared" si="191"/>
        <v>2732</v>
      </c>
      <c r="BF63" s="16">
        <f t="shared" ref="BF63:BG63" si="192">+BF59-BF62</f>
        <v>2697</v>
      </c>
      <c r="BG63" s="16">
        <f t="shared" si="192"/>
        <v>2753</v>
      </c>
      <c r="BH63" s="16">
        <f t="shared" ref="BH63:BI63" si="193">+BH59-BH62</f>
        <v>3096</v>
      </c>
      <c r="BI63" s="16">
        <f t="shared" si="193"/>
        <v>3015</v>
      </c>
      <c r="BJ63" s="16">
        <f t="shared" ref="BJ63" si="194">+BJ59-BJ62</f>
        <v>3151</v>
      </c>
      <c r="BK63" s="16">
        <f t="shared" ref="BK63:BP63" si="195">+BK59-BK62</f>
        <v>3503</v>
      </c>
      <c r="BL63" s="16">
        <f t="shared" si="195"/>
        <v>3741</v>
      </c>
      <c r="BM63" s="16">
        <f t="shared" si="195"/>
        <v>3884</v>
      </c>
      <c r="BN63" s="16">
        <f t="shared" si="195"/>
        <v>3465</v>
      </c>
      <c r="BO63" s="16">
        <f t="shared" si="195"/>
        <v>3763</v>
      </c>
      <c r="BP63" s="16">
        <f t="shared" si="195"/>
        <v>3976</v>
      </c>
      <c r="BQ63" s="16">
        <f t="shared" ref="BQ63:BR63" si="196">BQ59-BQ62</f>
        <v>4106</v>
      </c>
      <c r="BR63" s="16">
        <f t="shared" si="196"/>
        <v>3885</v>
      </c>
      <c r="BS63" s="16">
        <f t="shared" ref="BS63:BT63" si="197">BS59-BS62</f>
        <v>4292</v>
      </c>
      <c r="BT63" s="16">
        <f t="shared" si="197"/>
        <v>4905</v>
      </c>
      <c r="BU63" s="16">
        <f t="shared" ref="BU63:CA63" si="198">BU59-BU62</f>
        <v>6284</v>
      </c>
      <c r="BV63" s="16">
        <f t="shared" si="198"/>
        <v>6495</v>
      </c>
      <c r="BW63" s="16">
        <f t="shared" si="198"/>
        <v>6602</v>
      </c>
      <c r="BX63" s="16">
        <f t="shared" si="198"/>
        <v>6944</v>
      </c>
      <c r="BY63" s="16">
        <f t="shared" si="198"/>
        <v>7336</v>
      </c>
      <c r="BZ63" s="16">
        <f t="shared" si="198"/>
        <v>7333</v>
      </c>
      <c r="CA63" s="16">
        <f t="shared" si="198"/>
        <v>7103</v>
      </c>
      <c r="CB63" s="16">
        <f t="shared" ref="CB63:CD63" si="199">CB59-CB62</f>
        <v>7720</v>
      </c>
      <c r="CC63" s="16">
        <f t="shared" si="199"/>
        <v>7949</v>
      </c>
      <c r="CD63" s="16">
        <f t="shared" si="199"/>
        <v>7696.8</v>
      </c>
      <c r="CE63" s="16">
        <f t="shared" ref="CE63:CH63" si="200">CE59-CE62</f>
        <v>5653</v>
      </c>
      <c r="CF63" s="16">
        <f t="shared" si="200"/>
        <v>6800</v>
      </c>
      <c r="CG63" s="16">
        <f t="shared" si="200"/>
        <v>6576</v>
      </c>
      <c r="CH63" s="16">
        <f t="shared" si="200"/>
        <v>6472</v>
      </c>
      <c r="CI63" s="16">
        <f>+CI59-CI62</f>
        <v>5359</v>
      </c>
      <c r="CJ63" s="16">
        <f t="shared" ref="CJ63:CK63" si="201">+CJ59-CJ62</f>
        <v>7095</v>
      </c>
      <c r="CK63" s="16">
        <f t="shared" si="201"/>
        <v>6828</v>
      </c>
      <c r="CL63" s="16">
        <f>+CL59-CL62</f>
        <v>6815</v>
      </c>
      <c r="CM63" s="16">
        <f t="shared" ref="CM63:CP63" si="202">+CM59-CM62</f>
        <v>5896.1</v>
      </c>
      <c r="CN63" s="16">
        <f t="shared" si="202"/>
        <v>7302.920500000002</v>
      </c>
      <c r="CO63" s="16">
        <f t="shared" si="202"/>
        <v>7557.5219999999999</v>
      </c>
      <c r="CP63" s="16">
        <f t="shared" si="202"/>
        <v>7963.4664999999968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" si="203">+CZ59-CZ62</f>
        <v>14593</v>
      </c>
      <c r="DA63" s="16">
        <f t="shared" ref="DA63:DB63" si="204">+DA59-DA62</f>
        <v>15730</v>
      </c>
      <c r="DB63" s="16">
        <f t="shared" si="204"/>
        <v>21976</v>
      </c>
      <c r="DC63" s="16">
        <f>+DC59-DC62</f>
        <v>28215</v>
      </c>
      <c r="DD63" s="16">
        <f>+DD59-DD62</f>
        <v>30468.799999999999</v>
      </c>
      <c r="DE63" s="16">
        <f t="shared" ref="DE63:DL63" si="205">+DE59-DE62</f>
        <v>25501</v>
      </c>
      <c r="DF63" s="16">
        <f t="shared" si="205"/>
        <v>26097</v>
      </c>
      <c r="DG63" s="16">
        <f t="shared" si="205"/>
        <v>39504.686000000009</v>
      </c>
      <c r="DH63" s="16">
        <f t="shared" si="205"/>
        <v>40421.179824999992</v>
      </c>
      <c r="DI63" s="16">
        <f t="shared" si="205"/>
        <v>41978.111275750001</v>
      </c>
      <c r="DJ63" s="16">
        <f t="shared" si="205"/>
        <v>42018.547138197508</v>
      </c>
      <c r="DK63" s="16">
        <f t="shared" si="205"/>
        <v>42589.402592164683</v>
      </c>
      <c r="DL63" s="16">
        <f t="shared" si="205"/>
        <v>37312.616854567794</v>
      </c>
    </row>
    <row r="64" spans="2:121" s="15" customFormat="1" x14ac:dyDescent="0.2">
      <c r="B64" s="15" t="s">
        <v>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-66-15+15</f>
        <v>-66</v>
      </c>
      <c r="AR64" s="16">
        <f>-75+4</f>
        <v>-71</v>
      </c>
      <c r="AS64" s="16">
        <f>-69-11-5</f>
        <v>-85</v>
      </c>
      <c r="AT64" s="16">
        <f>-68-13</f>
        <v>-81</v>
      </c>
      <c r="AU64" s="16">
        <f>-65+3</f>
        <v>-62</v>
      </c>
      <c r="AV64" s="16">
        <f>-69-5-8</f>
        <v>-82</v>
      </c>
      <c r="AW64" s="16">
        <f>-128-221</f>
        <v>-349</v>
      </c>
      <c r="AX64" s="16">
        <f>-129+3</f>
        <v>-126</v>
      </c>
      <c r="AY64" s="16">
        <f>-126-1</f>
        <v>-127</v>
      </c>
      <c r="AZ64" s="16">
        <f>-164+4</f>
        <v>-160</v>
      </c>
      <c r="BA64" s="16">
        <f>-197-28</f>
        <v>-225</v>
      </c>
      <c r="BB64" s="16">
        <f>-199+12</f>
        <v>-187</v>
      </c>
      <c r="BC64" s="16">
        <v>-200</v>
      </c>
      <c r="BD64" s="16">
        <f>-225-51</f>
        <v>-276</v>
      </c>
      <c r="BE64" s="16">
        <f>-250+3</f>
        <v>-247</v>
      </c>
      <c r="BF64" s="16">
        <f>-251+5</f>
        <v>-246</v>
      </c>
      <c r="BG64" s="16">
        <f>-247+25</f>
        <v>-222</v>
      </c>
      <c r="BH64" s="16">
        <v>-253</v>
      </c>
      <c r="BI64" s="16">
        <f>-252+52</f>
        <v>-200</v>
      </c>
      <c r="BJ64" s="16">
        <f>-252+50</f>
        <v>-202</v>
      </c>
      <c r="BK64" s="16">
        <f>5-251</f>
        <v>-246</v>
      </c>
      <c r="BL64" s="16">
        <f>-15-272</f>
        <v>-287</v>
      </c>
      <c r="BM64" s="16">
        <f>-302-2+1</f>
        <v>-303</v>
      </c>
      <c r="BN64" s="16">
        <f>-319-6+11</f>
        <v>-314</v>
      </c>
      <c r="BO64" s="16">
        <f>34-325</f>
        <v>-291</v>
      </c>
      <c r="BP64" s="16">
        <f>-302+26</f>
        <v>-276</v>
      </c>
      <c r="BQ64" s="16">
        <f>-288-19+3</f>
        <v>-304</v>
      </c>
      <c r="BR64" s="16">
        <f>-282-11+22</f>
        <v>-271</v>
      </c>
      <c r="BS64" s="16">
        <f>-284-5</f>
        <v>-289</v>
      </c>
      <c r="BT64" s="16">
        <f>-484+7-33</f>
        <v>-510</v>
      </c>
      <c r="BU64" s="49">
        <v>620</v>
      </c>
      <c r="BV64" s="49">
        <v>618</v>
      </c>
      <c r="BW64" s="16">
        <v>-622</v>
      </c>
      <c r="BX64" s="16">
        <v>-606</v>
      </c>
      <c r="BY64" s="16">
        <v>-585</v>
      </c>
      <c r="BZ64" s="16">
        <v>-571</v>
      </c>
      <c r="CA64" s="16">
        <f>-539+28</f>
        <v>-511</v>
      </c>
      <c r="CB64" s="16">
        <f>-497+210</f>
        <v>-287</v>
      </c>
      <c r="CC64" s="16">
        <f>120-497</f>
        <v>-377</v>
      </c>
      <c r="CD64" s="16">
        <f>+CC64</f>
        <v>-377</v>
      </c>
      <c r="CE64" s="16">
        <v>69</v>
      </c>
      <c r="CF64" s="16">
        <f>-119-454</f>
        <v>-573</v>
      </c>
      <c r="CG64" s="16">
        <f>146-398</f>
        <v>-252</v>
      </c>
      <c r="CH64" s="16">
        <f>-363+142</f>
        <v>-221</v>
      </c>
      <c r="CI64" s="16">
        <f>-429+76</f>
        <v>-353</v>
      </c>
      <c r="CJ64" s="16">
        <f>153-506-1</f>
        <v>-354</v>
      </c>
      <c r="CK64" s="16">
        <f>199-591</f>
        <v>-392</v>
      </c>
      <c r="CL64" s="16">
        <f>201-610</f>
        <v>-409</v>
      </c>
      <c r="CM64" s="16">
        <f>-627+82</f>
        <v>-545</v>
      </c>
      <c r="CN64" s="16">
        <f>+CM64</f>
        <v>-545</v>
      </c>
      <c r="CO64" s="16">
        <f>+CN64</f>
        <v>-545</v>
      </c>
      <c r="CP64" s="16">
        <f>+CO64</f>
        <v>-545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CZ66" si="206">SUM(BK64:BN64)</f>
        <v>-1150</v>
      </c>
      <c r="DA64" s="16">
        <f t="shared" ref="DA64" si="207">SUM(BO64:BR64)</f>
        <v>-1142</v>
      </c>
      <c r="DB64" s="16">
        <f t="shared" ref="DB64" si="208">SUM(BS64:BV64)</f>
        <v>439</v>
      </c>
      <c r="DC64" s="16">
        <f t="shared" ref="DC64" si="209">SUM(BW64:BZ64)</f>
        <v>-2384</v>
      </c>
      <c r="DD64" s="16">
        <f t="shared" ref="DD64" si="210">SUM(CA64:CD64)</f>
        <v>-1552</v>
      </c>
      <c r="DE64" s="16">
        <f>SUM(CE64:CH64)</f>
        <v>-977</v>
      </c>
      <c r="DF64" s="16">
        <f t="shared" ref="DF64" si="211">SUM(CI64:CL64)</f>
        <v>-1508</v>
      </c>
      <c r="DG64" s="16">
        <f t="shared" ref="DG64:DI64" si="212">+DF64+300</f>
        <v>-1208</v>
      </c>
      <c r="DH64" s="16">
        <f t="shared" si="212"/>
        <v>-908</v>
      </c>
      <c r="DI64" s="16">
        <f t="shared" si="212"/>
        <v>-608</v>
      </c>
      <c r="DJ64" s="16">
        <f>+DI64+300</f>
        <v>-308</v>
      </c>
      <c r="DK64" s="16">
        <f>+DJ64+300</f>
        <v>-8</v>
      </c>
      <c r="DL64" s="16">
        <f>+DK64+300</f>
        <v>292</v>
      </c>
    </row>
    <row r="65" spans="2:243" s="15" customFormat="1" x14ac:dyDescent="0.2">
      <c r="B65" s="15" t="s">
        <v>18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f>+AQ63+AQ64</f>
        <v>1239</v>
      </c>
      <c r="AR65" s="16">
        <f>+AR63+AR64</f>
        <v>1452</v>
      </c>
      <c r="AS65" s="16">
        <f>+AS63+AS64</f>
        <v>1506</v>
      </c>
      <c r="AT65" s="16">
        <f>+AT63+AT64</f>
        <v>1502</v>
      </c>
      <c r="AU65" s="16">
        <f>+AU63+AU64</f>
        <v>1289</v>
      </c>
      <c r="AV65" s="16">
        <f t="shared" ref="AV65:BB65" si="213">+AV64+AV63</f>
        <v>1670</v>
      </c>
      <c r="AW65" s="16">
        <f t="shared" si="213"/>
        <v>1169</v>
      </c>
      <c r="AX65" s="16">
        <f t="shared" si="213"/>
        <v>-13</v>
      </c>
      <c r="AY65" s="16">
        <f t="shared" si="213"/>
        <v>1687</v>
      </c>
      <c r="AZ65" s="16">
        <f t="shared" si="213"/>
        <v>1715</v>
      </c>
      <c r="BA65" s="16">
        <f t="shared" si="213"/>
        <v>1660</v>
      </c>
      <c r="BB65" s="16">
        <f t="shared" si="213"/>
        <v>1886</v>
      </c>
      <c r="BC65" s="16">
        <f t="shared" ref="BC65" si="214">+BC63+BC64</f>
        <v>2088</v>
      </c>
      <c r="BD65" s="16">
        <f t="shared" ref="BD65:BE65" si="215">+BD63+BD64</f>
        <v>2161</v>
      </c>
      <c r="BE65" s="16">
        <f t="shared" si="215"/>
        <v>2485</v>
      </c>
      <c r="BF65" s="16">
        <f t="shared" ref="BF65:BG65" si="216">+BF63+BF64</f>
        <v>2451</v>
      </c>
      <c r="BG65" s="16">
        <f t="shared" si="216"/>
        <v>2531</v>
      </c>
      <c r="BH65" s="16">
        <f t="shared" ref="BH65:BI65" si="217">+BH63+BH64</f>
        <v>2843</v>
      </c>
      <c r="BI65" s="16">
        <f t="shared" si="217"/>
        <v>2815</v>
      </c>
      <c r="BJ65" s="16">
        <f t="shared" ref="BJ65:BP65" si="218">+BJ63+BJ64</f>
        <v>2949</v>
      </c>
      <c r="BK65" s="16">
        <f t="shared" si="218"/>
        <v>3257</v>
      </c>
      <c r="BL65" s="16">
        <f t="shared" si="218"/>
        <v>3454</v>
      </c>
      <c r="BM65" s="16">
        <f t="shared" si="218"/>
        <v>3581</v>
      </c>
      <c r="BN65" s="16">
        <f t="shared" si="218"/>
        <v>3151</v>
      </c>
      <c r="BO65" s="16">
        <f t="shared" si="218"/>
        <v>3472</v>
      </c>
      <c r="BP65" s="16">
        <f t="shared" si="218"/>
        <v>3700</v>
      </c>
      <c r="BQ65" s="16">
        <f t="shared" ref="BQ65:BR65" si="219">BQ63+BQ64</f>
        <v>3802</v>
      </c>
      <c r="BR65" s="16">
        <f t="shared" si="219"/>
        <v>3614</v>
      </c>
      <c r="BS65" s="16">
        <f t="shared" ref="BS65:BT65" si="220">BS63+BS64</f>
        <v>4003</v>
      </c>
      <c r="BT65" s="16">
        <f t="shared" si="220"/>
        <v>4395</v>
      </c>
      <c r="BU65" s="16">
        <f t="shared" ref="BU65:CA65" si="221">BU63+BU64</f>
        <v>6904</v>
      </c>
      <c r="BV65" s="16">
        <f t="shared" si="221"/>
        <v>7113</v>
      </c>
      <c r="BW65" s="16">
        <f t="shared" si="221"/>
        <v>5980</v>
      </c>
      <c r="BX65" s="16">
        <f t="shared" si="221"/>
        <v>6338</v>
      </c>
      <c r="BY65" s="16">
        <f t="shared" si="221"/>
        <v>6751</v>
      </c>
      <c r="BZ65" s="16">
        <f t="shared" si="221"/>
        <v>6762</v>
      </c>
      <c r="CA65" s="16">
        <f t="shared" si="221"/>
        <v>6592</v>
      </c>
      <c r="CB65" s="16">
        <f t="shared" ref="CB65:CD65" si="222">CB63+CB64</f>
        <v>7433</v>
      </c>
      <c r="CC65" s="16">
        <f t="shared" si="222"/>
        <v>7572</v>
      </c>
      <c r="CD65" s="16">
        <f t="shared" si="222"/>
        <v>7319.8</v>
      </c>
      <c r="CE65" s="16">
        <f t="shared" ref="CE65:CH65" si="223">CE63+CE64</f>
        <v>5722</v>
      </c>
      <c r="CF65" s="16">
        <f t="shared" si="223"/>
        <v>6227</v>
      </c>
      <c r="CG65" s="16">
        <f t="shared" si="223"/>
        <v>6324</v>
      </c>
      <c r="CH65" s="16">
        <f t="shared" si="223"/>
        <v>6251</v>
      </c>
      <c r="CI65" s="16">
        <f>+CI63+CI64</f>
        <v>5006</v>
      </c>
      <c r="CJ65" s="16">
        <f>+CJ63+CJ64</f>
        <v>6741</v>
      </c>
      <c r="CK65" s="16">
        <f>+CK63+CK64</f>
        <v>6436</v>
      </c>
      <c r="CL65" s="16">
        <f>+CL63+CL64</f>
        <v>6406</v>
      </c>
      <c r="CM65" s="16">
        <f t="shared" ref="CM65:CP65" si="224">+CM63+CM64</f>
        <v>5351.1</v>
      </c>
      <c r="CN65" s="16">
        <f t="shared" si="224"/>
        <v>6757.920500000002</v>
      </c>
      <c r="CO65" s="16">
        <f t="shared" si="224"/>
        <v>7012.5219999999999</v>
      </c>
      <c r="CP65" s="16">
        <f t="shared" si="224"/>
        <v>7418.4664999999968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ref="CZ65:DB65" si="225">+CZ63+CZ64</f>
        <v>13443</v>
      </c>
      <c r="DA65" s="16">
        <f t="shared" si="225"/>
        <v>14588</v>
      </c>
      <c r="DB65" s="16">
        <f t="shared" si="225"/>
        <v>22415</v>
      </c>
      <c r="DC65" s="16">
        <f>+DC63+DC64</f>
        <v>25831</v>
      </c>
      <c r="DD65" s="16">
        <f>+DD63+DD64</f>
        <v>28916.799999999999</v>
      </c>
      <c r="DE65" s="16">
        <f t="shared" ref="DE65:DL65" si="226">+DE63+DE64</f>
        <v>24524</v>
      </c>
      <c r="DF65" s="16">
        <f t="shared" si="226"/>
        <v>24589</v>
      </c>
      <c r="DG65" s="16">
        <f t="shared" si="226"/>
        <v>38296.686000000009</v>
      </c>
      <c r="DH65" s="16">
        <f t="shared" si="226"/>
        <v>39513.179824999992</v>
      </c>
      <c r="DI65" s="16">
        <f t="shared" si="226"/>
        <v>41370.111275750001</v>
      </c>
      <c r="DJ65" s="16">
        <f>+DJ63+DJ64</f>
        <v>41710.547138197508</v>
      </c>
      <c r="DK65" s="16">
        <f t="shared" si="226"/>
        <v>42581.402592164683</v>
      </c>
      <c r="DL65" s="16">
        <f t="shared" si="226"/>
        <v>37604.616854567794</v>
      </c>
    </row>
    <row r="66" spans="2:243" s="15" customFormat="1" x14ac:dyDescent="0.2">
      <c r="B66" s="15" t="s">
        <v>17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271</v>
      </c>
      <c r="AR66" s="16">
        <v>300</v>
      </c>
      <c r="AS66" s="16">
        <v>322</v>
      </c>
      <c r="AT66" s="16">
        <v>311</v>
      </c>
      <c r="AU66" s="16">
        <v>306</v>
      </c>
      <c r="AV66" s="16">
        <v>335</v>
      </c>
      <c r="AW66" s="16">
        <v>181</v>
      </c>
      <c r="AX66" s="16">
        <v>0</v>
      </c>
      <c r="AY66" s="16">
        <v>374</v>
      </c>
      <c r="AZ66" s="16">
        <v>312</v>
      </c>
      <c r="BA66" s="16">
        <v>408</v>
      </c>
      <c r="BB66" s="16">
        <v>407</v>
      </c>
      <c r="BC66" s="16">
        <v>422</v>
      </c>
      <c r="BD66" s="16">
        <v>486</v>
      </c>
      <c r="BE66" s="16">
        <v>495</v>
      </c>
      <c r="BF66" s="16">
        <v>497</v>
      </c>
      <c r="BG66" s="16">
        <v>458</v>
      </c>
      <c r="BH66" s="16">
        <v>548</v>
      </c>
      <c r="BI66" s="16">
        <v>533</v>
      </c>
      <c r="BJ66" s="16">
        <v>556</v>
      </c>
      <c r="BK66" s="16">
        <v>249</v>
      </c>
      <c r="BL66" s="16">
        <v>311</v>
      </c>
      <c r="BM66" s="16">
        <v>326</v>
      </c>
      <c r="BN66" s="16">
        <v>289</v>
      </c>
      <c r="BO66" s="16">
        <v>274</v>
      </c>
      <c r="BP66" s="16">
        <v>324</v>
      </c>
      <c r="BQ66" s="16">
        <v>334</v>
      </c>
      <c r="BR66" s="16">
        <v>320</v>
      </c>
      <c r="BS66" s="16">
        <v>390</v>
      </c>
      <c r="BT66" s="16">
        <v>501</v>
      </c>
      <c r="BU66" s="16">
        <v>668</v>
      </c>
      <c r="BV66" s="16">
        <v>686</v>
      </c>
      <c r="BW66" s="16">
        <v>738</v>
      </c>
      <c r="BX66" s="16">
        <f>799+3</f>
        <v>802</v>
      </c>
      <c r="BY66" s="16">
        <f>862+1</f>
        <v>863</v>
      </c>
      <c r="BZ66" s="16">
        <f>6764-5919</f>
        <v>845</v>
      </c>
      <c r="CA66" s="16">
        <v>778</v>
      </c>
      <c r="CB66" s="16">
        <v>965</v>
      </c>
      <c r="CC66" s="16">
        <v>965</v>
      </c>
      <c r="CD66" s="16">
        <f>+CD65*0.15</f>
        <v>1097.97</v>
      </c>
      <c r="CE66" s="16">
        <f>6422-5641</f>
        <v>781</v>
      </c>
      <c r="CF66" s="81">
        <f>583+3</f>
        <v>586</v>
      </c>
      <c r="CG66" s="16">
        <v>980</v>
      </c>
      <c r="CH66" s="16">
        <f>388+2</f>
        <v>390</v>
      </c>
      <c r="CI66" s="16">
        <v>715</v>
      </c>
      <c r="CJ66" s="16">
        <v>1091</v>
      </c>
      <c r="CK66" s="16">
        <v>1027</v>
      </c>
      <c r="CL66" s="16">
        <v>970</v>
      </c>
      <c r="CM66" s="16">
        <v>726</v>
      </c>
      <c r="CN66" s="16">
        <f t="shared" ref="CN66:CP66" si="227">+CN65*0.1</f>
        <v>675.79205000000024</v>
      </c>
      <c r="CO66" s="16">
        <f t="shared" si="227"/>
        <v>701.25220000000002</v>
      </c>
      <c r="CP66" s="16">
        <f t="shared" si="227"/>
        <v>741.84664999999973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si="206"/>
        <v>1175</v>
      </c>
      <c r="DA66" s="16">
        <f t="shared" ref="DA66" si="228">SUM(BO66:BR66)</f>
        <v>1252</v>
      </c>
      <c r="DB66" s="16">
        <f t="shared" ref="DB66" si="229">SUM(BS66:BV66)</f>
        <v>2245</v>
      </c>
      <c r="DC66" s="16">
        <f t="shared" ref="DC66" si="230">SUM(BW66:BZ66)</f>
        <v>3248</v>
      </c>
      <c r="DD66" s="16">
        <f t="shared" ref="DD66" si="231">SUM(CA66:CD66)</f>
        <v>3805.9700000000003</v>
      </c>
      <c r="DE66" s="16">
        <f>SUM(CE66:CH66)</f>
        <v>2737</v>
      </c>
      <c r="DF66" s="16">
        <f t="shared" ref="DF66" si="232">SUM(CI66:CL66)</f>
        <v>3803</v>
      </c>
      <c r="DG66" s="16">
        <f t="shared" ref="DG66:DL66" si="233">+DG65*0.15</f>
        <v>5744.5029000000013</v>
      </c>
      <c r="DH66" s="16">
        <f t="shared" si="233"/>
        <v>5926.9769737499983</v>
      </c>
      <c r="DI66" s="16">
        <f t="shared" si="233"/>
        <v>6205.5166913624998</v>
      </c>
      <c r="DJ66" s="16">
        <f t="shared" si="233"/>
        <v>6256.5820707296261</v>
      </c>
      <c r="DK66" s="16">
        <f t="shared" si="233"/>
        <v>6387.210388824702</v>
      </c>
      <c r="DL66" s="16">
        <f t="shared" si="233"/>
        <v>5640.6925281851691</v>
      </c>
    </row>
    <row r="67" spans="2:243" s="15" customFormat="1" x14ac:dyDescent="0.2"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f t="shared" ref="AQ67:BB67" si="234">+AQ65-AQ66</f>
        <v>968</v>
      </c>
      <c r="AR67" s="16">
        <f t="shared" si="234"/>
        <v>1152</v>
      </c>
      <c r="AS67" s="16">
        <f t="shared" si="234"/>
        <v>1184</v>
      </c>
      <c r="AT67" s="16">
        <f t="shared" si="234"/>
        <v>1191</v>
      </c>
      <c r="AU67" s="16">
        <f t="shared" si="234"/>
        <v>983</v>
      </c>
      <c r="AV67" s="16">
        <f t="shared" si="234"/>
        <v>1335</v>
      </c>
      <c r="AW67" s="16">
        <f t="shared" si="234"/>
        <v>988</v>
      </c>
      <c r="AX67" s="16">
        <f t="shared" si="234"/>
        <v>-13</v>
      </c>
      <c r="AY67" s="16">
        <f t="shared" si="234"/>
        <v>1313</v>
      </c>
      <c r="AZ67" s="16">
        <f t="shared" si="234"/>
        <v>1403</v>
      </c>
      <c r="BA67" s="16">
        <f t="shared" si="234"/>
        <v>1252</v>
      </c>
      <c r="BB67" s="16">
        <f t="shared" si="234"/>
        <v>1479</v>
      </c>
      <c r="BC67" s="16">
        <f t="shared" ref="BC67" si="235">+BC65-BC66</f>
        <v>1666</v>
      </c>
      <c r="BD67" s="16">
        <f t="shared" ref="BD67:BE67" si="236">+BD65-BD66</f>
        <v>1675</v>
      </c>
      <c r="BE67" s="16">
        <f t="shared" si="236"/>
        <v>1990</v>
      </c>
      <c r="BF67" s="16">
        <f t="shared" ref="BF67:BG67" si="237">+BF65-BF66</f>
        <v>1954</v>
      </c>
      <c r="BG67" s="16">
        <f t="shared" si="237"/>
        <v>2073</v>
      </c>
      <c r="BH67" s="16">
        <f t="shared" ref="BH67:BI67" si="238">+BH65-BH66</f>
        <v>2295</v>
      </c>
      <c r="BI67" s="16">
        <f t="shared" si="238"/>
        <v>2282</v>
      </c>
      <c r="BJ67" s="16">
        <f t="shared" ref="BJ67" si="239">+BJ65-BJ66</f>
        <v>2393</v>
      </c>
      <c r="BK67" s="16">
        <f t="shared" ref="BK67:BP67" si="240">+BK65-BK66</f>
        <v>3008</v>
      </c>
      <c r="BL67" s="16">
        <f t="shared" si="240"/>
        <v>3143</v>
      </c>
      <c r="BM67" s="16">
        <f t="shared" si="240"/>
        <v>3255</v>
      </c>
      <c r="BN67" s="16">
        <f t="shared" si="240"/>
        <v>2862</v>
      </c>
      <c r="BO67" s="16">
        <f t="shared" si="240"/>
        <v>3198</v>
      </c>
      <c r="BP67" s="16">
        <f t="shared" si="240"/>
        <v>3376</v>
      </c>
      <c r="BQ67" s="16">
        <f t="shared" ref="BQ67:BR67" si="241">BQ65-BQ66</f>
        <v>3468</v>
      </c>
      <c r="BR67" s="16">
        <f t="shared" si="241"/>
        <v>3294</v>
      </c>
      <c r="BS67" s="16">
        <f t="shared" ref="BS67:BT67" si="242">BS65-BS66</f>
        <v>3613</v>
      </c>
      <c r="BT67" s="16">
        <f t="shared" si="242"/>
        <v>3894</v>
      </c>
      <c r="BU67" s="16">
        <f t="shared" ref="BU67:CA67" si="243">BU65-BU66</f>
        <v>6236</v>
      </c>
      <c r="BV67" s="16">
        <f t="shared" si="243"/>
        <v>6427</v>
      </c>
      <c r="BW67" s="16">
        <f t="shared" si="243"/>
        <v>5242</v>
      </c>
      <c r="BX67" s="16">
        <f t="shared" si="243"/>
        <v>5536</v>
      </c>
      <c r="BY67" s="16">
        <f t="shared" si="243"/>
        <v>5888</v>
      </c>
      <c r="BZ67" s="16">
        <f t="shared" si="243"/>
        <v>5917</v>
      </c>
      <c r="CA67" s="16">
        <f t="shared" si="243"/>
        <v>5814</v>
      </c>
      <c r="CB67" s="16">
        <f t="shared" ref="CB67:CD67" si="244">CB65-CB66</f>
        <v>6468</v>
      </c>
      <c r="CC67" s="16">
        <f t="shared" si="244"/>
        <v>6607</v>
      </c>
      <c r="CD67" s="16">
        <f t="shared" si="244"/>
        <v>6221.83</v>
      </c>
      <c r="CE67" s="16">
        <f t="shared" ref="CE67:CJ67" si="245">CE65-CE66</f>
        <v>4941</v>
      </c>
      <c r="CF67" s="16">
        <f t="shared" si="245"/>
        <v>5641</v>
      </c>
      <c r="CG67" s="16">
        <f t="shared" si="245"/>
        <v>5344</v>
      </c>
      <c r="CH67" s="16">
        <f t="shared" si="245"/>
        <v>5861</v>
      </c>
      <c r="CI67" s="16">
        <f t="shared" si="245"/>
        <v>4291</v>
      </c>
      <c r="CJ67" s="16">
        <f t="shared" si="245"/>
        <v>5650</v>
      </c>
      <c r="CK67" s="16">
        <f t="shared" ref="CK67:CL67" si="246">CK65-CK66</f>
        <v>5409</v>
      </c>
      <c r="CL67" s="16">
        <f t="shared" si="246"/>
        <v>5436</v>
      </c>
      <c r="CM67" s="16">
        <f t="shared" ref="CM67:CP67" si="247">CM65-CM66</f>
        <v>4625.1000000000004</v>
      </c>
      <c r="CN67" s="16">
        <f t="shared" si="247"/>
        <v>6082.128450000002</v>
      </c>
      <c r="CO67" s="16">
        <f t="shared" si="247"/>
        <v>6311.2698</v>
      </c>
      <c r="CP67" s="16">
        <f t="shared" si="247"/>
        <v>6676.6198499999973</v>
      </c>
      <c r="CQ67" s="16"/>
      <c r="CR67" s="16"/>
      <c r="CS67" s="16"/>
      <c r="CT67" s="16"/>
      <c r="CU67" s="16"/>
      <c r="CV67" s="16"/>
      <c r="CW67" s="16"/>
      <c r="CX67" s="16"/>
      <c r="CY67" s="16"/>
      <c r="CZ67" s="16">
        <f t="shared" ref="CZ67:DB67" si="248">+CZ65-CZ66</f>
        <v>12268</v>
      </c>
      <c r="DA67" s="16">
        <f t="shared" si="248"/>
        <v>13336</v>
      </c>
      <c r="DB67" s="16">
        <f t="shared" si="248"/>
        <v>20170</v>
      </c>
      <c r="DC67" s="16">
        <f>+DC65-DC66</f>
        <v>22583</v>
      </c>
      <c r="DD67" s="16">
        <f>+DD65-DD66</f>
        <v>25110.829999999998</v>
      </c>
      <c r="DE67" s="16">
        <f>+DE65-DE66</f>
        <v>21787</v>
      </c>
      <c r="DF67" s="16">
        <f t="shared" ref="DF67:DL67" si="249">+DF65-DF66</f>
        <v>20786</v>
      </c>
      <c r="DG67" s="16">
        <f t="shared" si="249"/>
        <v>32552.183100000009</v>
      </c>
      <c r="DH67" s="16">
        <f t="shared" si="249"/>
        <v>33586.202851249996</v>
      </c>
      <c r="DI67" s="16">
        <f t="shared" si="249"/>
        <v>35164.594584387502</v>
      </c>
      <c r="DJ67" s="16">
        <f t="shared" si="249"/>
        <v>35453.965067467885</v>
      </c>
      <c r="DK67" s="16">
        <f t="shared" si="249"/>
        <v>36194.192203339982</v>
      </c>
      <c r="DL67" s="16">
        <f t="shared" si="249"/>
        <v>31963.924326382625</v>
      </c>
      <c r="DM67" s="15">
        <f t="shared" ref="DM67:ER67" si="250">DL67*(1+$DT$75)</f>
        <v>31644.285083118797</v>
      </c>
      <c r="DN67" s="15">
        <f t="shared" si="250"/>
        <v>31327.84223228761</v>
      </c>
      <c r="DO67" s="15">
        <f t="shared" si="250"/>
        <v>31014.563809964733</v>
      </c>
      <c r="DP67" s="15">
        <f t="shared" si="250"/>
        <v>30704.418171865087</v>
      </c>
      <c r="DQ67" s="15">
        <f t="shared" si="250"/>
        <v>30397.373990146436</v>
      </c>
      <c r="DR67" s="15">
        <f t="shared" si="250"/>
        <v>30093.400250244973</v>
      </c>
      <c r="DS67" s="15">
        <f t="shared" si="250"/>
        <v>29792.466247742523</v>
      </c>
      <c r="DT67" s="15">
        <f t="shared" si="250"/>
        <v>29494.541585265099</v>
      </c>
      <c r="DU67" s="15">
        <f t="shared" si="250"/>
        <v>29199.596169412449</v>
      </c>
      <c r="DV67" s="15">
        <f t="shared" si="250"/>
        <v>28907.600207718326</v>
      </c>
      <c r="DW67" s="15">
        <f t="shared" si="250"/>
        <v>28618.524205641141</v>
      </c>
      <c r="DX67" s="15">
        <f t="shared" si="250"/>
        <v>28332.338963584731</v>
      </c>
      <c r="DY67" s="15">
        <f t="shared" si="250"/>
        <v>28049.015573948884</v>
      </c>
      <c r="DZ67" s="15">
        <f t="shared" si="250"/>
        <v>27768.525418209396</v>
      </c>
      <c r="EA67" s="15">
        <f t="shared" si="250"/>
        <v>27490.8401640273</v>
      </c>
      <c r="EB67" s="15">
        <f t="shared" si="250"/>
        <v>27215.931762387027</v>
      </c>
      <c r="EC67" s="15">
        <f t="shared" si="250"/>
        <v>26943.772444763155</v>
      </c>
      <c r="ED67" s="15">
        <f t="shared" si="250"/>
        <v>26674.334720315524</v>
      </c>
      <c r="EE67" s="15">
        <f t="shared" si="250"/>
        <v>26407.591373112369</v>
      </c>
      <c r="EF67" s="15">
        <f t="shared" si="250"/>
        <v>26143.515459381244</v>
      </c>
      <c r="EG67" s="15">
        <f t="shared" si="250"/>
        <v>25882.080304787432</v>
      </c>
      <c r="EH67" s="15">
        <f t="shared" si="250"/>
        <v>25623.259501739558</v>
      </c>
      <c r="EI67" s="15">
        <f t="shared" si="250"/>
        <v>25367.026906722163</v>
      </c>
      <c r="EJ67" s="15">
        <f t="shared" si="250"/>
        <v>25113.356637654942</v>
      </c>
      <c r="EK67" s="15">
        <f t="shared" si="250"/>
        <v>24862.223071278393</v>
      </c>
      <c r="EL67" s="15">
        <f t="shared" si="250"/>
        <v>24613.60084056561</v>
      </c>
      <c r="EM67" s="15">
        <f t="shared" si="250"/>
        <v>24367.464832159952</v>
      </c>
      <c r="EN67" s="15">
        <f t="shared" si="250"/>
        <v>24123.790183838351</v>
      </c>
      <c r="EO67" s="15">
        <f t="shared" si="250"/>
        <v>23882.552281999968</v>
      </c>
      <c r="EP67" s="15">
        <f t="shared" si="250"/>
        <v>23643.726759179968</v>
      </c>
      <c r="EQ67" s="15">
        <f t="shared" si="250"/>
        <v>23407.28949158817</v>
      </c>
      <c r="ER67" s="15">
        <f t="shared" si="250"/>
        <v>23173.21659667229</v>
      </c>
      <c r="ES67" s="15">
        <f t="shared" ref="ES67:FX67" si="251">ER67*(1+$DT$75)</f>
        <v>22941.484430705568</v>
      </c>
      <c r="ET67" s="15">
        <f t="shared" si="251"/>
        <v>22712.069586398513</v>
      </c>
      <c r="EU67" s="15">
        <f t="shared" si="251"/>
        <v>22484.948890534528</v>
      </c>
      <c r="EV67" s="15">
        <f t="shared" si="251"/>
        <v>22260.099401629181</v>
      </c>
      <c r="EW67" s="15">
        <f t="shared" si="251"/>
        <v>22037.498407612889</v>
      </c>
      <c r="EX67" s="15">
        <f t="shared" si="251"/>
        <v>21817.123423536759</v>
      </c>
      <c r="EY67" s="15">
        <f t="shared" si="251"/>
        <v>21598.952189301392</v>
      </c>
      <c r="EZ67" s="15">
        <f t="shared" si="251"/>
        <v>21382.962667408377</v>
      </c>
      <c r="FA67" s="15">
        <f t="shared" si="251"/>
        <v>21169.133040734294</v>
      </c>
      <c r="FB67" s="15">
        <f t="shared" si="251"/>
        <v>20957.441710326952</v>
      </c>
      <c r="FC67" s="15">
        <f t="shared" si="251"/>
        <v>20747.86729322368</v>
      </c>
      <c r="FD67" s="15">
        <f t="shared" si="251"/>
        <v>20540.388620291444</v>
      </c>
      <c r="FE67" s="15">
        <f t="shared" si="251"/>
        <v>20334.984734088528</v>
      </c>
      <c r="FF67" s="15">
        <f t="shared" si="251"/>
        <v>20131.634886747641</v>
      </c>
      <c r="FG67" s="15">
        <f t="shared" si="251"/>
        <v>19930.318537880165</v>
      </c>
      <c r="FH67" s="15">
        <f t="shared" si="251"/>
        <v>19731.015352501363</v>
      </c>
      <c r="FI67" s="15">
        <f t="shared" si="251"/>
        <v>19533.705198976349</v>
      </c>
      <c r="FJ67" s="15">
        <f t="shared" si="251"/>
        <v>19338.368146986584</v>
      </c>
      <c r="FK67" s="15">
        <f t="shared" si="251"/>
        <v>19144.984465516718</v>
      </c>
      <c r="FL67" s="15">
        <f t="shared" si="251"/>
        <v>18953.534620861552</v>
      </c>
      <c r="FM67" s="15">
        <f t="shared" si="251"/>
        <v>18763.999274652935</v>
      </c>
      <c r="FN67" s="15">
        <f t="shared" si="251"/>
        <v>18576.359281906407</v>
      </c>
      <c r="FO67" s="15">
        <f t="shared" si="251"/>
        <v>18390.595689087342</v>
      </c>
      <c r="FP67" s="15">
        <f t="shared" si="251"/>
        <v>18206.689732196468</v>
      </c>
      <c r="FQ67" s="15">
        <f t="shared" si="251"/>
        <v>18024.622834874503</v>
      </c>
      <c r="FR67" s="15">
        <f t="shared" si="251"/>
        <v>17844.376606525759</v>
      </c>
      <c r="FS67" s="15">
        <f t="shared" si="251"/>
        <v>17665.9328404605</v>
      </c>
      <c r="FT67" s="15">
        <f t="shared" si="251"/>
        <v>17489.273512055894</v>
      </c>
      <c r="FU67" s="15">
        <f t="shared" si="251"/>
        <v>17314.380776935333</v>
      </c>
      <c r="FV67" s="15">
        <f t="shared" si="251"/>
        <v>17141.236969165981</v>
      </c>
      <c r="FW67" s="15">
        <f t="shared" si="251"/>
        <v>16969.824599474319</v>
      </c>
      <c r="FX67" s="15">
        <f t="shared" si="251"/>
        <v>16800.126353479576</v>
      </c>
      <c r="FY67" s="15">
        <f t="shared" ref="FY67:HD67" si="252">FX67*(1+$DT$75)</f>
        <v>16632.12508994478</v>
      </c>
      <c r="FZ67" s="15">
        <f t="shared" si="252"/>
        <v>16465.803839045333</v>
      </c>
      <c r="GA67" s="15">
        <f t="shared" si="252"/>
        <v>16301.14580065488</v>
      </c>
      <c r="GB67" s="15">
        <f t="shared" si="252"/>
        <v>16138.134342648331</v>
      </c>
      <c r="GC67" s="15">
        <f t="shared" si="252"/>
        <v>15976.752999221848</v>
      </c>
      <c r="GD67" s="15">
        <f t="shared" si="252"/>
        <v>15816.985469229629</v>
      </c>
      <c r="GE67" s="15">
        <f t="shared" si="252"/>
        <v>15658.815614537332</v>
      </c>
      <c r="GF67" s="15">
        <f t="shared" si="252"/>
        <v>15502.227458391959</v>
      </c>
      <c r="GG67" s="15">
        <f t="shared" si="252"/>
        <v>15347.205183808039</v>
      </c>
      <c r="GH67" s="15">
        <f t="shared" si="252"/>
        <v>15193.733131969959</v>
      </c>
      <c r="GI67" s="15">
        <f t="shared" si="252"/>
        <v>15041.795800650259</v>
      </c>
      <c r="GJ67" s="15">
        <f t="shared" si="252"/>
        <v>14891.377842643757</v>
      </c>
      <c r="GK67" s="15">
        <f t="shared" si="252"/>
        <v>14742.464064217318</v>
      </c>
      <c r="GL67" s="15">
        <f t="shared" si="252"/>
        <v>14595.039423575145</v>
      </c>
      <c r="GM67" s="15">
        <f t="shared" si="252"/>
        <v>14449.089029339393</v>
      </c>
      <c r="GN67" s="15">
        <f t="shared" si="252"/>
        <v>14304.598139045998</v>
      </c>
      <c r="GO67" s="15">
        <f t="shared" si="252"/>
        <v>14161.552157655538</v>
      </c>
      <c r="GP67" s="15">
        <f t="shared" si="252"/>
        <v>14019.936636078983</v>
      </c>
      <c r="GQ67" s="15">
        <f t="shared" si="252"/>
        <v>13879.737269718193</v>
      </c>
      <c r="GR67" s="15">
        <f t="shared" si="252"/>
        <v>13740.939897021011</v>
      </c>
      <c r="GS67" s="15">
        <f t="shared" si="252"/>
        <v>13603.530498050801</v>
      </c>
      <c r="GT67" s="15">
        <f t="shared" si="252"/>
        <v>13467.495193070292</v>
      </c>
      <c r="GU67" s="15">
        <f t="shared" si="252"/>
        <v>13332.820241139589</v>
      </c>
      <c r="GV67" s="15">
        <f t="shared" si="252"/>
        <v>13199.492038728193</v>
      </c>
      <c r="GW67" s="15">
        <f t="shared" si="252"/>
        <v>13067.497118340911</v>
      </c>
      <c r="GX67" s="15">
        <f t="shared" si="252"/>
        <v>12936.822147157502</v>
      </c>
      <c r="GY67" s="15">
        <f t="shared" si="252"/>
        <v>12807.453925685926</v>
      </c>
      <c r="GZ67" s="15">
        <f t="shared" si="252"/>
        <v>12679.379386429067</v>
      </c>
      <c r="HA67" s="15">
        <f t="shared" si="252"/>
        <v>12552.585592564777</v>
      </c>
      <c r="HB67" s="15">
        <f t="shared" si="252"/>
        <v>12427.05973663913</v>
      </c>
      <c r="HC67" s="15">
        <f t="shared" si="252"/>
        <v>12302.78913927274</v>
      </c>
      <c r="HD67" s="15">
        <f t="shared" si="252"/>
        <v>12179.761247880013</v>
      </c>
      <c r="HE67" s="15">
        <f t="shared" ref="HE67:II67" si="253">HD67*(1+$DT$75)</f>
        <v>12057.963635401213</v>
      </c>
      <c r="HF67" s="15">
        <f t="shared" si="253"/>
        <v>11937.383999047201</v>
      </c>
      <c r="HG67" s="15">
        <f t="shared" si="253"/>
        <v>11818.010159056728</v>
      </c>
      <c r="HH67" s="15">
        <f t="shared" si="253"/>
        <v>11699.830057466161</v>
      </c>
      <c r="HI67" s="15">
        <f t="shared" si="253"/>
        <v>11582.831756891499</v>
      </c>
      <c r="HJ67" s="15">
        <f t="shared" si="253"/>
        <v>11467.003439322583</v>
      </c>
      <c r="HK67" s="15">
        <f t="shared" si="253"/>
        <v>11352.333404929357</v>
      </c>
      <c r="HL67" s="15">
        <f t="shared" si="253"/>
        <v>11238.810070880063</v>
      </c>
      <c r="HM67" s="15">
        <f t="shared" si="253"/>
        <v>11126.421970171263</v>
      </c>
      <c r="HN67" s="15">
        <f t="shared" si="253"/>
        <v>11015.157750469551</v>
      </c>
      <c r="HO67" s="15">
        <f t="shared" si="253"/>
        <v>10905.006172964855</v>
      </c>
      <c r="HP67" s="15">
        <f t="shared" si="253"/>
        <v>10795.956111235206</v>
      </c>
      <c r="HQ67" s="15">
        <f t="shared" si="253"/>
        <v>10687.996550122854</v>
      </c>
      <c r="HR67" s="15">
        <f t="shared" si="253"/>
        <v>10581.116584621626</v>
      </c>
      <c r="HS67" s="15">
        <f t="shared" si="253"/>
        <v>10475.30541877541</v>
      </c>
      <c r="HT67" s="15">
        <f t="shared" si="253"/>
        <v>10370.552364587655</v>
      </c>
      <c r="HU67" s="15">
        <f t="shared" si="253"/>
        <v>10266.846840941778</v>
      </c>
      <c r="HV67" s="15">
        <f t="shared" si="253"/>
        <v>10164.17837253236</v>
      </c>
      <c r="HW67" s="15">
        <f t="shared" si="253"/>
        <v>10062.536588807037</v>
      </c>
      <c r="HX67" s="15">
        <f t="shared" si="253"/>
        <v>9961.9112229189668</v>
      </c>
      <c r="HY67" s="15">
        <f t="shared" si="253"/>
        <v>9862.2921106897775</v>
      </c>
      <c r="HZ67" s="15">
        <f t="shared" si="253"/>
        <v>9763.669189582879</v>
      </c>
      <c r="IA67" s="15">
        <f t="shared" si="253"/>
        <v>9666.0324976870506</v>
      </c>
      <c r="IB67" s="15">
        <f t="shared" si="253"/>
        <v>9569.3721727101802</v>
      </c>
      <c r="IC67" s="15">
        <f t="shared" si="253"/>
        <v>9473.6784509830777</v>
      </c>
      <c r="ID67" s="15">
        <f t="shared" si="253"/>
        <v>9378.9416664732471</v>
      </c>
      <c r="IE67" s="15">
        <f t="shared" si="253"/>
        <v>9285.1522498085142</v>
      </c>
      <c r="IF67" s="15">
        <f t="shared" si="253"/>
        <v>9192.3007273104286</v>
      </c>
      <c r="IG67" s="15">
        <f t="shared" si="253"/>
        <v>9100.3777200373243</v>
      </c>
      <c r="IH67" s="15">
        <f t="shared" si="253"/>
        <v>9009.3739428369518</v>
      </c>
      <c r="II67" s="15">
        <f t="shared" si="253"/>
        <v>8919.2802034085817</v>
      </c>
    </row>
    <row r="68" spans="2:243" s="14" customFormat="1" x14ac:dyDescent="0.2">
      <c r="B68" s="14" t="s">
        <v>15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f t="shared" ref="AQ68:BB68" si="254">AQ67/AQ69</f>
        <v>0.60311526479750777</v>
      </c>
      <c r="AR68" s="3">
        <f t="shared" si="254"/>
        <v>0.71597265382224984</v>
      </c>
      <c r="AS68" s="3">
        <f t="shared" si="254"/>
        <v>0.74465408805031441</v>
      </c>
      <c r="AT68" s="3">
        <f t="shared" si="254"/>
        <v>0.74067164179104472</v>
      </c>
      <c r="AU68" s="3">
        <f t="shared" si="254"/>
        <v>0.61093847110006216</v>
      </c>
      <c r="AV68" s="3">
        <f t="shared" si="254"/>
        <v>0.83022388059701491</v>
      </c>
      <c r="AW68" s="3">
        <f t="shared" si="254"/>
        <v>0.61366459627329195</v>
      </c>
      <c r="AX68" s="3">
        <f t="shared" si="254"/>
        <v>-8.1402629931120844E-3</v>
      </c>
      <c r="AY68" s="3">
        <f t="shared" si="254"/>
        <v>0.81654228855721389</v>
      </c>
      <c r="AZ68" s="3">
        <f t="shared" si="254"/>
        <v>0.85915492957746475</v>
      </c>
      <c r="BA68" s="3">
        <f t="shared" si="254"/>
        <v>0.75240384615384615</v>
      </c>
      <c r="BB68" s="3">
        <f t="shared" si="254"/>
        <v>0.90182926829268295</v>
      </c>
      <c r="BC68" s="3">
        <f t="shared" ref="BC68:BD68" si="255">BC67/BC69</f>
        <v>1.0252307692307692</v>
      </c>
      <c r="BD68" s="3">
        <f t="shared" si="255"/>
        <v>1.0263480392156863</v>
      </c>
      <c r="BE68" s="3">
        <f t="shared" ref="BE68:BF68" si="256">BE67/BE69</f>
        <v>1.2134146341463414</v>
      </c>
      <c r="BF68" s="3">
        <f t="shared" si="256"/>
        <v>1.219725343320849</v>
      </c>
      <c r="BG68" s="3">
        <f t="shared" ref="BG68:BH68" si="257">BG67/BG69</f>
        <v>1.2932002495321273</v>
      </c>
      <c r="BH68" s="3">
        <f t="shared" si="257"/>
        <v>1.434375</v>
      </c>
      <c r="BI68" s="3">
        <f t="shared" ref="BI68" si="258">BI67/BI69</f>
        <v>1.4235807860262009</v>
      </c>
      <c r="BJ68" s="3">
        <f t="shared" ref="BJ68:BK68" si="259">BJ67/BJ69</f>
        <v>1.4937578027465668</v>
      </c>
      <c r="BK68" s="3">
        <f t="shared" si="259"/>
        <v>1.8847117794486214</v>
      </c>
      <c r="BL68" s="3">
        <f t="shared" ref="BL68:BM68" si="260">BL67/BL69</f>
        <v>1.9993638676844783</v>
      </c>
      <c r="BM68" s="3">
        <f t="shared" si="260"/>
        <v>2.1485148514851486</v>
      </c>
      <c r="BN68" s="3">
        <f t="shared" ref="BN68:BR68" si="261">BN67/BN69</f>
        <v>1.9067288474350432</v>
      </c>
      <c r="BO68" s="3">
        <f t="shared" si="261"/>
        <v>2.1564396493594065</v>
      </c>
      <c r="BP68" s="3">
        <f t="shared" si="261"/>
        <v>2.2749326145552562</v>
      </c>
      <c r="BQ68" s="3">
        <f t="shared" ref="BQ68" si="262">BQ67/BQ69</f>
        <v>2.3385030343897504</v>
      </c>
      <c r="BR68" s="3">
        <f t="shared" si="261"/>
        <v>2.2181818181818183</v>
      </c>
      <c r="BS68" s="3">
        <f t="shared" ref="BS68:BT68" si="263">BS67/BS69</f>
        <v>2.4346361185983829</v>
      </c>
      <c r="BT68" s="3">
        <f t="shared" si="263"/>
        <v>2.3642987249544625</v>
      </c>
      <c r="BU68" s="3">
        <f t="shared" ref="BU68:CA68" si="264">BU67/BU69</f>
        <v>3.5152198421645999</v>
      </c>
      <c r="BV68" s="3">
        <f t="shared" si="264"/>
        <v>3.6188063063063063</v>
      </c>
      <c r="BW68" s="3">
        <f t="shared" si="264"/>
        <v>2.9532394366197181</v>
      </c>
      <c r="BX68" s="3">
        <f t="shared" si="264"/>
        <v>3.1171171171171173</v>
      </c>
      <c r="BY68" s="3">
        <f t="shared" si="264"/>
        <v>3.3134496342149689</v>
      </c>
      <c r="BZ68" s="3">
        <f t="shared" si="264"/>
        <v>3.3278965129358831</v>
      </c>
      <c r="CA68" s="3">
        <f t="shared" si="264"/>
        <v>3.2699662542182226</v>
      </c>
      <c r="CB68" s="3">
        <f t="shared" ref="CB68:CD68" si="265">CB67/CB69</f>
        <v>3.6418918918918921</v>
      </c>
      <c r="CC68" s="3">
        <f t="shared" si="265"/>
        <v>3.7201576576576576</v>
      </c>
      <c r="CD68" s="3">
        <f t="shared" si="265"/>
        <v>3.5032826576576577</v>
      </c>
      <c r="CE68" s="3">
        <f t="shared" ref="CE68:CJ68" si="266">CE67/CE69</f>
        <v>2.7820945945945947</v>
      </c>
      <c r="CF68" s="3">
        <f t="shared" si="266"/>
        <v>3.1852060982495765</v>
      </c>
      <c r="CG68" s="3">
        <f t="shared" si="266"/>
        <v>3.0175042348955392</v>
      </c>
      <c r="CH68" s="3">
        <f t="shared" si="266"/>
        <v>3.3075620767494356</v>
      </c>
      <c r="CI68" s="3">
        <f t="shared" si="266"/>
        <v>2.4215575620767495</v>
      </c>
      <c r="CJ68" s="3">
        <f t="shared" si="266"/>
        <v>3.1884875846501131</v>
      </c>
      <c r="CK68" s="3">
        <f t="shared" ref="CK68:CL68" si="267">CK67/CK69</f>
        <v>3.0524830699774266</v>
      </c>
      <c r="CL68" s="3">
        <f t="shared" si="267"/>
        <v>3.0659898477157359</v>
      </c>
      <c r="CM68" s="3">
        <f t="shared" ref="CM68:CP68" si="268">CM67/CM69</f>
        <v>2.6101015801354404</v>
      </c>
      <c r="CN68" s="3">
        <f t="shared" si="268"/>
        <v>3.4323523984198658</v>
      </c>
      <c r="CO68" s="3">
        <f t="shared" si="268"/>
        <v>3.5616646726862302</v>
      </c>
      <c r="CP68" s="3">
        <f t="shared" si="268"/>
        <v>3.7678441591422107</v>
      </c>
      <c r="CQ68" s="3"/>
      <c r="CR68" s="3"/>
      <c r="CS68" s="3"/>
      <c r="CT68" s="3"/>
      <c r="CU68" s="3"/>
      <c r="CV68" s="3"/>
      <c r="CW68" s="3"/>
      <c r="CX68" s="3"/>
      <c r="CY68" s="3"/>
      <c r="CZ68" s="3">
        <f t="shared" ref="CZ68:DB68" si="269">+CZ67/CZ69</f>
        <v>7.9353169469598965</v>
      </c>
      <c r="DA68" s="3">
        <f t="shared" si="269"/>
        <v>8.9880370682392581</v>
      </c>
      <c r="DB68" s="3">
        <f t="shared" si="269"/>
        <v>12.076036521478821</v>
      </c>
      <c r="DC68" s="3">
        <f>+DC67/DC69</f>
        <v>12.712074303405572</v>
      </c>
      <c r="DD68" s="3">
        <f>+DD67/DD69</f>
        <v>14.135001407261468</v>
      </c>
      <c r="DE68" s="3">
        <f>+DE67/DE69</f>
        <v>12.291678420310296</v>
      </c>
      <c r="DF68" s="3">
        <f t="shared" ref="DF68:DL68" si="270">+DF67/DF69</f>
        <v>11.728593595711667</v>
      </c>
      <c r="DG68" s="3">
        <f t="shared" si="270"/>
        <v>18.367715107913675</v>
      </c>
      <c r="DH68" s="3">
        <f t="shared" si="270"/>
        <v>18.951165383693045</v>
      </c>
      <c r="DI68" s="3">
        <f t="shared" si="270"/>
        <v>19.841779988369307</v>
      </c>
      <c r="DJ68" s="3">
        <f t="shared" si="270"/>
        <v>20.005058579471228</v>
      </c>
      <c r="DK68" s="3">
        <f t="shared" si="270"/>
        <v>20.422735056194092</v>
      </c>
      <c r="DL68" s="3">
        <f t="shared" si="270"/>
        <v>18.035787460224363</v>
      </c>
    </row>
    <row r="69" spans="2:243" s="15" customFormat="1" x14ac:dyDescent="0.2">
      <c r="B69" s="15" t="s">
        <v>14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1605</v>
      </c>
      <c r="AR69" s="16">
        <v>1609</v>
      </c>
      <c r="AS69" s="16">
        <v>1590</v>
      </c>
      <c r="AT69" s="16">
        <v>1608</v>
      </c>
      <c r="AU69" s="16">
        <v>1609</v>
      </c>
      <c r="AV69" s="16">
        <v>1608</v>
      </c>
      <c r="AW69" s="16">
        <v>1610</v>
      </c>
      <c r="AX69" s="16">
        <v>1597</v>
      </c>
      <c r="AY69" s="16">
        <v>1608</v>
      </c>
      <c r="AZ69" s="16">
        <v>1633</v>
      </c>
      <c r="BA69" s="16">
        <v>1664</v>
      </c>
      <c r="BB69" s="16">
        <v>1640</v>
      </c>
      <c r="BC69" s="16">
        <v>1625</v>
      </c>
      <c r="BD69" s="16">
        <v>1632</v>
      </c>
      <c r="BE69" s="16">
        <v>1640</v>
      </c>
      <c r="BF69" s="16">
        <v>1602</v>
      </c>
      <c r="BG69" s="16">
        <v>1603</v>
      </c>
      <c r="BH69" s="16">
        <v>1600</v>
      </c>
      <c r="BI69" s="16">
        <v>1603</v>
      </c>
      <c r="BJ69" s="16">
        <v>1602</v>
      </c>
      <c r="BK69" s="16">
        <v>1596</v>
      </c>
      <c r="BL69" s="16">
        <v>1572</v>
      </c>
      <c r="BM69" s="16">
        <v>1515</v>
      </c>
      <c r="BN69" s="16">
        <v>1501</v>
      </c>
      <c r="BO69" s="16">
        <v>1483</v>
      </c>
      <c r="BP69" s="16">
        <v>1484</v>
      </c>
      <c r="BQ69" s="16">
        <v>1483</v>
      </c>
      <c r="BR69" s="16">
        <v>1485</v>
      </c>
      <c r="BS69" s="16">
        <v>1484</v>
      </c>
      <c r="BT69" s="16">
        <v>1647</v>
      </c>
      <c r="BU69" s="16">
        <v>1774</v>
      </c>
      <c r="BV69" s="16">
        <v>1776</v>
      </c>
      <c r="BW69" s="16">
        <v>1775</v>
      </c>
      <c r="BX69" s="16">
        <v>1776</v>
      </c>
      <c r="BY69" s="16">
        <v>1777</v>
      </c>
      <c r="BZ69" s="16">
        <v>1778</v>
      </c>
      <c r="CA69" s="16">
        <v>1778</v>
      </c>
      <c r="CB69" s="16">
        <v>1776</v>
      </c>
      <c r="CC69" s="16">
        <v>1776</v>
      </c>
      <c r="CD69" s="16">
        <f>+CC69</f>
        <v>1776</v>
      </c>
      <c r="CE69" s="16">
        <v>1776</v>
      </c>
      <c r="CF69" s="16">
        <v>1771</v>
      </c>
      <c r="CG69" s="16">
        <v>1771</v>
      </c>
      <c r="CH69" s="16">
        <v>1772</v>
      </c>
      <c r="CI69" s="16">
        <v>1772</v>
      </c>
      <c r="CJ69" s="49">
        <f>+CI69</f>
        <v>1772</v>
      </c>
      <c r="CK69" s="16">
        <v>1772</v>
      </c>
      <c r="CL69" s="16">
        <v>1773</v>
      </c>
      <c r="CM69" s="16">
        <v>1772</v>
      </c>
      <c r="CN69" s="16">
        <f t="shared" ref="CN69" si="271">+CM69</f>
        <v>1772</v>
      </c>
      <c r="CO69" s="16">
        <f t="shared" ref="CO69" si="272">+CN69</f>
        <v>1772</v>
      </c>
      <c r="CP69" s="16">
        <f t="shared" ref="CP69" si="273">+CO69</f>
        <v>1772</v>
      </c>
      <c r="CQ69" s="16"/>
      <c r="CR69" s="16"/>
      <c r="CS69" s="16"/>
      <c r="CT69" s="16"/>
      <c r="CU69" s="16"/>
      <c r="CV69" s="16"/>
      <c r="CW69" s="16"/>
      <c r="CX69" s="16"/>
      <c r="CY69" s="16"/>
      <c r="CZ69" s="16">
        <f>AVERAGE(BK69:BN69)</f>
        <v>1546</v>
      </c>
      <c r="DA69" s="16">
        <f>AVERAGE(BO69:BR69)</f>
        <v>1483.75</v>
      </c>
      <c r="DB69" s="16">
        <f>AVERAGE(BS69:BV69)</f>
        <v>1670.25</v>
      </c>
      <c r="DC69" s="16">
        <f>AVERAGE(BW69:BZ69)</f>
        <v>1776.5</v>
      </c>
      <c r="DD69" s="16">
        <f>AVERAGE(CA69:CD69)</f>
        <v>1776.5</v>
      </c>
      <c r="DE69" s="16">
        <f>AVERAGE(CE69:CH69)</f>
        <v>1772.5</v>
      </c>
      <c r="DF69" s="16">
        <f>AVERAGE(CI69:CL69)</f>
        <v>1772.25</v>
      </c>
      <c r="DG69" s="16">
        <f t="shared" ref="DG69:DL69" si="274">DF69</f>
        <v>1772.25</v>
      </c>
      <c r="DH69" s="16">
        <f t="shared" si="274"/>
        <v>1772.25</v>
      </c>
      <c r="DI69" s="16">
        <f t="shared" si="274"/>
        <v>1772.25</v>
      </c>
      <c r="DJ69" s="16">
        <f t="shared" si="274"/>
        <v>1772.25</v>
      </c>
      <c r="DK69" s="16">
        <f t="shared" si="274"/>
        <v>1772.25</v>
      </c>
      <c r="DL69" s="16">
        <f t="shared" si="274"/>
        <v>1772.25</v>
      </c>
    </row>
    <row r="71" spans="2:243" s="32" customFormat="1" x14ac:dyDescent="0.2">
      <c r="B71" s="32" t="s">
        <v>156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>
        <f t="shared" ref="BG71:BU71" si="275">+BG57/BC57-1</f>
        <v>9.7348103390399565E-2</v>
      </c>
      <c r="BH71" s="33">
        <f t="shared" si="275"/>
        <v>7.9601990049751326E-2</v>
      </c>
      <c r="BI71" s="33">
        <f t="shared" si="275"/>
        <v>9.536486063263383E-2</v>
      </c>
      <c r="BJ71" s="33">
        <f t="shared" si="275"/>
        <v>0.14077240566037741</v>
      </c>
      <c r="BK71" s="33">
        <f t="shared" si="275"/>
        <v>0.21352095442031205</v>
      </c>
      <c r="BL71" s="33">
        <f t="shared" si="275"/>
        <v>0.18922811059907829</v>
      </c>
      <c r="BM71" s="33">
        <f t="shared" si="275"/>
        <v>0.1774124374553252</v>
      </c>
      <c r="BN71" s="33">
        <f t="shared" si="275"/>
        <v>7.3136064090967734E-2</v>
      </c>
      <c r="BO71" s="33">
        <f t="shared" si="275"/>
        <v>-1.3360221830098329E-2</v>
      </c>
      <c r="BP71" s="33">
        <f t="shared" si="275"/>
        <v>-3.6328408815688995E-4</v>
      </c>
      <c r="BQ71" s="33">
        <f t="shared" si="275"/>
        <v>2.9504613890237952E-2</v>
      </c>
      <c r="BR71" s="33">
        <f t="shared" si="275"/>
        <v>4.8043347381095725E-2</v>
      </c>
      <c r="BS71" s="33">
        <f t="shared" si="275"/>
        <v>0.10104752171691356</v>
      </c>
      <c r="BT71" s="33">
        <f t="shared" si="275"/>
        <v>0.26287098728043601</v>
      </c>
      <c r="BU71" s="33">
        <f t="shared" si="275"/>
        <v>0.51928293430829098</v>
      </c>
      <c r="BV71" s="33">
        <f t="shared" ref="BV71:BZ71" si="276">+BV57/BR57-1</f>
        <v>0.59214154411764697</v>
      </c>
      <c r="BW71" s="33">
        <f t="shared" si="276"/>
        <v>0.50075414781297134</v>
      </c>
      <c r="BX71" s="33">
        <f t="shared" si="276"/>
        <v>0.3389928057553957</v>
      </c>
      <c r="BY71" s="33">
        <f t="shared" si="276"/>
        <v>0.11333643844123586</v>
      </c>
      <c r="BZ71" s="33">
        <f t="shared" si="276"/>
        <v>7.4180978496175554E-2</v>
      </c>
      <c r="CA71" s="33">
        <f>+CA57/BW57-1</f>
        <v>4.6617703904135999E-2</v>
      </c>
      <c r="CB71" s="33">
        <f t="shared" ref="CB71" si="277">+CB57/BX57-1</f>
        <v>4.4702342574683085E-2</v>
      </c>
      <c r="CC71" s="33">
        <f>+CC57/BY57-1</f>
        <v>3.2770882722074957E-2</v>
      </c>
      <c r="CD71" s="33">
        <f t="shared" ref="CD71" si="278">+CD57/BZ57-1</f>
        <v>1.5786645169958424E-2</v>
      </c>
      <c r="CE71" s="33">
        <f t="shared" ref="CE71" si="279">+CE57/CA57-1</f>
        <v>-9.6986260895257748E-2</v>
      </c>
      <c r="CF71" s="33">
        <f t="shared" ref="CF71" si="280">+CF57/CB57-1</f>
        <v>-4.9235411095110759E-2</v>
      </c>
      <c r="CG71" s="33">
        <f t="shared" ref="CG71" si="281">+CG57/CC57-1</f>
        <v>-5.9748852281933607E-2</v>
      </c>
      <c r="CH71" s="33">
        <f t="shared" ref="CH71:CL71" si="282">+CH57/CD57-1</f>
        <v>-5.4229217644335637E-2</v>
      </c>
      <c r="CI71" s="33">
        <f t="shared" si="282"/>
        <v>6.952965235173858E-3</v>
      </c>
      <c r="CJ71" s="33">
        <f t="shared" si="282"/>
        <v>4.3058059862964404E-2</v>
      </c>
      <c r="CK71" s="33">
        <f t="shared" si="282"/>
        <v>3.8270984418754983E-2</v>
      </c>
      <c r="CL71" s="33">
        <f t="shared" si="282"/>
        <v>5.6010069225928216E-2</v>
      </c>
      <c r="CM71" s="33">
        <f t="shared" ref="CM71" si="283">+CM57/CI57-1</f>
        <v>8.3923639317627918E-2</v>
      </c>
      <c r="CN71" s="33">
        <f t="shared" ref="CN71" si="284">+CN57/CJ57-1</f>
        <v>4.0985340893376021E-2</v>
      </c>
      <c r="CO71" s="33">
        <f t="shared" ref="CO71" si="285">+CO57/CK57-1</f>
        <v>7.4572614107883739E-2</v>
      </c>
      <c r="CP71" s="33">
        <f t="shared" ref="CP71" si="286">+CP57/CL57-1</f>
        <v>9.7569196132962333E-2</v>
      </c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>
        <f>+DA57/CZ57-1</f>
        <v>1.6283261540341654E-2</v>
      </c>
      <c r="DB71" s="33">
        <f>+DB57/DA57-1</f>
        <v>0.37630012625503517</v>
      </c>
      <c r="DC71" s="33">
        <f>+DC57/DB57-1</f>
        <v>0.22579940590599334</v>
      </c>
      <c r="DD71" s="33">
        <f>+DD57/DC57-1</f>
        <v>3.4425002672748617E-2</v>
      </c>
      <c r="DE71" s="33">
        <f t="shared" ref="DE71:DQ71" si="287">+DE57/DD57-1</f>
        <v>-6.4353877424466854E-2</v>
      </c>
      <c r="DF71" s="33">
        <f t="shared" si="287"/>
        <v>3.7114768584999513E-2</v>
      </c>
      <c r="DG71" s="33">
        <f t="shared" si="287"/>
        <v>7.8858948414811891E-2</v>
      </c>
      <c r="DH71" s="33">
        <f t="shared" si="287"/>
        <v>2.3199623077626352E-2</v>
      </c>
      <c r="DI71" s="33">
        <f t="shared" si="287"/>
        <v>3.8517714165954953E-2</v>
      </c>
      <c r="DJ71" s="33">
        <f t="shared" si="287"/>
        <v>9.6326064271679002E-4</v>
      </c>
      <c r="DK71" s="33">
        <f t="shared" si="287"/>
        <v>1.3585797055039484E-2</v>
      </c>
      <c r="DL71" s="33">
        <f t="shared" si="287"/>
        <v>-0.12389903160012095</v>
      </c>
      <c r="DM71" s="33">
        <f t="shared" si="287"/>
        <v>-0.19845230510513667</v>
      </c>
      <c r="DN71" s="33">
        <f t="shared" si="287"/>
        <v>-2.1656785257214706E-3</v>
      </c>
      <c r="DO71" s="33">
        <f t="shared" si="287"/>
        <v>2.5903761011139448E-2</v>
      </c>
      <c r="DP71" s="33">
        <f t="shared" si="287"/>
        <v>2.8577660956956796E-2</v>
      </c>
      <c r="DQ71" s="33">
        <f t="shared" si="287"/>
        <v>2.461655299752108E-2</v>
      </c>
    </row>
    <row r="72" spans="2:243" s="32" customFormat="1" x14ac:dyDescent="0.2">
      <c r="B72" s="32" t="s">
        <v>250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>
        <v>0.17599999999999999</v>
      </c>
      <c r="BL72" s="33">
        <v>0.17100000000000001</v>
      </c>
      <c r="BM72" s="33">
        <v>0.185</v>
      </c>
      <c r="BN72" s="33">
        <v>8.3000000000000004E-2</v>
      </c>
      <c r="BO72" s="33">
        <v>4.0000000000000001E-3</v>
      </c>
      <c r="BP72" s="33">
        <v>1.4999999999999999E-2</v>
      </c>
      <c r="BQ72" s="33"/>
      <c r="BR72" s="33"/>
      <c r="BS72" s="33"/>
      <c r="BT72" s="33"/>
      <c r="BU72" s="33"/>
      <c r="BV72" s="33"/>
      <c r="BW72" s="33"/>
      <c r="BX72" s="33"/>
      <c r="BY72" s="33"/>
      <c r="BZ72" s="33">
        <v>7.3999999999999996E-2</v>
      </c>
      <c r="CA72" s="33">
        <v>5.3999999999999999E-2</v>
      </c>
      <c r="CB72" s="33">
        <v>6.0999999999999999E-2</v>
      </c>
      <c r="CC72" s="33">
        <v>5.3999999999999999E-2</v>
      </c>
      <c r="CD72" s="33">
        <v>3.7999999999999999E-2</v>
      </c>
      <c r="CE72" s="33">
        <v>-8.3000000000000004E-2</v>
      </c>
      <c r="CF72" s="33"/>
      <c r="CG72" s="33">
        <v>-5.8000000000000003E-2</v>
      </c>
      <c r="CH72" s="33">
        <v>-5.3999999999999999E-2</v>
      </c>
      <c r="CI72" s="33">
        <v>1.6E-2</v>
      </c>
      <c r="CJ72" s="33">
        <v>5.6000000000000001E-2</v>
      </c>
      <c r="CK72" s="33">
        <v>4.9000000000000002E-2</v>
      </c>
      <c r="CL72" s="33">
        <v>0.06</v>
      </c>
      <c r="CM72" s="33">
        <v>9.8000000000000004E-2</v>
      </c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</row>
    <row r="73" spans="2:243" s="29" customFormat="1" x14ac:dyDescent="0.2">
      <c r="B73" s="31" t="s">
        <v>155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288">+BK5/BG5-1</f>
        <v>0.14351627003399714</v>
      </c>
      <c r="BL73" s="30">
        <f t="shared" si="288"/>
        <v>9.9448685326547936E-2</v>
      </c>
      <c r="BM73" s="30">
        <f t="shared" si="288"/>
        <v>8.9980855137204774E-2</v>
      </c>
      <c r="BN73" s="30">
        <f t="shared" si="288"/>
        <v>5.3147996729354663E-3</v>
      </c>
      <c r="BO73" s="30">
        <f t="shared" si="288"/>
        <v>-5.5850499044383106E-2</v>
      </c>
      <c r="BP73" s="30">
        <f t="shared" si="288"/>
        <v>-6.0752169720347138E-2</v>
      </c>
      <c r="BQ73" s="30">
        <f t="shared" si="288"/>
        <v>-3.669008587041378E-2</v>
      </c>
      <c r="BR73" s="30">
        <f t="shared" si="288"/>
        <v>-2.0333468889788264E-4</v>
      </c>
      <c r="BS73" s="30">
        <f t="shared" si="288"/>
        <v>5.7804768331084055E-2</v>
      </c>
      <c r="BT73" s="30">
        <f t="shared" si="288"/>
        <v>-6.7761806981520012E-3</v>
      </c>
      <c r="BU73" s="30">
        <f t="shared" si="288"/>
        <v>4.1329011345218714E-2</v>
      </c>
      <c r="BV73" s="30">
        <f t="shared" si="288"/>
        <v>4.7793369941020902E-2</v>
      </c>
      <c r="BW73" s="30">
        <f t="shared" si="288"/>
        <v>3.4871358707208255E-2</v>
      </c>
      <c r="BX73" s="30">
        <f t="shared" si="288"/>
        <v>4.7756874095513657E-2</v>
      </c>
      <c r="BY73" s="30">
        <f t="shared" si="288"/>
        <v>5.5447470817120648E-2</v>
      </c>
      <c r="BZ73" s="30">
        <f t="shared" si="288"/>
        <v>3.5326086956521729E-2</v>
      </c>
      <c r="CA73" s="30">
        <f t="shared" si="288"/>
        <v>-2.6915964659954827E-2</v>
      </c>
      <c r="CB73" s="30">
        <f t="shared" si="288"/>
        <v>5.8208366219415941E-2</v>
      </c>
      <c r="CC73" s="30">
        <f t="shared" si="288"/>
        <v>2.4700460829493176E-2</v>
      </c>
      <c r="CD73" s="30">
        <f t="shared" si="288"/>
        <v>4.5931758530183719E-2</v>
      </c>
      <c r="CE73" s="30">
        <f t="shared" si="288"/>
        <v>-0.25232263513513509</v>
      </c>
      <c r="CF73" s="30">
        <f t="shared" si="288"/>
        <v>-0.25191124370688045</v>
      </c>
      <c r="CG73" s="30">
        <f t="shared" si="288"/>
        <v>-0.36193559992804458</v>
      </c>
      <c r="CH73" s="30">
        <f t="shared" si="288"/>
        <v>-0.40777917189460477</v>
      </c>
      <c r="CI73" s="30">
        <f t="shared" si="288"/>
        <v>-0.35893815306410615</v>
      </c>
      <c r="CJ73" s="30">
        <f t="shared" si="288"/>
        <v>-0.29860418743768691</v>
      </c>
      <c r="CK73" s="30">
        <f t="shared" si="288"/>
        <v>-0.37214547504933748</v>
      </c>
      <c r="CL73" s="30">
        <f t="shared" si="288"/>
        <v>-0.4909200968523002</v>
      </c>
      <c r="CM73" s="30">
        <f t="shared" ref="CM73:CP73" si="289">+CM5/CI5-1</f>
        <v>-0.50616740088105727</v>
      </c>
      <c r="CN73" s="30">
        <f t="shared" si="289"/>
        <v>-0.4</v>
      </c>
      <c r="CO73" s="30">
        <f t="shared" si="289"/>
        <v>-0.4</v>
      </c>
      <c r="CP73" s="30">
        <f t="shared" si="289"/>
        <v>-0.4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290">+DA5/CZ5-1</f>
        <v>-3.8473113964687E-2</v>
      </c>
      <c r="DB73" s="30">
        <f t="shared" si="290"/>
        <v>3.4587093745109376E-2</v>
      </c>
      <c r="DC73" s="30">
        <f t="shared" si="290"/>
        <v>4.3465106897942807E-2</v>
      </c>
      <c r="DD73" s="30">
        <f t="shared" si="290"/>
        <v>2.623948970716139E-2</v>
      </c>
      <c r="DE73" s="30">
        <f t="shared" si="290"/>
        <v>-0.32174977633375712</v>
      </c>
      <c r="DF73" s="30">
        <f t="shared" si="290"/>
        <v>-0.37565953901693971</v>
      </c>
      <c r="DG73" s="30">
        <f t="shared" si="290"/>
        <v>-0.42679862114978329</v>
      </c>
      <c r="DH73" s="30">
        <f t="shared" si="290"/>
        <v>-0.20000000000000007</v>
      </c>
      <c r="DI73" s="30">
        <f t="shared" si="290"/>
        <v>-0.19999999999999996</v>
      </c>
      <c r="DJ73" s="30">
        <f t="shared" si="290"/>
        <v>-0.5</v>
      </c>
      <c r="DK73" s="30">
        <f t="shared" si="290"/>
        <v>-0.5</v>
      </c>
      <c r="DL73" s="30">
        <f t="shared" si="290"/>
        <v>-0.5</v>
      </c>
    </row>
    <row r="74" spans="2:243" s="29" customFormat="1" x14ac:dyDescent="0.2">
      <c r="B74" s="31" t="s">
        <v>157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>
        <f t="shared" ref="BK74:CL74" si="291">+BK7/BG7-1</f>
        <v>0.38294010889292207</v>
      </c>
      <c r="BL74" s="30">
        <f t="shared" si="291"/>
        <v>0.35782747603833864</v>
      </c>
      <c r="BM74" s="30">
        <f t="shared" si="291"/>
        <v>0.41279069767441867</v>
      </c>
      <c r="BN74" s="30">
        <f t="shared" si="291"/>
        <v>0.42090395480225995</v>
      </c>
      <c r="BO74" s="30">
        <f t="shared" si="291"/>
        <v>0.34120734908136474</v>
      </c>
      <c r="BP74" s="30">
        <f t="shared" si="291"/>
        <v>0.29294117647058826</v>
      </c>
      <c r="BQ74" s="30">
        <f t="shared" si="291"/>
        <v>0.29320987654320985</v>
      </c>
      <c r="BR74" s="30">
        <f t="shared" si="291"/>
        <v>0.28827037773359843</v>
      </c>
      <c r="BS74" s="30">
        <f t="shared" si="291"/>
        <v>0.20547945205479445</v>
      </c>
      <c r="BT74" s="30">
        <f t="shared" si="291"/>
        <v>0.17197452229299359</v>
      </c>
      <c r="BU74" s="30">
        <f t="shared" si="291"/>
        <v>8.9896579156722334E-2</v>
      </c>
      <c r="BV74" s="30">
        <f t="shared" si="291"/>
        <v>9.8765432098765427E-2</v>
      </c>
      <c r="BW74" s="30">
        <f t="shared" si="291"/>
        <v>2.9220779220779258E-2</v>
      </c>
      <c r="BX74" s="30">
        <f t="shared" si="291"/>
        <v>7.2204968944099335E-2</v>
      </c>
      <c r="BY74" s="30">
        <f t="shared" si="291"/>
        <v>2.9197080291971655E-3</v>
      </c>
      <c r="BZ74" s="30">
        <f t="shared" si="291"/>
        <v>-2.73876404494382E-2</v>
      </c>
      <c r="CA74" s="30">
        <f t="shared" si="291"/>
        <v>-7.4921135646687675E-2</v>
      </c>
      <c r="CB74" s="30">
        <f t="shared" si="291"/>
        <v>-0.17089065894279509</v>
      </c>
      <c r="CC74" s="30">
        <f t="shared" si="291"/>
        <v>-0.17394468704512378</v>
      </c>
      <c r="CD74" s="30">
        <f t="shared" si="291"/>
        <v>-0.19494584837545126</v>
      </c>
      <c r="CE74" s="30">
        <f t="shared" si="291"/>
        <v>-0.25149190110826936</v>
      </c>
      <c r="CF74" s="30">
        <f t="shared" si="291"/>
        <v>-0.20786026200873364</v>
      </c>
      <c r="CG74" s="30">
        <f t="shared" si="291"/>
        <v>-0.19999999999999996</v>
      </c>
      <c r="CH74" s="30">
        <f t="shared" si="291"/>
        <v>-0.19013452914798201</v>
      </c>
      <c r="CI74" s="30">
        <f t="shared" si="291"/>
        <v>-4.5558086560364419E-2</v>
      </c>
      <c r="CJ74" s="30">
        <f t="shared" si="291"/>
        <v>-8.158765159867698E-2</v>
      </c>
      <c r="CK74" s="30">
        <f t="shared" si="291"/>
        <v>-8.8105726872246715E-2</v>
      </c>
      <c r="CL74" s="30">
        <f t="shared" si="291"/>
        <v>-6.0908084163898146E-2</v>
      </c>
      <c r="CM74" s="30">
        <f t="shared" ref="CM74:CP74" si="292">+CM7/CI7-1</f>
        <v>-5.0000000000000155E-2</v>
      </c>
      <c r="CN74" s="30">
        <f t="shared" si="292"/>
        <v>-5.0000000000000155E-2</v>
      </c>
      <c r="CO74" s="30">
        <f t="shared" si="292"/>
        <v>-5.0000000000000155E-2</v>
      </c>
      <c r="CP74" s="30">
        <f t="shared" si="292"/>
        <v>-5.0000000000000155E-2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>
        <f t="shared" ref="DA74:DL74" si="293">+DA7/CZ7-1</f>
        <v>0.30194986072423391</v>
      </c>
      <c r="DB74" s="30">
        <f t="shared" si="293"/>
        <v>0.13692768506632436</v>
      </c>
      <c r="DC74" s="30">
        <f t="shared" si="293"/>
        <v>1.7689123071132906E-2</v>
      </c>
      <c r="DD74" s="30">
        <f t="shared" si="293"/>
        <v>-0.15532544378698221</v>
      </c>
      <c r="DE74" s="30">
        <f t="shared" si="293"/>
        <v>-0.21278458844133097</v>
      </c>
      <c r="DF74" s="30">
        <f t="shared" si="293"/>
        <v>-6.9243604004449399E-2</v>
      </c>
      <c r="DG74" s="30">
        <f t="shared" si="293"/>
        <v>-5.0000000000000155E-2</v>
      </c>
      <c r="DH74" s="30">
        <f t="shared" si="293"/>
        <v>-9.9999999999999867E-2</v>
      </c>
      <c r="DI74" s="30">
        <f t="shared" si="293"/>
        <v>-9.9999999999999867E-2</v>
      </c>
      <c r="DJ74" s="30">
        <f t="shared" si="293"/>
        <v>-9.9999999999999978E-2</v>
      </c>
      <c r="DK74" s="30">
        <f t="shared" si="293"/>
        <v>-9.9999999999999867E-2</v>
      </c>
      <c r="DL74" s="30">
        <f t="shared" si="293"/>
        <v>-9.9999999999999978E-2</v>
      </c>
      <c r="DS74" s="48" t="s">
        <v>242</v>
      </c>
      <c r="DT74" s="29">
        <v>0.06</v>
      </c>
    </row>
    <row r="75" spans="2:243" s="29" customFormat="1" x14ac:dyDescent="0.2">
      <c r="B75" s="31" t="s">
        <v>154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69" t="s">
        <v>202</v>
      </c>
      <c r="BG75" s="69" t="s">
        <v>202</v>
      </c>
      <c r="BH75" s="69" t="s">
        <v>202</v>
      </c>
      <c r="BI75" s="69" t="s">
        <v>202</v>
      </c>
      <c r="BJ75" s="69" t="s">
        <v>202</v>
      </c>
      <c r="BK75" s="69" t="s">
        <v>202</v>
      </c>
      <c r="BL75" s="69" t="s">
        <v>202</v>
      </c>
      <c r="BM75" s="69" t="s">
        <v>202</v>
      </c>
      <c r="BN75" s="69" t="s">
        <v>202</v>
      </c>
      <c r="BO75" s="69" t="s">
        <v>202</v>
      </c>
      <c r="BP75" s="69" t="s">
        <v>202</v>
      </c>
      <c r="BQ75" s="69" t="s">
        <v>202</v>
      </c>
      <c r="BR75" s="69" t="s">
        <v>202</v>
      </c>
      <c r="BS75" s="69" t="s">
        <v>202</v>
      </c>
      <c r="BT75" s="30">
        <f t="shared" ref="BT75:CL75" si="294">+BT8/BP8-1</f>
        <v>5.875</v>
      </c>
      <c r="BU75" s="30">
        <f t="shared" si="294"/>
        <v>3.7802197802197801</v>
      </c>
      <c r="BV75" s="30">
        <f t="shared" si="294"/>
        <v>1.4305555555555554</v>
      </c>
      <c r="BW75" s="30">
        <f t="shared" si="294"/>
        <v>0.91333333333333333</v>
      </c>
      <c r="BX75" s="30">
        <f t="shared" si="294"/>
        <v>1.0424242424242425</v>
      </c>
      <c r="BY75" s="30">
        <f t="shared" si="294"/>
        <v>0.8298850574712644</v>
      </c>
      <c r="BZ75" s="30">
        <f t="shared" si="294"/>
        <v>0.7047619047619047</v>
      </c>
      <c r="CA75" s="30">
        <f t="shared" si="294"/>
        <v>0.63763066202090601</v>
      </c>
      <c r="CB75" s="30">
        <f t="shared" si="294"/>
        <v>0.85756676557863498</v>
      </c>
      <c r="CC75" s="30">
        <f t="shared" si="294"/>
        <v>0.75502512562814061</v>
      </c>
      <c r="CD75" s="30">
        <f t="shared" si="294"/>
        <v>0.76089385474860327</v>
      </c>
      <c r="CE75" s="30">
        <f t="shared" si="294"/>
        <v>0.44680851063829796</v>
      </c>
      <c r="CF75" s="30">
        <f t="shared" si="294"/>
        <v>0.5039936102236422</v>
      </c>
      <c r="CG75" s="30">
        <f t="shared" si="294"/>
        <v>0.52183249821045097</v>
      </c>
      <c r="CH75" s="30">
        <f t="shared" si="294"/>
        <v>0.51903553299492389</v>
      </c>
      <c r="CI75" s="30">
        <f t="shared" si="294"/>
        <v>0.4764705882352942</v>
      </c>
      <c r="CJ75" s="30">
        <f t="shared" si="294"/>
        <v>0.44822092405735536</v>
      </c>
      <c r="CK75" s="30">
        <f t="shared" si="294"/>
        <v>0.50752587017873951</v>
      </c>
      <c r="CL75" s="30">
        <f t="shared" si="294"/>
        <v>0.57811194653299913</v>
      </c>
      <c r="CM75" s="30">
        <f t="shared" ref="CM75:CP75" si="295">+CM8/CI8-1</f>
        <v>0.70567729083665331</v>
      </c>
      <c r="CN75" s="30">
        <f t="shared" si="295"/>
        <v>0.35000000000000009</v>
      </c>
      <c r="CO75" s="30">
        <f t="shared" si="295"/>
        <v>0.35000000000000009</v>
      </c>
      <c r="CP75" s="30">
        <f t="shared" si="295"/>
        <v>0.35000000000000009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69" t="s">
        <v>202</v>
      </c>
      <c r="DB75" s="30">
        <f t="shared" ref="DB75:DL75" si="296">+DB8/DA8-1</f>
        <v>3.47887323943662</v>
      </c>
      <c r="DC75" s="30">
        <f t="shared" si="296"/>
        <v>0.84842767295597477</v>
      </c>
      <c r="DD75" s="30">
        <f t="shared" si="296"/>
        <v>0.75740047635250085</v>
      </c>
      <c r="DE75" s="30">
        <f t="shared" si="296"/>
        <v>0.50300096805421113</v>
      </c>
      <c r="DF75" s="30">
        <f t="shared" si="296"/>
        <v>0.50946798917944092</v>
      </c>
      <c r="DG75" s="30">
        <f t="shared" si="296"/>
        <v>0.4109489674005804</v>
      </c>
      <c r="DH75" s="30">
        <f t="shared" si="296"/>
        <v>3.0000000000000027E-2</v>
      </c>
      <c r="DI75" s="30">
        <f t="shared" si="296"/>
        <v>3.0000000000000027E-2</v>
      </c>
      <c r="DJ75" s="30">
        <f t="shared" si="296"/>
        <v>3.0000000000000027E-2</v>
      </c>
      <c r="DK75" s="30">
        <f t="shared" si="296"/>
        <v>3.0000000000000027E-2</v>
      </c>
      <c r="DL75" s="30">
        <f t="shared" si="296"/>
        <v>3.0000000000000027E-2</v>
      </c>
      <c r="DS75" s="45" t="s">
        <v>243</v>
      </c>
      <c r="DT75" s="29">
        <v>-0.01</v>
      </c>
    </row>
    <row r="76" spans="2:243" s="29" customFormat="1" x14ac:dyDescent="0.2">
      <c r="B76" s="70" t="s">
        <v>315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>
        <f t="shared" ref="BO76:CL76" si="297">+BO3/BK3-1</f>
        <v>-5.5850499044383106E-2</v>
      </c>
      <c r="BP76" s="30">
        <f t="shared" si="297"/>
        <v>-5.1494696239151372E-2</v>
      </c>
      <c r="BQ76" s="30">
        <f t="shared" si="297"/>
        <v>-1.6198282591725177E-2</v>
      </c>
      <c r="BR76" s="30">
        <f t="shared" si="297"/>
        <v>5.0427002846685554E-2</v>
      </c>
      <c r="BS76" s="30">
        <f t="shared" si="297"/>
        <v>0.14462438146648671</v>
      </c>
      <c r="BT76" s="30">
        <f t="shared" si="297"/>
        <v>8.0927206181374611E-2</v>
      </c>
      <c r="BU76" s="30">
        <f t="shared" si="297"/>
        <v>0.14858163062884344</v>
      </c>
      <c r="BV76" s="30">
        <f t="shared" si="297"/>
        <v>0.1533101045296168</v>
      </c>
      <c r="BW76" s="30">
        <f t="shared" si="297"/>
        <v>0.1287089801532717</v>
      </c>
      <c r="BX76" s="30">
        <f t="shared" si="297"/>
        <v>0.15124153498871329</v>
      </c>
      <c r="BY76" s="30">
        <f t="shared" si="297"/>
        <v>0.15267702936096716</v>
      </c>
      <c r="BZ76" s="30">
        <f t="shared" si="297"/>
        <v>0.13225914736488753</v>
      </c>
      <c r="CA76" s="30">
        <f t="shared" si="297"/>
        <v>6.9115598885793883E-2</v>
      </c>
      <c r="CB76" s="30">
        <f t="shared" si="297"/>
        <v>0.17761437908496736</v>
      </c>
      <c r="CC76" s="30">
        <f t="shared" si="297"/>
        <v>0.14638897213065638</v>
      </c>
      <c r="CD76" s="30">
        <f t="shared" si="297"/>
        <v>0.17477023421286697</v>
      </c>
      <c r="CE76" s="30">
        <f t="shared" si="297"/>
        <v>-9.0213320306139044E-2</v>
      </c>
      <c r="CF76" s="30">
        <f t="shared" si="297"/>
        <v>-5.4669071735812369E-2</v>
      </c>
      <c r="CG76" s="30">
        <f t="shared" si="297"/>
        <v>-0.11344922232387922</v>
      </c>
      <c r="CH76" s="30">
        <f t="shared" si="297"/>
        <v>-0.12264984227129339</v>
      </c>
      <c r="CI76" s="30">
        <f t="shared" si="297"/>
        <v>-3.8661177734025443E-2</v>
      </c>
      <c r="CJ76" s="30">
        <f t="shared" si="297"/>
        <v>2.3190958461764222E-2</v>
      </c>
      <c r="CK76" s="30">
        <f t="shared" si="297"/>
        <v>3.8773404098481512E-2</v>
      </c>
      <c r="CL76" s="30">
        <f t="shared" si="297"/>
        <v>4.9043578311520175E-2</v>
      </c>
      <c r="CM76" s="30">
        <f t="shared" ref="CM76:CP76" si="298">+CM3/CI3-1</f>
        <v>0.16626326568609207</v>
      </c>
      <c r="CN76" s="30">
        <f t="shared" si="298"/>
        <v>3.6988954238990068E-2</v>
      </c>
      <c r="CO76" s="30">
        <f t="shared" si="298"/>
        <v>0.10149730343457275</v>
      </c>
      <c r="CP76" s="30">
        <f t="shared" si="298"/>
        <v>0.16447765286536886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>
        <f>+Model!DA3/Model!CZ3-1</f>
        <v>-1.8308587479935801E-2</v>
      </c>
      <c r="DB76" s="30">
        <f>+Model!DB3/Model!DA3-1</f>
        <v>0.13192989627510099</v>
      </c>
      <c r="DC76" s="30">
        <f>+Model!DC3/Model!DB3-1</f>
        <v>0.14133525933282165</v>
      </c>
      <c r="DD76" s="30">
        <f>+Model!DD3/Model!DC3-1</f>
        <v>0.14396456256921364</v>
      </c>
      <c r="DE76" s="30">
        <f>+Model!DE3/Model!DD3-1</f>
        <v>-9.639054072742359E-2</v>
      </c>
      <c r="DF76" s="30">
        <f>+Model!DF3/Model!DE3-1</f>
        <v>2.0890725436180091E-2</v>
      </c>
      <c r="DG76" s="30">
        <f>+Model!DG3/Model!DF3-1</f>
        <v>0.11489768383179677</v>
      </c>
      <c r="DH76" s="30">
        <f>+Model!DH3/Model!DG3-1</f>
        <v>3.6201958470738926E-2</v>
      </c>
      <c r="DI76" s="30">
        <f>+Model!DI3/Model!DH3-1</f>
        <v>5.256748946661971E-2</v>
      </c>
      <c r="DJ76" s="30">
        <f>+Model!DJ3/Model!DI3-1</f>
        <v>-2.3891455068552614E-2</v>
      </c>
      <c r="DK76" s="30">
        <f>+Model!DK3/Model!DJ3-1</f>
        <v>2.3947427013164546E-3</v>
      </c>
      <c r="DL76" s="30">
        <f>+Model!DL3/Model!DK3-1</f>
        <v>1.6230346128765838E-2</v>
      </c>
      <c r="DS76" s="51" t="s">
        <v>245</v>
      </c>
      <c r="DT76" s="33">
        <v>0</v>
      </c>
    </row>
    <row r="77" spans="2:243" s="29" customFormat="1" x14ac:dyDescent="0.2">
      <c r="B77" s="43" t="s">
        <v>118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 t="shared" ref="BX77:CL78" si="299">BX9/BT9-1</f>
        <v>1.584070796460177</v>
      </c>
      <c r="BY77" s="30">
        <f t="shared" si="299"/>
        <v>0.38676844783715003</v>
      </c>
      <c r="BZ77" s="30">
        <f t="shared" si="299"/>
        <v>0.26977687626774838</v>
      </c>
      <c r="CA77" s="30">
        <f t="shared" si="299"/>
        <v>0.34381551362683438</v>
      </c>
      <c r="CB77" s="30">
        <f t="shared" si="299"/>
        <v>0.19006849315068486</v>
      </c>
      <c r="CC77" s="30">
        <f t="shared" si="299"/>
        <v>0.16880733944954129</v>
      </c>
      <c r="CD77" s="30">
        <f t="shared" si="299"/>
        <v>2.5559105431310014E-2</v>
      </c>
      <c r="CE77" s="30">
        <f t="shared" si="299"/>
        <v>2.808112324492984E-2</v>
      </c>
      <c r="CF77" s="30">
        <f t="shared" si="299"/>
        <v>-1.4388489208633115E-2</v>
      </c>
      <c r="CG77" s="30">
        <f t="shared" si="299"/>
        <v>-2.6687598116169498E-2</v>
      </c>
      <c r="CH77" s="30">
        <f t="shared" si="299"/>
        <v>0.11838006230529596</v>
      </c>
      <c r="CI77" s="30">
        <f t="shared" si="299"/>
        <v>-3.9453717754172946E-2</v>
      </c>
      <c r="CJ77" s="30">
        <f t="shared" si="299"/>
        <v>6.4233576642335866E-2</v>
      </c>
      <c r="CK77" s="30">
        <f t="shared" si="299"/>
        <v>8.2258064516129048E-2</v>
      </c>
      <c r="CL77" s="30">
        <f t="shared" si="299"/>
        <v>-4.3175487465181073E-2</v>
      </c>
      <c r="CM77" s="30">
        <f t="shared" ref="CM77:CP77" si="300">CM9/CI9-1</f>
        <v>-0.12164296998420221</v>
      </c>
      <c r="CN77" s="30">
        <f t="shared" si="300"/>
        <v>-3.0000000000000027E-2</v>
      </c>
      <c r="CO77" s="30">
        <f t="shared" si="300"/>
        <v>-3.0000000000000027E-2</v>
      </c>
      <c r="CP77" s="30">
        <f t="shared" si="300"/>
        <v>-3.0000000000000027E-2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01">+DC9/DB9-1</f>
        <v>1.0071942446043165</v>
      </c>
      <c r="DD77" s="30">
        <f t="shared" si="301"/>
        <v>0.17159498207885315</v>
      </c>
      <c r="DE77" s="30">
        <f t="shared" si="301"/>
        <v>2.5621414913957974E-2</v>
      </c>
      <c r="DF77" s="30">
        <f t="shared" si="301"/>
        <v>1.4168530947054503E-2</v>
      </c>
      <c r="DG77" s="30">
        <f t="shared" si="301"/>
        <v>-5.1327205882352955E-2</v>
      </c>
      <c r="DH77" s="30">
        <f t="shared" si="301"/>
        <v>5.0000000000000044E-2</v>
      </c>
      <c r="DI77" s="30">
        <f t="shared" si="301"/>
        <v>5.0000000000000044E-2</v>
      </c>
      <c r="DJ77" s="30">
        <f t="shared" si="301"/>
        <v>5.0000000000000044E-2</v>
      </c>
      <c r="DK77" s="30">
        <f t="shared" si="301"/>
        <v>5.0000000000000044E-2</v>
      </c>
      <c r="DL77" s="30">
        <f t="shared" si="301"/>
        <v>5.0000000000000044E-2</v>
      </c>
      <c r="DS77" s="32" t="s">
        <v>244</v>
      </c>
      <c r="DT77" s="17">
        <f>NPV(DT74,DE67:II67)+Main!K5-Main!K6</f>
        <v>407538.97159824241</v>
      </c>
    </row>
    <row r="78" spans="2:243" s="29" customFormat="1" x14ac:dyDescent="0.2">
      <c r="B78" s="43" t="s">
        <v>121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0" t="s">
        <v>202</v>
      </c>
      <c r="BG78" s="50" t="s">
        <v>202</v>
      </c>
      <c r="BH78" s="50" t="s">
        <v>202</v>
      </c>
      <c r="BI78" s="50" t="s">
        <v>202</v>
      </c>
      <c r="BJ78" s="50" t="s">
        <v>202</v>
      </c>
      <c r="BK78" s="50" t="s">
        <v>202</v>
      </c>
      <c r="BL78" s="50" t="s">
        <v>202</v>
      </c>
      <c r="BM78" s="50" t="s">
        <v>202</v>
      </c>
      <c r="BN78" s="50" t="s">
        <v>202</v>
      </c>
      <c r="BO78" s="50" t="s">
        <v>202</v>
      </c>
      <c r="BP78" s="50" t="s">
        <v>202</v>
      </c>
      <c r="BQ78" s="50" t="s">
        <v>202</v>
      </c>
      <c r="BR78" s="50" t="s">
        <v>202</v>
      </c>
      <c r="BS78" s="50" t="s">
        <v>202</v>
      </c>
      <c r="BT78" s="50" t="s">
        <v>202</v>
      </c>
      <c r="BU78" s="50" t="s">
        <v>202</v>
      </c>
      <c r="BV78" s="50" t="s">
        <v>202</v>
      </c>
      <c r="BW78" s="50" t="s">
        <v>202</v>
      </c>
      <c r="BX78" s="30">
        <f t="shared" si="299"/>
        <v>1.0303030303030303</v>
      </c>
      <c r="BY78" s="30">
        <f t="shared" si="299"/>
        <v>0.23326959847036322</v>
      </c>
      <c r="BZ78" s="30">
        <f t="shared" si="299"/>
        <v>0.18342151675485008</v>
      </c>
      <c r="CA78" s="30">
        <f t="shared" si="299"/>
        <v>0.15413533834586457</v>
      </c>
      <c r="CB78" s="30">
        <f t="shared" si="299"/>
        <v>0.12437810945273631</v>
      </c>
      <c r="CC78" s="30">
        <f t="shared" si="299"/>
        <v>8.3720930232558111E-2</v>
      </c>
      <c r="CD78" s="30">
        <f t="shared" si="299"/>
        <v>8.4947839046199736E-2</v>
      </c>
      <c r="CE78" s="30">
        <f t="shared" si="299"/>
        <v>0.17100977198697076</v>
      </c>
      <c r="CF78" s="30">
        <f t="shared" si="299"/>
        <v>0.10324483775811211</v>
      </c>
      <c r="CG78" s="30">
        <f t="shared" si="299"/>
        <v>7.0100143061516462E-2</v>
      </c>
      <c r="CH78" s="30">
        <f t="shared" si="299"/>
        <v>6.5934065934065922E-2</v>
      </c>
      <c r="CI78" s="30">
        <f t="shared" si="299"/>
        <v>4.0333796940194677E-2</v>
      </c>
      <c r="CJ78" s="30">
        <f t="shared" si="299"/>
        <v>8.8235294117646967E-2</v>
      </c>
      <c r="CK78" s="30">
        <f t="shared" si="299"/>
        <v>0.1336898395721926</v>
      </c>
      <c r="CL78" s="30">
        <f t="shared" si="299"/>
        <v>0.125</v>
      </c>
      <c r="CM78" s="30">
        <f t="shared" ref="CM78:CP78" si="302">CM10/CI10-1</f>
        <v>0.15775401069518713</v>
      </c>
      <c r="CN78" s="30">
        <f t="shared" si="302"/>
        <v>0.10000000000000009</v>
      </c>
      <c r="CO78" s="30">
        <f t="shared" si="302"/>
        <v>0.10000000000000009</v>
      </c>
      <c r="CP78" s="30">
        <f t="shared" si="302"/>
        <v>0.10000000000000009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03">+DC10/DB10-1</f>
        <v>0.76712328767123283</v>
      </c>
      <c r="DD78" s="30">
        <f t="shared" si="303"/>
        <v>0.1093431252549979</v>
      </c>
      <c r="DE78" s="30">
        <f t="shared" si="303"/>
        <v>0.10003677822728951</v>
      </c>
      <c r="DF78" s="30">
        <f t="shared" si="303"/>
        <v>9.7626211969241039E-2</v>
      </c>
      <c r="DG78" s="30">
        <f t="shared" si="303"/>
        <v>0.11315869631434672</v>
      </c>
      <c r="DH78" s="30">
        <f t="shared" si="303"/>
        <v>5.0000000000000044E-2</v>
      </c>
      <c r="DI78" s="30">
        <f t="shared" si="303"/>
        <v>5.0000000000000044E-2</v>
      </c>
      <c r="DJ78" s="30">
        <f t="shared" si="303"/>
        <v>5.0000000000000044E-2</v>
      </c>
      <c r="DK78" s="30">
        <f t="shared" si="303"/>
        <v>5.0000000000000044E-2</v>
      </c>
      <c r="DL78" s="30">
        <f t="shared" si="303"/>
        <v>5.0000000000000044E-2</v>
      </c>
      <c r="DS78" s="51" t="s">
        <v>246</v>
      </c>
      <c r="DT78" s="14">
        <f>DT77/Main!K3</f>
        <v>229.98813295611873</v>
      </c>
    </row>
    <row r="79" spans="2:243" s="29" customFormat="1" x14ac:dyDescent="0.2">
      <c r="B79" s="53" t="s">
        <v>248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 t="s">
        <v>202</v>
      </c>
      <c r="BG79" s="54" t="s">
        <v>202</v>
      </c>
      <c r="BH79" s="54" t="s">
        <v>202</v>
      </c>
      <c r="BI79" s="54" t="s">
        <v>202</v>
      </c>
      <c r="BJ79" s="54" t="s">
        <v>202</v>
      </c>
      <c r="BK79" s="54" t="s">
        <v>202</v>
      </c>
      <c r="BL79" s="54" t="s">
        <v>202</v>
      </c>
      <c r="BM79" s="54" t="s">
        <v>202</v>
      </c>
      <c r="BN79" s="54" t="s">
        <v>202</v>
      </c>
      <c r="BO79" s="54" t="s">
        <v>202</v>
      </c>
      <c r="BP79" s="54" t="s">
        <v>202</v>
      </c>
      <c r="BQ79" s="54" t="s">
        <v>202</v>
      </c>
      <c r="BR79" s="54" t="s">
        <v>202</v>
      </c>
      <c r="BS79" s="54" t="s">
        <v>202</v>
      </c>
      <c r="BT79" s="54" t="s">
        <v>202</v>
      </c>
      <c r="BU79" s="30">
        <f t="shared" ref="BU79:CL79" si="304">BU13/BQ13-1</f>
        <v>14.357142857142858</v>
      </c>
      <c r="BV79" s="30">
        <f t="shared" si="304"/>
        <v>7.5151515151515156</v>
      </c>
      <c r="BW79" s="30">
        <f t="shared" si="304"/>
        <v>2.5232558139534884</v>
      </c>
      <c r="BX79" s="30">
        <f t="shared" si="304"/>
        <v>1.5369127516778525</v>
      </c>
      <c r="BY79" s="30">
        <f t="shared" si="304"/>
        <v>1.1069767441860465</v>
      </c>
      <c r="BZ79" s="30">
        <f t="shared" si="304"/>
        <v>0.83985765124555156</v>
      </c>
      <c r="CA79" s="30">
        <f t="shared" si="304"/>
        <v>0.53465346534653468</v>
      </c>
      <c r="CB79" s="30">
        <f t="shared" si="304"/>
        <v>0.56613756613756605</v>
      </c>
      <c r="CC79" s="30">
        <f t="shared" si="304"/>
        <v>0.53421633554083892</v>
      </c>
      <c r="CD79" s="30">
        <f t="shared" si="304"/>
        <v>0.4893617021276595</v>
      </c>
      <c r="CE79" s="30">
        <f t="shared" si="304"/>
        <v>0.47526881720430114</v>
      </c>
      <c r="CF79" s="30">
        <f t="shared" si="304"/>
        <v>0.55067567567567566</v>
      </c>
      <c r="CG79" s="30">
        <f t="shared" si="304"/>
        <v>0.59712230215827344</v>
      </c>
      <c r="CH79" s="30">
        <f t="shared" si="304"/>
        <v>0.62987012987012991</v>
      </c>
      <c r="CI79" s="30">
        <f t="shared" si="304"/>
        <v>0.59329446064139946</v>
      </c>
      <c r="CJ79" s="30">
        <f t="shared" si="304"/>
        <v>0.55773420479302827</v>
      </c>
      <c r="CK79" s="30">
        <f t="shared" si="304"/>
        <v>0.45405405405405408</v>
      </c>
      <c r="CL79" s="30">
        <f t="shared" si="304"/>
        <v>0.46135458167330667</v>
      </c>
      <c r="CM79" s="30">
        <f t="shared" ref="CM79:CP79" si="305">CM13/CI13-1</f>
        <v>0.57182067703568151</v>
      </c>
      <c r="CN79" s="30">
        <f t="shared" si="305"/>
        <v>0.30000000000000004</v>
      </c>
      <c r="CO79" s="30">
        <f t="shared" si="305"/>
        <v>0.30000000000000027</v>
      </c>
      <c r="CP79" s="30">
        <f t="shared" si="305"/>
        <v>0.30000000000000004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>
        <f t="shared" ref="DC79:DL79" si="306">+DC13/DB13-1</f>
        <v>1.2585499316005473</v>
      </c>
      <c r="DD79" s="30">
        <f t="shared" si="306"/>
        <v>0.52755905511811019</v>
      </c>
      <c r="DE79" s="30">
        <f t="shared" si="306"/>
        <v>0.57375099127676443</v>
      </c>
      <c r="DF79" s="30">
        <f t="shared" si="306"/>
        <v>0.50440917107583783</v>
      </c>
      <c r="DG79" s="30">
        <f t="shared" si="306"/>
        <v>0.34975715960475662</v>
      </c>
      <c r="DH79" s="30">
        <f t="shared" si="306"/>
        <v>0.19999999999999996</v>
      </c>
      <c r="DI79" s="30">
        <f t="shared" si="306"/>
        <v>0.19999999999999996</v>
      </c>
      <c r="DJ79" s="30">
        <f t="shared" si="306"/>
        <v>3.0000000000000027E-2</v>
      </c>
      <c r="DK79" s="30">
        <f t="shared" si="306"/>
        <v>3.0000000000000027E-2</v>
      </c>
      <c r="DL79" s="30">
        <f t="shared" si="306"/>
        <v>3.0000000000000027E-2</v>
      </c>
    </row>
    <row r="80" spans="2:243" s="29" customFormat="1" x14ac:dyDescent="0.2">
      <c r="B80" s="110" t="s">
        <v>506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0"/>
      <c r="BT80" s="30"/>
      <c r="BU80" s="30"/>
      <c r="BV80" s="30"/>
      <c r="BW80" s="30"/>
      <c r="BX80" s="30">
        <f t="shared" ref="BX80" si="307">BX14/BT14-1</f>
        <v>1.25</v>
      </c>
      <c r="BY80" s="30">
        <f t="shared" ref="BY80" si="308">BY14/BU14-1</f>
        <v>0.2877094972067038</v>
      </c>
      <c r="BZ80" s="30">
        <f t="shared" ref="BZ80" si="309">BZ14/BV14-1</f>
        <v>0.21945137157107242</v>
      </c>
      <c r="CA80" s="30">
        <f t="shared" ref="CA80" si="310">CA14/BW14-1</f>
        <v>0.23410404624277459</v>
      </c>
      <c r="CB80" s="30">
        <f t="shared" ref="CB80" si="311">CB14/BX14-1</f>
        <v>0.13888888888888884</v>
      </c>
      <c r="CC80" s="30">
        <f t="shared" ref="CC80" si="312">CC14/BY14-1</f>
        <v>0.20173535791757047</v>
      </c>
      <c r="CD80" s="30">
        <f t="shared" ref="CD80" si="313">CD14/BZ14-1</f>
        <v>0.15541922290388555</v>
      </c>
      <c r="CE80" s="30">
        <f t="shared" ref="CE80:CJ80" si="314">CE14/CA14-1</f>
        <v>0.31381733021077274</v>
      </c>
      <c r="CF80" s="30">
        <f t="shared" si="314"/>
        <v>0.33739837398373984</v>
      </c>
      <c r="CG80" s="30">
        <f t="shared" si="314"/>
        <v>0.35559566787003605</v>
      </c>
      <c r="CH80" s="30">
        <f t="shared" si="314"/>
        <v>0.39646017699115044</v>
      </c>
      <c r="CI80" s="30">
        <f t="shared" si="314"/>
        <v>0.23707664884135471</v>
      </c>
      <c r="CJ80" s="30">
        <f t="shared" si="314"/>
        <v>0.17629179331306988</v>
      </c>
      <c r="CK80" s="30">
        <f>CK14/CG14-1</f>
        <v>0.16511318242343531</v>
      </c>
      <c r="CL80" s="30">
        <f t="shared" ref="CL80:CP80" si="315">CL14/CH14-1</f>
        <v>0.17110266159695819</v>
      </c>
      <c r="CM80" s="30">
        <f t="shared" si="315"/>
        <v>0.10230547550432267</v>
      </c>
      <c r="CN80" s="30">
        <f t="shared" si="315"/>
        <v>0.10000000000000009</v>
      </c>
      <c r="CO80" s="30">
        <f t="shared" si="315"/>
        <v>0.10000000000000009</v>
      </c>
      <c r="CP80" s="30">
        <f t="shared" si="315"/>
        <v>0.10000000000000009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">
      <c r="B81" s="5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</row>
    <row r="82" spans="2:116" s="29" customFormat="1" x14ac:dyDescent="0.2">
      <c r="B82" s="43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</row>
    <row r="83" spans="2:116" s="29" customFormat="1" x14ac:dyDescent="0.2">
      <c r="B83" s="43" t="s">
        <v>203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16">+BI59/BI57</f>
        <v>0.80814867762687637</v>
      </c>
      <c r="BJ83" s="30">
        <f t="shared" ref="BJ83" si="317">+BJ59/BJ57</f>
        <v>0.79002455097557822</v>
      </c>
      <c r="BK83" s="30">
        <f t="shared" ref="BK83" si="318">+BK59/BK57</f>
        <v>0.80186538946307029</v>
      </c>
      <c r="BL83" s="30">
        <f t="shared" ref="BL83:BQ83" si="319">+BL59/BL57</f>
        <v>0.80540082344393316</v>
      </c>
      <c r="BM83" s="30">
        <f t="shared" si="319"/>
        <v>0.81677999028654691</v>
      </c>
      <c r="BN83" s="30">
        <f t="shared" si="319"/>
        <v>0.79843467790487654</v>
      </c>
      <c r="BO83" s="30">
        <f t="shared" si="319"/>
        <v>0.83354624425140522</v>
      </c>
      <c r="BP83" s="30">
        <f t="shared" si="319"/>
        <v>0.8271350696547547</v>
      </c>
      <c r="BQ83" s="30">
        <f t="shared" si="319"/>
        <v>0.82014388489208634</v>
      </c>
      <c r="BR83" s="30">
        <f>+BR59/BR57</f>
        <v>0.81560202205882348</v>
      </c>
      <c r="BS83" s="30">
        <f>+BS59/BS57</f>
        <v>0.82666202575704839</v>
      </c>
      <c r="BT83" s="30">
        <f>+BT59/BT57</f>
        <v>0.82772182254196647</v>
      </c>
      <c r="BU83" s="30">
        <f>+BU59/BU57</f>
        <v>0.81664337835739786</v>
      </c>
      <c r="BV83" s="30">
        <f t="shared" ref="BV83:CD83" si="320">+BV59/BV57</f>
        <v>0.81793909655072883</v>
      </c>
      <c r="BW83" s="30">
        <f t="shared" si="320"/>
        <v>0.83880943177425593</v>
      </c>
      <c r="BX83" s="30">
        <f t="shared" si="320"/>
        <v>0.82240848198295002</v>
      </c>
      <c r="BY83" s="30">
        <f t="shared" si="320"/>
        <v>0.83175289359921911</v>
      </c>
      <c r="BZ83" s="30">
        <f t="shared" si="320"/>
        <v>0.83555018137847648</v>
      </c>
      <c r="CA83" s="30">
        <f t="shared" si="320"/>
        <v>0.84465947702762589</v>
      </c>
      <c r="CB83" s="30">
        <f t="shared" si="320"/>
        <v>0.85140231776726327</v>
      </c>
      <c r="CC83" s="30">
        <f>+CC59/CC57</f>
        <v>0.85369970294355924</v>
      </c>
      <c r="CD83" s="30">
        <f t="shared" si="320"/>
        <v>0.85</v>
      </c>
      <c r="CE83" s="30">
        <f t="shared" ref="CE83:CH83" si="321">+CE59/CE57</f>
        <v>0.84204498977505116</v>
      </c>
      <c r="CF83" s="30">
        <f t="shared" si="321"/>
        <v>0.84731337901190051</v>
      </c>
      <c r="CG83" s="30">
        <f t="shared" si="321"/>
        <v>0.83478135994830183</v>
      </c>
      <c r="CH83" s="30">
        <f t="shared" si="321"/>
        <v>0.83938186140829307</v>
      </c>
      <c r="CI83" s="30">
        <f t="shared" ref="CI83:CL83" si="322">+CI59/CI57</f>
        <v>0.82875710804224212</v>
      </c>
      <c r="CJ83" s="30">
        <f t="shared" si="322"/>
        <v>0.85237173281703771</v>
      </c>
      <c r="CK83" s="30">
        <f t="shared" si="322"/>
        <v>0.84432918395573997</v>
      </c>
      <c r="CL83" s="30">
        <f t="shared" si="322"/>
        <v>0.83757118262481789</v>
      </c>
      <c r="CM83" s="30">
        <f t="shared" ref="CM83:CP83" si="323">+CM59/CM57</f>
        <v>0.84141616266085095</v>
      </c>
      <c r="CN83" s="30">
        <f t="shared" si="323"/>
        <v>0.85</v>
      </c>
      <c r="CO83" s="30">
        <f t="shared" si="323"/>
        <v>0.85</v>
      </c>
      <c r="CP83" s="30">
        <f t="shared" si="323"/>
        <v>0.85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>+CZ59/CZ57</f>
        <v>0.80563956863104513</v>
      </c>
      <c r="DA83" s="30">
        <f>+DA59/DA57</f>
        <v>0.82384416521373172</v>
      </c>
      <c r="DB83" s="30">
        <f>+DB59/DB57</f>
        <v>0.82144417263672898</v>
      </c>
      <c r="DC83" s="30">
        <f>+DC59/DC57</f>
        <v>0.8320622928619793</v>
      </c>
      <c r="DD83" s="30">
        <f>+DD59/DD57</f>
        <v>0.85005081475867295</v>
      </c>
      <c r="DE83" s="30">
        <f t="shared" ref="DE83:DI83" si="324">+DE59/DE57</f>
        <v>0.84082624544349938</v>
      </c>
      <c r="DF83" s="30">
        <f t="shared" si="324"/>
        <v>0.84117939432669431</v>
      </c>
      <c r="DG83" s="30">
        <f t="shared" si="324"/>
        <v>0.85</v>
      </c>
      <c r="DH83" s="30">
        <f t="shared" si="324"/>
        <v>0.85</v>
      </c>
      <c r="DI83" s="30">
        <f t="shared" si="324"/>
        <v>0.85</v>
      </c>
      <c r="DJ83" s="30">
        <f t="shared" ref="DJ83:DL83" si="325">+DJ59/DJ57</f>
        <v>0.85</v>
      </c>
      <c r="DK83" s="30">
        <f t="shared" si="325"/>
        <v>0.85000000000000009</v>
      </c>
      <c r="DL83" s="30">
        <f t="shared" si="325"/>
        <v>0.85</v>
      </c>
    </row>
    <row r="84" spans="2:116" s="29" customFormat="1" x14ac:dyDescent="0.2">
      <c r="B84" s="43" t="s">
        <v>204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>
        <f t="shared" ref="BI84" si="326">+BI66/BI65</f>
        <v>0.18934280639431617</v>
      </c>
      <c r="BJ84" s="30">
        <f t="shared" ref="BJ84" si="327">+BJ66/BJ65</f>
        <v>0.18853848762292302</v>
      </c>
      <c r="BK84" s="30">
        <f t="shared" ref="BK84" si="328">+BK66/BK65</f>
        <v>7.6450721522873813E-2</v>
      </c>
      <c r="BL84" s="30">
        <f t="shared" ref="BL84:BQ84" si="329">+BL66/BL65</f>
        <v>9.0040532715691957E-2</v>
      </c>
      <c r="BM84" s="30">
        <f t="shared" si="329"/>
        <v>9.1036023457134879E-2</v>
      </c>
      <c r="BN84" s="30">
        <f t="shared" si="329"/>
        <v>9.1716915264995244E-2</v>
      </c>
      <c r="BO84" s="30">
        <f t="shared" si="329"/>
        <v>7.8917050691244245E-2</v>
      </c>
      <c r="BP84" s="30">
        <f t="shared" si="329"/>
        <v>8.7567567567567561E-2</v>
      </c>
      <c r="BQ84" s="30">
        <f t="shared" si="329"/>
        <v>8.7848500789058384E-2</v>
      </c>
      <c r="BR84" s="30">
        <f>+BR66/BR65</f>
        <v>8.8544548976203646E-2</v>
      </c>
      <c r="BS84" s="30">
        <f>+BS66/BS65</f>
        <v>9.7426929802648013E-2</v>
      </c>
      <c r="BT84" s="30">
        <f>+BT66/BT65</f>
        <v>0.11399317406143344</v>
      </c>
      <c r="BU84" s="30">
        <f>+BU66/BU65</f>
        <v>9.6755504055619931E-2</v>
      </c>
      <c r="BV84" s="30">
        <f t="shared" ref="BV84:CD84" si="330">+BV66/BV65</f>
        <v>9.6443132292984679E-2</v>
      </c>
      <c r="BW84" s="30">
        <f t="shared" si="330"/>
        <v>0.1234113712374582</v>
      </c>
      <c r="BX84" s="30">
        <f t="shared" si="330"/>
        <v>0.12653834017040075</v>
      </c>
      <c r="BY84" s="30">
        <f t="shared" si="330"/>
        <v>0.12783291364242336</v>
      </c>
      <c r="BZ84" s="30">
        <f t="shared" si="330"/>
        <v>0.12496302868973676</v>
      </c>
      <c r="CA84" s="30">
        <f t="shared" si="330"/>
        <v>0.11802184466019418</v>
      </c>
      <c r="CB84" s="30">
        <f t="shared" si="330"/>
        <v>0.12982644961657475</v>
      </c>
      <c r="CC84" s="30">
        <f>+CC66/CC65</f>
        <v>0.1274432118330692</v>
      </c>
      <c r="CD84" s="30">
        <f t="shared" si="330"/>
        <v>0.15</v>
      </c>
      <c r="CE84" s="30">
        <f t="shared" ref="CE84:CH84" si="331">+CE66/CE65</f>
        <v>0.1364907375043691</v>
      </c>
      <c r="CF84" s="30">
        <f t="shared" si="331"/>
        <v>9.4106311225309144E-2</v>
      </c>
      <c r="CG84" s="30">
        <f t="shared" si="331"/>
        <v>0.1549652118912081</v>
      </c>
      <c r="CH84" s="30">
        <f t="shared" si="331"/>
        <v>6.2390017597184454E-2</v>
      </c>
      <c r="CI84" s="30">
        <f t="shared" ref="CI84:CL84" si="332">+CI66/CI65</f>
        <v>0.14282860567319217</v>
      </c>
      <c r="CJ84" s="30">
        <f t="shared" si="332"/>
        <v>0.16184542352766651</v>
      </c>
      <c r="CK84" s="30">
        <f t="shared" si="332"/>
        <v>0.15957116221255438</v>
      </c>
      <c r="CL84" s="30">
        <f t="shared" si="332"/>
        <v>0.15142054324071183</v>
      </c>
      <c r="CM84" s="30">
        <f t="shared" ref="CM84:CP84" si="333">+CM66/CM65</f>
        <v>0.13567303918820428</v>
      </c>
      <c r="CN84" s="30">
        <f t="shared" si="333"/>
        <v>0.1</v>
      </c>
      <c r="CO84" s="30">
        <f t="shared" si="333"/>
        <v>0.1</v>
      </c>
      <c r="CP84" s="30">
        <f t="shared" si="333"/>
        <v>0.1</v>
      </c>
      <c r="CQ84" s="30"/>
      <c r="CR84" s="30"/>
      <c r="CS84" s="30"/>
      <c r="CT84" s="30"/>
      <c r="CU84" s="30"/>
      <c r="CV84" s="30"/>
      <c r="CW84" s="30"/>
      <c r="CX84" s="30"/>
      <c r="CY84" s="30"/>
      <c r="CZ84" s="30">
        <f t="shared" ref="CZ84" si="334">+CZ66/CZ65</f>
        <v>8.7406084951275761E-2</v>
      </c>
      <c r="DA84" s="30">
        <f t="shared" ref="DA84:DI84" si="335">+DA66/DA65</f>
        <v>8.5823964902659713E-2</v>
      </c>
      <c r="DB84" s="30">
        <f t="shared" si="335"/>
        <v>0.10015614543832255</v>
      </c>
      <c r="DC84" s="30">
        <f t="shared" si="335"/>
        <v>0.12574038945453136</v>
      </c>
      <c r="DD84" s="30">
        <f t="shared" si="335"/>
        <v>0.13161795219388039</v>
      </c>
      <c r="DE84" s="30">
        <f t="shared" si="335"/>
        <v>0.11160495840809004</v>
      </c>
      <c r="DF84" s="30">
        <f t="shared" si="335"/>
        <v>0.15466265403229087</v>
      </c>
      <c r="DG84" s="30">
        <f t="shared" si="335"/>
        <v>0.15</v>
      </c>
      <c r="DH84" s="30">
        <f t="shared" si="335"/>
        <v>0.15</v>
      </c>
      <c r="DI84" s="30">
        <f t="shared" si="335"/>
        <v>0.15</v>
      </c>
      <c r="DJ84" s="30">
        <f t="shared" ref="DJ84:DL84" si="336">+DJ66/DJ65</f>
        <v>0.15</v>
      </c>
      <c r="DK84" s="30">
        <f t="shared" si="336"/>
        <v>0.15</v>
      </c>
      <c r="DL84" s="30">
        <f t="shared" si="336"/>
        <v>0.15</v>
      </c>
    </row>
    <row r="86" spans="2:116" x14ac:dyDescent="0.2">
      <c r="B86" s="25" t="s">
        <v>145</v>
      </c>
      <c r="CA86" s="16">
        <f t="shared" ref="CA86:CG86" si="337">CA87-CA96</f>
        <v>-65642</v>
      </c>
      <c r="CB86" s="16">
        <f t="shared" si="337"/>
        <v>-62727</v>
      </c>
      <c r="CC86" s="16">
        <f t="shared" si="337"/>
        <v>-57492</v>
      </c>
      <c r="CD86" s="16">
        <f t="shared" si="337"/>
        <v>0</v>
      </c>
      <c r="CE86" s="16">
        <f t="shared" si="337"/>
        <v>-55114</v>
      </c>
      <c r="CF86" s="16">
        <f t="shared" si="337"/>
        <v>-51961</v>
      </c>
      <c r="CG86" s="16">
        <f t="shared" si="337"/>
        <v>-47181</v>
      </c>
      <c r="CH86" s="16">
        <f>CH87-CH96</f>
        <v>-46265</v>
      </c>
      <c r="CI86" s="16">
        <f>CI87-CI96</f>
        <v>-55627</v>
      </c>
      <c r="CJ86" s="16">
        <f>CJ87-CJ96</f>
        <v>-57205</v>
      </c>
      <c r="CK86" s="16">
        <f>CK87-CK96</f>
        <v>-63527</v>
      </c>
      <c r="CL86" s="16">
        <f>CL87-CL96</f>
        <v>-61310</v>
      </c>
      <c r="CM86" s="16">
        <f>CM87-CM96</f>
        <v>-64426</v>
      </c>
      <c r="CN86" s="16"/>
      <c r="CO86" s="16"/>
    </row>
    <row r="87" spans="2:116" s="15" customFormat="1" x14ac:dyDescent="0.2">
      <c r="B87" s="23" t="s">
        <v>50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f>6098+1474+260</f>
        <v>7832</v>
      </c>
      <c r="CB87" s="16">
        <f>8521+1440+244</f>
        <v>10205</v>
      </c>
      <c r="CC87" s="16">
        <f>11832+47+235</f>
        <v>12114</v>
      </c>
      <c r="CD87" s="16"/>
      <c r="CE87" s="16">
        <f>6711+11+257</f>
        <v>6979</v>
      </c>
      <c r="CF87" s="16">
        <f>8759+7+288</f>
        <v>9054</v>
      </c>
      <c r="CG87" s="16">
        <f>13287+3+275</f>
        <v>13565</v>
      </c>
      <c r="CH87" s="16">
        <f>12814+2+304</f>
        <v>13120</v>
      </c>
      <c r="CI87" s="16">
        <f>18069+305</f>
        <v>18374</v>
      </c>
      <c r="CJ87" s="16">
        <f>13130+27+272</f>
        <v>13429</v>
      </c>
      <c r="CK87" s="16">
        <f>7257+28+267</f>
        <v>7552</v>
      </c>
      <c r="CL87" s="16">
        <f>5524+31+279</f>
        <v>5834</v>
      </c>
      <c r="CM87" s="16">
        <f>5175+1+287</f>
        <v>5463</v>
      </c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">
      <c r="B88" s="23" t="s">
        <v>135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10733</v>
      </c>
      <c r="CB88" s="16">
        <v>11237</v>
      </c>
      <c r="CC88" s="16">
        <v>10743</v>
      </c>
      <c r="CD88" s="16"/>
      <c r="CE88" s="16">
        <v>11473</v>
      </c>
      <c r="CF88" s="16">
        <v>11491</v>
      </c>
      <c r="CG88" s="16">
        <v>11412</v>
      </c>
      <c r="CH88" s="16">
        <v>11155</v>
      </c>
      <c r="CI88" s="16">
        <v>11949</v>
      </c>
      <c r="CJ88" s="16">
        <v>11724</v>
      </c>
      <c r="CK88" s="16">
        <v>11472</v>
      </c>
      <c r="CL88" s="16">
        <v>10919</v>
      </c>
      <c r="CM88" s="16">
        <v>12477</v>
      </c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">
      <c r="B89" s="23" t="s">
        <v>136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3483</v>
      </c>
      <c r="CB89" s="16">
        <v>3396</v>
      </c>
      <c r="CC89" s="16">
        <v>3172</v>
      </c>
      <c r="CD89" s="16"/>
      <c r="CE89" s="16">
        <v>3833</v>
      </c>
      <c r="CF89" s="16">
        <v>4055</v>
      </c>
      <c r="CG89" s="16">
        <v>3981</v>
      </c>
      <c r="CH89" s="16">
        <v>4099</v>
      </c>
      <c r="CI89" s="16">
        <v>4245</v>
      </c>
      <c r="CJ89" s="16">
        <v>4218</v>
      </c>
      <c r="CK89" s="16">
        <v>4450</v>
      </c>
      <c r="CL89" s="16">
        <v>4181</v>
      </c>
      <c r="CM89" s="16">
        <v>4526</v>
      </c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">
      <c r="B90" s="23" t="s">
        <v>137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4721</v>
      </c>
      <c r="CB90" s="16">
        <v>4506</v>
      </c>
      <c r="CC90" s="16">
        <v>4570</v>
      </c>
      <c r="CD90" s="16"/>
      <c r="CE90" s="16">
        <v>4460</v>
      </c>
      <c r="CF90" s="16">
        <v>4540</v>
      </c>
      <c r="CG90" s="16">
        <v>4541</v>
      </c>
      <c r="CH90" s="16">
        <v>4932</v>
      </c>
      <c r="CI90" s="16">
        <v>4608</v>
      </c>
      <c r="CJ90" s="16">
        <v>4717</v>
      </c>
      <c r="CK90" s="16">
        <v>4578</v>
      </c>
      <c r="CL90" s="16">
        <v>4927</v>
      </c>
      <c r="CM90" s="16">
        <v>5496</v>
      </c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">
      <c r="B91" s="23" t="s">
        <v>138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5075</v>
      </c>
      <c r="CB91" s="16">
        <v>4958</v>
      </c>
      <c r="CC91" s="16">
        <v>4893</v>
      </c>
      <c r="CD91" s="16"/>
      <c r="CE91" s="16">
        <v>4931</v>
      </c>
      <c r="CF91" s="16">
        <v>4943</v>
      </c>
      <c r="CG91" s="16">
        <v>4934</v>
      </c>
      <c r="CH91" s="16">
        <v>4989</v>
      </c>
      <c r="CI91" s="16">
        <v>4980</v>
      </c>
      <c r="CJ91" s="16">
        <v>5023</v>
      </c>
      <c r="CK91" s="16">
        <v>5141</v>
      </c>
      <c r="CL91" s="16">
        <v>5134</v>
      </c>
      <c r="CM91" s="16">
        <v>5237</v>
      </c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">
      <c r="B92" s="23" t="s">
        <v>139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f>73986+32298</f>
        <v>106284</v>
      </c>
      <c r="CB92" s="16">
        <f>71823+32028</f>
        <v>103851</v>
      </c>
      <c r="CC92" s="16">
        <f>68725+31726</f>
        <v>100451</v>
      </c>
      <c r="CD92" s="16"/>
      <c r="CE92" s="16">
        <f>64848+32220</f>
        <v>97068</v>
      </c>
      <c r="CF92" s="16">
        <f>62862+32224</f>
        <v>95086</v>
      </c>
      <c r="CG92" s="16">
        <f>58603+32091</f>
        <v>90694</v>
      </c>
      <c r="CH92" s="16">
        <f>55610+32293</f>
        <v>87903</v>
      </c>
      <c r="CI92" s="16">
        <f>62225+33426</f>
        <v>95651</v>
      </c>
      <c r="CJ92" s="16">
        <f>60243+33386</f>
        <v>93629</v>
      </c>
      <c r="CK92" s="16">
        <f>66646+35295</f>
        <v>101941</v>
      </c>
      <c r="CL92" s="16">
        <f>60068+34956</f>
        <v>95024</v>
      </c>
      <c r="CM92" s="16">
        <f>58489+35285</f>
        <v>93774</v>
      </c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">
      <c r="B93" s="23" t="s">
        <v>12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5083</v>
      </c>
      <c r="CB93" s="16">
        <v>5033</v>
      </c>
      <c r="CC93" s="16">
        <v>5382</v>
      </c>
      <c r="CD93" s="16"/>
      <c r="CE93" s="16">
        <v>5800</v>
      </c>
      <c r="CF93" s="16">
        <v>6198</v>
      </c>
      <c r="CG93" s="16">
        <v>7094</v>
      </c>
      <c r="CH93" s="16">
        <v>8513</v>
      </c>
      <c r="CI93" s="16">
        <v>9067</v>
      </c>
      <c r="CJ93" s="16">
        <v>9197</v>
      </c>
      <c r="CK93" s="16">
        <v>8288</v>
      </c>
      <c r="CL93" s="16">
        <v>9142</v>
      </c>
      <c r="CM93" s="16">
        <v>9192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">
      <c r="B94" s="23" t="s">
        <v>134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f>SUM(CA87:CA93)</f>
        <v>143211</v>
      </c>
      <c r="CB94" s="16">
        <f>SUM(CB87:CB93)</f>
        <v>143186</v>
      </c>
      <c r="CC94" s="16">
        <f>SUM(CC87:CC93)</f>
        <v>141325</v>
      </c>
      <c r="CD94" s="16"/>
      <c r="CE94" s="16">
        <f t="shared" ref="CE94:CK94" si="338">SUM(CE87:CE93)</f>
        <v>134544</v>
      </c>
      <c r="CF94" s="16">
        <f t="shared" si="338"/>
        <v>135367</v>
      </c>
      <c r="CG94" s="16">
        <f t="shared" si="338"/>
        <v>136221</v>
      </c>
      <c r="CH94" s="16">
        <f t="shared" si="338"/>
        <v>134711</v>
      </c>
      <c r="CI94" s="16">
        <f t="shared" si="338"/>
        <v>148874</v>
      </c>
      <c r="CJ94" s="16">
        <f t="shared" si="338"/>
        <v>141937</v>
      </c>
      <c r="CK94" s="16">
        <f t="shared" si="338"/>
        <v>143422</v>
      </c>
      <c r="CL94" s="16">
        <f t="shared" ref="CL94:CM94" si="339">SUM(CL87:CL93)</f>
        <v>135161</v>
      </c>
      <c r="CM94" s="16">
        <f t="shared" si="339"/>
        <v>136165</v>
      </c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6" spans="2:116" s="15" customFormat="1" x14ac:dyDescent="0.2">
      <c r="B96" s="23" t="s">
        <v>51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f>12+9940+63522</f>
        <v>73474</v>
      </c>
      <c r="CB96" s="16">
        <f>17+61002+11913</f>
        <v>72932</v>
      </c>
      <c r="CC96" s="16">
        <f>10+9197+60399</f>
        <v>69606</v>
      </c>
      <c r="CD96" s="16"/>
      <c r="CE96" s="16">
        <f>1+59292+2800</f>
        <v>62093</v>
      </c>
      <c r="CF96" s="16">
        <f>5203+55812</f>
        <v>61015</v>
      </c>
      <c r="CG96" s="16">
        <f>2+55631+5113</f>
        <v>60746</v>
      </c>
      <c r="CH96" s="16">
        <f>7191+52194</f>
        <v>59385</v>
      </c>
      <c r="CI96" s="16">
        <f>3+63805+10193</f>
        <v>74001</v>
      </c>
      <c r="CJ96" s="16">
        <f>12586+58048</f>
        <v>70634</v>
      </c>
      <c r="CK96" s="16">
        <f>12570+58509</f>
        <v>71079</v>
      </c>
      <c r="CL96" s="16">
        <f>6804+60340</f>
        <v>67144</v>
      </c>
      <c r="CM96" s="16">
        <f>1593+64527+3769</f>
        <v>69889</v>
      </c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">
      <c r="B97" s="23" t="s">
        <v>140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22569</v>
      </c>
      <c r="CB97" s="16">
        <v>22543</v>
      </c>
      <c r="CC97" s="16">
        <v>23505</v>
      </c>
      <c r="CD97" s="16"/>
      <c r="CE97" s="16">
        <v>24789</v>
      </c>
      <c r="CF97" s="16">
        <v>27036</v>
      </c>
      <c r="CG97" s="16">
        <v>29658</v>
      </c>
      <c r="CH97" s="16">
        <v>30650</v>
      </c>
      <c r="CI97" s="16">
        <v>31326</v>
      </c>
      <c r="CJ97" s="16">
        <v>29329</v>
      </c>
      <c r="CK97" s="16">
        <v>30492</v>
      </c>
      <c r="CL97" s="16">
        <v>31945</v>
      </c>
      <c r="CM97" s="16">
        <v>31041</v>
      </c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23" t="s">
        <v>141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2831</v>
      </c>
      <c r="CB98" s="16">
        <v>2255</v>
      </c>
      <c r="CC98" s="16">
        <v>1972</v>
      </c>
      <c r="CD98" s="16"/>
      <c r="CE98" s="16">
        <v>2110</v>
      </c>
      <c r="CF98" s="16">
        <v>2124</v>
      </c>
      <c r="CG98" s="16">
        <v>2044</v>
      </c>
      <c r="CH98" s="16">
        <v>1952</v>
      </c>
      <c r="CI98" s="16">
        <v>2722</v>
      </c>
      <c r="CJ98" s="16">
        <v>2726</v>
      </c>
      <c r="CK98" s="16">
        <v>2749</v>
      </c>
      <c r="CL98" s="16">
        <v>2579</v>
      </c>
      <c r="CM98" s="16">
        <v>2582</v>
      </c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">
      <c r="B99" s="23" t="s">
        <v>142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28023</v>
      </c>
      <c r="CB99" s="16">
        <v>30768</v>
      </c>
      <c r="CC99" s="16">
        <v>30215</v>
      </c>
      <c r="CD99" s="16"/>
      <c r="CE99" s="16">
        <v>32249</v>
      </c>
      <c r="CF99" s="16">
        <v>32294</v>
      </c>
      <c r="CG99" s="16">
        <v>31644</v>
      </c>
      <c r="CH99" s="16">
        <v>32327</v>
      </c>
      <c r="CI99" s="16">
        <v>32778</v>
      </c>
      <c r="CJ99" s="16">
        <v>32427</v>
      </c>
      <c r="CK99" s="16">
        <v>33031</v>
      </c>
      <c r="CL99" s="16">
        <v>30129</v>
      </c>
      <c r="CM99" s="16">
        <v>31191</v>
      </c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">
      <c r="B100" s="23" t="s">
        <v>143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16314</v>
      </c>
      <c r="CB100" s="16">
        <v>14688</v>
      </c>
      <c r="CC100" s="16">
        <v>16027</v>
      </c>
      <c r="CD100" s="16"/>
      <c r="CE100" s="16">
        <v>13303</v>
      </c>
      <c r="CF100" s="16">
        <v>12898</v>
      </c>
      <c r="CG100" s="16">
        <v>12129</v>
      </c>
      <c r="CH100" s="16">
        <v>10397</v>
      </c>
      <c r="CI100" s="16">
        <v>8047</v>
      </c>
      <c r="CJ100" s="16">
        <v>6821</v>
      </c>
      <c r="CK100" s="16">
        <v>6071</v>
      </c>
      <c r="CL100" s="16">
        <f>3364</f>
        <v>3364</v>
      </c>
      <c r="CM100" s="16">
        <v>1462</v>
      </c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23" t="s">
        <v>144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f>SUM(CA96:CA100)</f>
        <v>143211</v>
      </c>
      <c r="CB101" s="16">
        <f>SUM(CB96:CB100)</f>
        <v>143186</v>
      </c>
      <c r="CC101" s="16">
        <f>SUM(CC96:CC100)</f>
        <v>141325</v>
      </c>
      <c r="CD101" s="16"/>
      <c r="CE101" s="16">
        <f t="shared" ref="CE101:CM101" si="340">SUM(CE96:CE100)</f>
        <v>134544</v>
      </c>
      <c r="CF101" s="16">
        <f t="shared" si="340"/>
        <v>135367</v>
      </c>
      <c r="CG101" s="16">
        <f t="shared" si="340"/>
        <v>136221</v>
      </c>
      <c r="CH101" s="16">
        <f t="shared" si="340"/>
        <v>134711</v>
      </c>
      <c r="CI101" s="16">
        <f t="shared" si="340"/>
        <v>148874</v>
      </c>
      <c r="CJ101" s="16">
        <f t="shared" si="340"/>
        <v>141937</v>
      </c>
      <c r="CK101" s="16">
        <f t="shared" si="340"/>
        <v>143422</v>
      </c>
      <c r="CL101" s="16">
        <f t="shared" si="340"/>
        <v>135161</v>
      </c>
      <c r="CM101" s="16">
        <f>SUM(CM96:CM100)</f>
        <v>136165</v>
      </c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3" spans="2:115" s="15" customFormat="1" x14ac:dyDescent="0.2">
      <c r="B103" s="65" t="s">
        <v>290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f>+CA67</f>
        <v>5814</v>
      </c>
      <c r="CB103" s="16"/>
      <c r="CC103" s="16"/>
      <c r="CD103" s="16"/>
      <c r="CE103" s="16">
        <f t="shared" ref="CE103:CK103" si="341">+CE67</f>
        <v>4941</v>
      </c>
      <c r="CF103" s="16">
        <f t="shared" si="341"/>
        <v>5641</v>
      </c>
      <c r="CG103" s="16">
        <f t="shared" si="341"/>
        <v>5344</v>
      </c>
      <c r="CH103" s="16">
        <f t="shared" si="341"/>
        <v>5861</v>
      </c>
      <c r="CI103" s="16">
        <f t="shared" si="341"/>
        <v>4291</v>
      </c>
      <c r="CJ103" s="16">
        <f t="shared" si="341"/>
        <v>5650</v>
      </c>
      <c r="CK103" s="16">
        <f t="shared" si="341"/>
        <v>5409</v>
      </c>
      <c r="CL103" s="16">
        <f>+CL67</f>
        <v>5436</v>
      </c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">
      <c r="B104" s="65" t="s">
        <v>291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4493</v>
      </c>
      <c r="CB104" s="16"/>
      <c r="CC104" s="16"/>
      <c r="CD104" s="16"/>
      <c r="CE104" s="16">
        <v>241</v>
      </c>
      <c r="CF104" s="16">
        <f>2268-CE104</f>
        <v>2027</v>
      </c>
      <c r="CG104" s="16">
        <f>4049-CF104-CE104</f>
        <v>1781</v>
      </c>
      <c r="CH104" s="16">
        <f>4873-CG104-CF104-CE104</f>
        <v>824</v>
      </c>
      <c r="CI104" s="16">
        <v>1372</v>
      </c>
      <c r="CJ104" s="16">
        <f>2745-CI104</f>
        <v>1373</v>
      </c>
      <c r="CK104" s="16">
        <f>4309-CJ104-CI104</f>
        <v>1564</v>
      </c>
      <c r="CL104" s="16">
        <f>4286-CK104-CJ104-CI104</f>
        <v>-23</v>
      </c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">
      <c r="B105" s="65" t="s">
        <v>292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198</v>
      </c>
      <c r="CB105" s="16"/>
      <c r="CC105" s="16"/>
      <c r="CD105" s="16"/>
      <c r="CE105" s="16">
        <v>179</v>
      </c>
      <c r="CF105" s="16">
        <f>369-CE105</f>
        <v>190</v>
      </c>
      <c r="CG105" s="16">
        <f>565-CF105-CE105</f>
        <v>196</v>
      </c>
      <c r="CH105" s="16">
        <f>752-CG105-CF105-CE105</f>
        <v>187</v>
      </c>
      <c r="CI105" s="16">
        <v>183</v>
      </c>
      <c r="CJ105" s="16">
        <f>367-CI105</f>
        <v>184</v>
      </c>
      <c r="CK105" s="16">
        <f>558-CJ105-CI105</f>
        <v>191</v>
      </c>
      <c r="CL105" s="16">
        <f>764-CK105-CJ105-CI105</f>
        <v>206</v>
      </c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">
      <c r="B106" s="65" t="s">
        <v>293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1855</v>
      </c>
      <c r="CB106" s="16"/>
      <c r="CC106" s="16"/>
      <c r="CD106" s="16"/>
      <c r="CE106" s="16">
        <v>1948</v>
      </c>
      <c r="CF106" s="16">
        <f>4018-CE106</f>
        <v>2070</v>
      </c>
      <c r="CG106" s="16">
        <f>6057-CF106-CE106</f>
        <v>2039</v>
      </c>
      <c r="CH106" s="16">
        <f>7946-CG106-CF106-CE106</f>
        <v>1889</v>
      </c>
      <c r="CI106" s="16">
        <v>1891</v>
      </c>
      <c r="CJ106" s="16">
        <f>3838-CI106</f>
        <v>1947</v>
      </c>
      <c r="CK106" s="16">
        <f>5726-CJ106-CI106</f>
        <v>1888</v>
      </c>
      <c r="CL106" s="16">
        <f>7622-CK106-CJ106-CI106</f>
        <v>1896</v>
      </c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">
      <c r="B107" s="65" t="s">
        <v>141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-194</v>
      </c>
      <c r="CB107" s="16"/>
      <c r="CC107" s="16"/>
      <c r="CD107" s="16"/>
      <c r="CE107" s="16">
        <v>-267</v>
      </c>
      <c r="CF107" s="16">
        <f>-635-CE107</f>
        <v>-368</v>
      </c>
      <c r="CG107" s="16">
        <f>-1498-CF107-CE107</f>
        <v>-863</v>
      </c>
      <c r="CH107" s="16">
        <f>-2889-CG107-CF107-CE107</f>
        <v>-1391</v>
      </c>
      <c r="CI107" s="16">
        <v>-389</v>
      </c>
      <c r="CJ107" s="16">
        <f>-405-CI107</f>
        <v>-16</v>
      </c>
      <c r="CK107" s="16">
        <f>-682-CJ107-CI107</f>
        <v>-277</v>
      </c>
      <c r="CL107" s="16">
        <f>-1449-CK107-CJ107-CI107</f>
        <v>-767</v>
      </c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">
      <c r="B108" s="65" t="s">
        <v>294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-748</v>
      </c>
      <c r="CB108" s="16"/>
      <c r="CC108" s="16"/>
      <c r="CD108" s="16"/>
      <c r="CE108" s="16">
        <v>1872</v>
      </c>
      <c r="CF108" s="16">
        <f>3424-CE108</f>
        <v>1552</v>
      </c>
      <c r="CG108" s="16">
        <f>3432-CF108-CE108-407</f>
        <v>-399</v>
      </c>
      <c r="CH108" s="16">
        <f>5128-870-CG108-CF108-CE108</f>
        <v>1233</v>
      </c>
      <c r="CI108" s="16">
        <f>660-391</f>
        <v>269</v>
      </c>
      <c r="CJ108" s="16">
        <f>2136-876-CI108</f>
        <v>991</v>
      </c>
      <c r="CK108" s="16">
        <f>3492-CJ108-CI108-1456</f>
        <v>776</v>
      </c>
      <c r="CL108" s="16">
        <f>-1995-CK108-CJ108-CI108+3771</f>
        <v>-260</v>
      </c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s="15" customFormat="1" x14ac:dyDescent="0.2">
      <c r="B109" s="65" t="s">
        <v>295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v>306</v>
      </c>
      <c r="CB109" s="16"/>
      <c r="CC109" s="16"/>
      <c r="CD109" s="16"/>
      <c r="CE109" s="16">
        <v>313</v>
      </c>
      <c r="CF109" s="16">
        <f>492-CE109</f>
        <v>179</v>
      </c>
      <c r="CG109" s="16">
        <f>622-CF109-CE109</f>
        <v>130</v>
      </c>
      <c r="CH109" s="16">
        <f>747-CG109-CF109-CE109</f>
        <v>125</v>
      </c>
      <c r="CI109" s="16">
        <v>348</v>
      </c>
      <c r="CJ109" s="16">
        <f>566-CI109</f>
        <v>218</v>
      </c>
      <c r="CK109" s="16">
        <f>747-CJ109-CI109</f>
        <v>181</v>
      </c>
      <c r="CL109" s="16">
        <f>911-CK109-CJ109-CI109</f>
        <v>164</v>
      </c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x14ac:dyDescent="0.2">
      <c r="B110" s="62" t="s">
        <v>298</v>
      </c>
      <c r="CA110" s="16">
        <v>145</v>
      </c>
      <c r="CE110" s="2">
        <f>150+710</f>
        <v>860</v>
      </c>
      <c r="CF110" s="2">
        <f>430-CE110</f>
        <v>-430</v>
      </c>
      <c r="CG110" s="16">
        <f>496-CF110-CE110</f>
        <v>66</v>
      </c>
      <c r="CH110" s="16">
        <f>778-CG110-CF110-CE110</f>
        <v>282</v>
      </c>
      <c r="CI110" s="2">
        <v>164</v>
      </c>
      <c r="CJ110" s="16">
        <f>1101-CI110</f>
        <v>937</v>
      </c>
      <c r="CK110" s="16">
        <f>1183-CJ110-CI110</f>
        <v>82</v>
      </c>
      <c r="CL110" s="16">
        <f>2757-CK110-CJ110-CI110+4476</f>
        <v>6050</v>
      </c>
    </row>
    <row r="111" spans="2:115" x14ac:dyDescent="0.2">
      <c r="B111" s="62" t="s">
        <v>12</v>
      </c>
      <c r="CA111" s="16">
        <v>128</v>
      </c>
      <c r="CE111" s="2">
        <v>-128</v>
      </c>
      <c r="CF111" s="2">
        <f>-118+710-173-CE111</f>
        <v>547</v>
      </c>
      <c r="CG111" s="16">
        <f>-205-CF111-CE111</f>
        <v>-624</v>
      </c>
      <c r="CH111" s="16">
        <f>-443+4229-225-CG111-CF111-CE111</f>
        <v>3766</v>
      </c>
      <c r="CI111" s="2">
        <v>-45</v>
      </c>
      <c r="CJ111" s="16">
        <f>27-53-CI111</f>
        <v>19</v>
      </c>
      <c r="CK111" s="16">
        <f>341-CJ111-CI111-75</f>
        <v>292</v>
      </c>
      <c r="CL111" s="16">
        <f>-63-CK111-CJ111-CI111+508</f>
        <v>179</v>
      </c>
    </row>
    <row r="112" spans="2:115" x14ac:dyDescent="0.2">
      <c r="B112" s="62" t="s">
        <v>297</v>
      </c>
      <c r="CA112" s="16">
        <f>-785-385-285-258+438</f>
        <v>-1275</v>
      </c>
      <c r="CE112" s="2">
        <f>-195-185-167-465+187</f>
        <v>-825</v>
      </c>
      <c r="CF112" s="2">
        <f>-275-458+285+1107-932-CE112</f>
        <v>552</v>
      </c>
      <c r="CG112" s="16">
        <f>2824-219-273-513+394+3661-899-CF112-CE112</f>
        <v>5248</v>
      </c>
      <c r="CH112" s="16">
        <f>66-417-188+3840-488-CG112-CF112-CE112</f>
        <v>-2162</v>
      </c>
      <c r="CI112" s="2">
        <f>-702-75+284+362+378</f>
        <v>247</v>
      </c>
      <c r="CJ112" s="16">
        <f>-524-127+309-1337-1456-CI112</f>
        <v>-3382</v>
      </c>
      <c r="CK112" s="16">
        <f>-180-191+461-1070-1405-CJ112-CI112</f>
        <v>750</v>
      </c>
      <c r="CL112" s="16">
        <f>207-319+361+177-3208-CK112-CJ112-CI112</f>
        <v>-397</v>
      </c>
    </row>
    <row r="113" spans="2:115" x14ac:dyDescent="0.2">
      <c r="B113" s="62" t="s">
        <v>296</v>
      </c>
      <c r="CA113" s="16">
        <f>SUM(CA104:CA112)</f>
        <v>4908</v>
      </c>
      <c r="CE113" s="16">
        <f t="shared" ref="CE113:CK113" si="342">SUM(CE104:CE112)</f>
        <v>4193</v>
      </c>
      <c r="CF113" s="16">
        <f t="shared" si="342"/>
        <v>6319</v>
      </c>
      <c r="CG113" s="16">
        <f t="shared" si="342"/>
        <v>7574</v>
      </c>
      <c r="CH113" s="16">
        <f t="shared" si="342"/>
        <v>4753</v>
      </c>
      <c r="CI113" s="16">
        <f t="shared" si="342"/>
        <v>4040</v>
      </c>
      <c r="CJ113" s="16">
        <f t="shared" si="342"/>
        <v>2271</v>
      </c>
      <c r="CK113" s="16">
        <f t="shared" si="342"/>
        <v>5447</v>
      </c>
      <c r="CL113" s="16">
        <f>SUM(CL104:CL112)</f>
        <v>7048</v>
      </c>
    </row>
    <row r="115" spans="2:115" s="15" customFormat="1" x14ac:dyDescent="0.2">
      <c r="B115" s="65" t="s">
        <v>300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-185-1406+8+154</f>
        <v>-1429</v>
      </c>
      <c r="CB115" s="16"/>
      <c r="CC115" s="16"/>
      <c r="CD115" s="16"/>
      <c r="CE115" s="16">
        <f>-353-19+22+26</f>
        <v>-324</v>
      </c>
      <c r="CF115" s="16">
        <f>-513-35+36-CE115+25</f>
        <v>-163</v>
      </c>
      <c r="CG115" s="16">
        <f>-670-43+41-CF115-CE115+35</f>
        <v>-150</v>
      </c>
      <c r="CH115" s="16">
        <f>-1223-77+55+13-CG115-CF115-CE115</f>
        <v>-595</v>
      </c>
      <c r="CI115" s="16">
        <f>-190-6+6-6</f>
        <v>-196</v>
      </c>
      <c r="CJ115" s="16">
        <f>-1033-22+9-11-CI115</f>
        <v>-861</v>
      </c>
      <c r="CK115" s="16">
        <f>-1232-CJ115-CI115-46+516-8</f>
        <v>287</v>
      </c>
      <c r="CL115" s="16">
        <f>-3024-73+555+189-CK115-CJ115-CI115</f>
        <v>-1583</v>
      </c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">
      <c r="B116" s="109" t="s">
        <v>505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>
        <v>0</v>
      </c>
      <c r="CF116" s="16">
        <v>0</v>
      </c>
      <c r="CG116" s="16">
        <v>0</v>
      </c>
      <c r="CH116" s="16">
        <v>0</v>
      </c>
      <c r="CI116" s="16">
        <v>-9199</v>
      </c>
      <c r="CJ116" s="16">
        <f>-9199-CI116</f>
        <v>0</v>
      </c>
      <c r="CK116" s="16">
        <f>-17493-CJ116-CI116</f>
        <v>-8294</v>
      </c>
      <c r="CL116" s="16">
        <f>-17493-CK116-CJ116-CI116</f>
        <v>0</v>
      </c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">
      <c r="B117" s="65" t="s">
        <v>301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v>-162</v>
      </c>
      <c r="CB117" s="16"/>
      <c r="CC117" s="16"/>
      <c r="CD117" s="16"/>
      <c r="CE117" s="16">
        <v>-175</v>
      </c>
      <c r="CF117" s="16">
        <f>-353-CE117</f>
        <v>-178</v>
      </c>
      <c r="CG117" s="16">
        <f>-572-CF117-CE117</f>
        <v>-219</v>
      </c>
      <c r="CH117" s="16">
        <f>-777-CG117-CF117-CE117</f>
        <v>-205</v>
      </c>
      <c r="CI117" s="16">
        <v>-193</v>
      </c>
      <c r="CJ117" s="16">
        <f>-434-CI117</f>
        <v>-241</v>
      </c>
      <c r="CK117" s="16">
        <f>-683-CJ117-CI117</f>
        <v>-249</v>
      </c>
      <c r="CL117" s="16">
        <f>-974-CK117-CJ117-CI117</f>
        <v>-291</v>
      </c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s="15" customFormat="1" x14ac:dyDescent="0.2">
      <c r="B118" s="65" t="s">
        <v>299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>
        <f>CA115+CA117</f>
        <v>-1591</v>
      </c>
      <c r="CB118" s="16"/>
      <c r="CC118" s="16"/>
      <c r="CD118" s="16"/>
      <c r="CE118" s="16">
        <f t="shared" ref="CE118:CL118" si="343">SUM(CE115:CE117)</f>
        <v>-499</v>
      </c>
      <c r="CF118" s="16">
        <f t="shared" si="343"/>
        <v>-341</v>
      </c>
      <c r="CG118" s="16">
        <f t="shared" si="343"/>
        <v>-369</v>
      </c>
      <c r="CH118" s="16">
        <f t="shared" si="343"/>
        <v>-800</v>
      </c>
      <c r="CI118" s="16">
        <f t="shared" si="343"/>
        <v>-9588</v>
      </c>
      <c r="CJ118" s="16">
        <f t="shared" si="343"/>
        <v>-1102</v>
      </c>
      <c r="CK118" s="16">
        <f t="shared" si="343"/>
        <v>-8256</v>
      </c>
      <c r="CL118" s="16">
        <f t="shared" si="343"/>
        <v>-1874</v>
      </c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</row>
    <row r="119" spans="2:115" x14ac:dyDescent="0.2">
      <c r="CI119" s="16"/>
    </row>
    <row r="120" spans="2:115" x14ac:dyDescent="0.2">
      <c r="B120" s="62" t="s">
        <v>51</v>
      </c>
      <c r="CA120" s="16">
        <f>2000-4879</f>
        <v>-2879</v>
      </c>
      <c r="CE120" s="16">
        <v>-1351</v>
      </c>
      <c r="CF120" s="16">
        <f>-2353-CE120</f>
        <v>-1002</v>
      </c>
      <c r="CG120" s="16">
        <f>-2355-CF120-CE120</f>
        <v>-2</v>
      </c>
      <c r="CH120" s="16">
        <f>-4149-38-CG120-CF120-CE120</f>
        <v>-1832</v>
      </c>
      <c r="CI120" s="16">
        <f>5008-5005+14963-103-99</f>
        <v>14764</v>
      </c>
      <c r="CJ120" s="16">
        <f>14963-3448-99-CI120</f>
        <v>-3348</v>
      </c>
      <c r="CK120" s="16">
        <f>14963-3851-99-CJ120-CI120</f>
        <v>-403</v>
      </c>
      <c r="CL120" s="16">
        <f>16963-9613-99-CK120-CJ120-CI120</f>
        <v>-3762</v>
      </c>
    </row>
    <row r="121" spans="2:115" x14ac:dyDescent="0.2">
      <c r="B121" s="62" t="s">
        <v>302</v>
      </c>
      <c r="CA121" s="16">
        <v>-2526</v>
      </c>
      <c r="CE121" s="16">
        <v>-2661</v>
      </c>
      <c r="CF121" s="16">
        <f>-5286-CE121</f>
        <v>-2625</v>
      </c>
      <c r="CG121" s="16">
        <f>-7913-CF121-CE121</f>
        <v>-2627</v>
      </c>
      <c r="CH121" s="16">
        <f>-10539-CG121-CF121-CE121</f>
        <v>-2626</v>
      </c>
      <c r="CI121" s="16">
        <v>-2772</v>
      </c>
      <c r="CJ121" s="16">
        <f>-5522-CI121</f>
        <v>-2750</v>
      </c>
      <c r="CK121" s="16">
        <f>-8273-CJ121-CI121</f>
        <v>-2751</v>
      </c>
      <c r="CL121" s="16">
        <f>-11025-CK121-CJ121-CI121</f>
        <v>-2752</v>
      </c>
    </row>
    <row r="122" spans="2:115" x14ac:dyDescent="0.2">
      <c r="B122" s="62" t="s">
        <v>306</v>
      </c>
      <c r="CA122" s="16">
        <v>-1470</v>
      </c>
      <c r="CE122" s="16">
        <v>-1955</v>
      </c>
      <c r="CF122" s="16">
        <f>-1965-CE122</f>
        <v>-10</v>
      </c>
      <c r="CG122" s="16">
        <f>-1969-CF122-CE122</f>
        <v>-4</v>
      </c>
      <c r="CH122" s="16">
        <f>-1972-CG122-CF122-CE122</f>
        <v>-3</v>
      </c>
      <c r="CI122" s="16">
        <v>-1324</v>
      </c>
      <c r="CJ122" s="16">
        <f>-1333-CI122</f>
        <v>-9</v>
      </c>
      <c r="CK122" s="16">
        <f>-1350-CJ122-CI122</f>
        <v>-17</v>
      </c>
      <c r="CL122" s="16">
        <f>-1708-CK122-CJ122-CI122</f>
        <v>-358</v>
      </c>
    </row>
    <row r="123" spans="2:115" x14ac:dyDescent="0.2">
      <c r="B123" s="62" t="s">
        <v>307</v>
      </c>
      <c r="CA123" s="16">
        <v>128</v>
      </c>
      <c r="CE123" s="16">
        <v>65</v>
      </c>
      <c r="CF123" s="16">
        <f>113-CE123</f>
        <v>48</v>
      </c>
      <c r="CG123" s="16">
        <f>149-CF123-CE123</f>
        <v>36</v>
      </c>
      <c r="CH123" s="16">
        <f>180-CG123-CF123-CE123</f>
        <v>31</v>
      </c>
      <c r="CI123" s="16">
        <v>127</v>
      </c>
      <c r="CJ123" s="16">
        <f>137-CI123</f>
        <v>10</v>
      </c>
      <c r="CK123" s="16">
        <f>204-CJ123-CI123</f>
        <v>67</v>
      </c>
      <c r="CL123" s="16">
        <f>214-CK123-CJ123-CI123</f>
        <v>10</v>
      </c>
    </row>
    <row r="124" spans="2:115" x14ac:dyDescent="0.2">
      <c r="B124" s="62" t="s">
        <v>294</v>
      </c>
      <c r="CA124" s="16">
        <v>-246</v>
      </c>
      <c r="CE124" s="16">
        <v>-311</v>
      </c>
      <c r="CF124" s="16">
        <f>-641-CE124</f>
        <v>-330</v>
      </c>
      <c r="CG124" s="16">
        <f>-735-CF124-CE124</f>
        <v>-94</v>
      </c>
      <c r="CH124" s="16">
        <f>-752-CG124-CF124-CE124</f>
        <v>-17</v>
      </c>
      <c r="CI124" s="16">
        <v>0</v>
      </c>
      <c r="CJ124" s="2">
        <v>0</v>
      </c>
      <c r="CK124" s="2">
        <v>0</v>
      </c>
      <c r="CL124" s="2">
        <v>0</v>
      </c>
    </row>
    <row r="125" spans="2:115" x14ac:dyDescent="0.2">
      <c r="B125" s="62" t="s">
        <v>12</v>
      </c>
      <c r="CA125" s="16">
        <v>21</v>
      </c>
      <c r="CE125" s="16">
        <v>21</v>
      </c>
      <c r="CF125" s="16">
        <f>20-CE125</f>
        <v>-1</v>
      </c>
      <c r="CG125" s="16">
        <f>50-CF125-CE125</f>
        <v>30</v>
      </c>
      <c r="CH125" s="16">
        <f>48-CG125-CF125-CE125</f>
        <v>-2</v>
      </c>
      <c r="CI125" s="16">
        <v>24</v>
      </c>
      <c r="CJ125" s="16">
        <f>24-CI125</f>
        <v>0</v>
      </c>
      <c r="CK125" s="16">
        <f>56-CJ125-CI125</f>
        <v>32</v>
      </c>
      <c r="CL125" s="16">
        <f>57-CK125-CJ125-CI125</f>
        <v>1</v>
      </c>
    </row>
    <row r="126" spans="2:115" x14ac:dyDescent="0.2">
      <c r="B126" s="62" t="s">
        <v>305</v>
      </c>
      <c r="CA126" s="16">
        <f>SUM(CA120:CA125)</f>
        <v>-6972</v>
      </c>
      <c r="CE126" s="16">
        <f t="shared" ref="CE126:CL126" si="344">SUM(CE120:CE125)</f>
        <v>-6192</v>
      </c>
      <c r="CF126" s="16">
        <f t="shared" si="344"/>
        <v>-3920</v>
      </c>
      <c r="CG126" s="16">
        <f t="shared" si="344"/>
        <v>-2661</v>
      </c>
      <c r="CH126" s="16">
        <f t="shared" si="344"/>
        <v>-4449</v>
      </c>
      <c r="CI126" s="16">
        <f t="shared" si="344"/>
        <v>10819</v>
      </c>
      <c r="CJ126" s="16">
        <f t="shared" si="344"/>
        <v>-6097</v>
      </c>
      <c r="CK126" s="16">
        <f t="shared" si="344"/>
        <v>-3072</v>
      </c>
      <c r="CL126" s="16">
        <f t="shared" si="344"/>
        <v>-6861</v>
      </c>
    </row>
    <row r="127" spans="2:115" x14ac:dyDescent="0.2">
      <c r="B127" s="62" t="s">
        <v>304</v>
      </c>
      <c r="CA127" s="16">
        <v>7</v>
      </c>
      <c r="CE127" s="16">
        <v>8</v>
      </c>
      <c r="CF127" s="16">
        <f>-2-CE127</f>
        <v>-10</v>
      </c>
      <c r="CG127" s="16">
        <f>-18-CF127-CE127</f>
        <v>-16</v>
      </c>
      <c r="CH127" s="16">
        <f>5-CG127-CF127-CE127</f>
        <v>23</v>
      </c>
      <c r="CI127" s="2">
        <v>-18</v>
      </c>
      <c r="CJ127" s="2">
        <f>-27-CI127</f>
        <v>-9</v>
      </c>
      <c r="CK127" s="2">
        <f>-19-CJ127-CI127</f>
        <v>8</v>
      </c>
      <c r="CL127" s="2">
        <f>-65-CK127-CJ127-CI127</f>
        <v>-46</v>
      </c>
    </row>
    <row r="128" spans="2:115" x14ac:dyDescent="0.2">
      <c r="B128" s="62" t="s">
        <v>303</v>
      </c>
      <c r="CA128" s="16">
        <f>+CA127+CA126+CA118+CA113</f>
        <v>-3648</v>
      </c>
      <c r="CE128" s="16">
        <f t="shared" ref="CE128:CL128" si="345">+CE127+CE126+CE118+CE113</f>
        <v>-2490</v>
      </c>
      <c r="CF128" s="16">
        <f t="shared" si="345"/>
        <v>2048</v>
      </c>
      <c r="CG128" s="16">
        <f t="shared" si="345"/>
        <v>4528</v>
      </c>
      <c r="CH128" s="16">
        <f t="shared" si="345"/>
        <v>-473</v>
      </c>
      <c r="CI128" s="16">
        <f t="shared" si="345"/>
        <v>5253</v>
      </c>
      <c r="CJ128" s="16">
        <f t="shared" si="345"/>
        <v>-4937</v>
      </c>
      <c r="CK128" s="16">
        <f t="shared" si="345"/>
        <v>-5873</v>
      </c>
      <c r="CL128" s="16">
        <f t="shared" si="345"/>
        <v>-1733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  <c r="C2" s="102" t="s">
        <v>116</v>
      </c>
    </row>
    <row r="3" spans="1:3" x14ac:dyDescent="0.2">
      <c r="B3" s="102" t="s">
        <v>189</v>
      </c>
      <c r="C3" s="102" t="s">
        <v>260</v>
      </c>
    </row>
    <row r="4" spans="1:3" x14ac:dyDescent="0.2">
      <c r="B4" s="102" t="s">
        <v>27</v>
      </c>
      <c r="C4" s="104" t="s">
        <v>490</v>
      </c>
    </row>
    <row r="5" spans="1:3" x14ac:dyDescent="0.2">
      <c r="B5" s="102" t="s">
        <v>33</v>
      </c>
      <c r="C5" s="102" t="s">
        <v>160</v>
      </c>
    </row>
    <row r="6" spans="1:3" x14ac:dyDescent="0.2">
      <c r="B6" s="102" t="s">
        <v>53</v>
      </c>
      <c r="C6" s="102" t="s">
        <v>261</v>
      </c>
    </row>
    <row r="7" spans="1:3" x14ac:dyDescent="0.2">
      <c r="B7" s="104" t="s">
        <v>286</v>
      </c>
      <c r="C7" s="104" t="s">
        <v>494</v>
      </c>
    </row>
    <row r="8" spans="1:3" x14ac:dyDescent="0.2">
      <c r="B8" s="102" t="s">
        <v>36</v>
      </c>
      <c r="C8" s="102" t="s">
        <v>458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04" t="s">
        <v>484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225</v>
      </c>
      <c r="C4" s="45" t="s">
        <v>226</v>
      </c>
    </row>
    <row r="5" spans="1:3" x14ac:dyDescent="0.2">
      <c r="B5" s="26" t="s">
        <v>33</v>
      </c>
      <c r="C5" s="104" t="s">
        <v>485</v>
      </c>
    </row>
    <row r="6" spans="1:3" x14ac:dyDescent="0.2">
      <c r="B6" s="45" t="s">
        <v>53</v>
      </c>
      <c r="C6" s="104" t="s">
        <v>483</v>
      </c>
    </row>
    <row r="7" spans="1:3" x14ac:dyDescent="0.2">
      <c r="B7" s="104" t="s">
        <v>286</v>
      </c>
      <c r="C7" s="107" t="s">
        <v>487</v>
      </c>
    </row>
    <row r="8" spans="1:3" x14ac:dyDescent="0.2">
      <c r="B8" s="45" t="s">
        <v>36</v>
      </c>
      <c r="C8" s="104" t="s">
        <v>486</v>
      </c>
    </row>
    <row r="9" spans="1:3" x14ac:dyDescent="0.2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40625" defaultRowHeight="12.75" x14ac:dyDescent="0.2"/>
  <cols>
    <col min="1" max="1" width="5.42578125" style="41" bestFit="1" customWidth="1"/>
    <col min="2" max="2" width="11.710937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198</v>
      </c>
    </row>
    <row r="3" spans="1:3" x14ac:dyDescent="0.2">
      <c r="B3" s="41" t="s">
        <v>189</v>
      </c>
      <c r="C3" s="41" t="s">
        <v>199</v>
      </c>
    </row>
    <row r="4" spans="1:3" x14ac:dyDescent="0.2">
      <c r="B4" s="41" t="s">
        <v>33</v>
      </c>
      <c r="C4" s="56" t="s">
        <v>253</v>
      </c>
    </row>
    <row r="5" spans="1:3" x14ac:dyDescent="0.2">
      <c r="B5" s="111" t="s">
        <v>53</v>
      </c>
      <c r="C5" s="121" t="s">
        <v>648</v>
      </c>
    </row>
    <row r="6" spans="1:3" ht="15" x14ac:dyDescent="0.25">
      <c r="B6" s="41" t="s">
        <v>27</v>
      </c>
      <c r="C6"/>
    </row>
    <row r="7" spans="1:3" x14ac:dyDescent="0.2">
      <c r="C7" s="89" t="s">
        <v>387</v>
      </c>
    </row>
    <row r="8" spans="1:3" x14ac:dyDescent="0.2">
      <c r="C8" s="41" t="s">
        <v>215</v>
      </c>
    </row>
    <row r="9" spans="1:3" x14ac:dyDescent="0.2">
      <c r="C9" s="41" t="s">
        <v>216</v>
      </c>
    </row>
    <row r="10" spans="1:3" x14ac:dyDescent="0.2">
      <c r="C10" s="41" t="s">
        <v>217</v>
      </c>
    </row>
    <row r="11" spans="1:3" x14ac:dyDescent="0.2">
      <c r="B11" s="111" t="s">
        <v>227</v>
      </c>
    </row>
    <row r="12" spans="1:3" x14ac:dyDescent="0.2">
      <c r="B12" s="111"/>
      <c r="C12" s="86" t="s">
        <v>641</v>
      </c>
    </row>
    <row r="13" spans="1:3" x14ac:dyDescent="0.2">
      <c r="B13" s="111"/>
      <c r="C13" s="111" t="s">
        <v>643</v>
      </c>
    </row>
    <row r="14" spans="1:3" x14ac:dyDescent="0.2">
      <c r="B14" s="111"/>
    </row>
    <row r="15" spans="1:3" x14ac:dyDescent="0.2">
      <c r="B15" s="111"/>
      <c r="C15" s="86" t="s">
        <v>642</v>
      </c>
    </row>
    <row r="16" spans="1:3" x14ac:dyDescent="0.2">
      <c r="B16" s="111"/>
      <c r="C16" s="86"/>
    </row>
    <row r="17" spans="2:3" x14ac:dyDescent="0.2">
      <c r="B17" s="111"/>
      <c r="C17" s="86" t="s">
        <v>645</v>
      </c>
    </row>
    <row r="18" spans="2:3" x14ac:dyDescent="0.2">
      <c r="B18" s="111"/>
      <c r="C18" s="86"/>
    </row>
    <row r="19" spans="2:3" x14ac:dyDescent="0.2">
      <c r="B19" s="111"/>
      <c r="C19" s="86" t="s">
        <v>646</v>
      </c>
    </row>
    <row r="20" spans="2:3" x14ac:dyDescent="0.2">
      <c r="B20" s="111"/>
      <c r="C20" s="86" t="s">
        <v>647</v>
      </c>
    </row>
    <row r="21" spans="2:3" x14ac:dyDescent="0.2">
      <c r="B21" s="111"/>
      <c r="C21" s="86"/>
    </row>
    <row r="22" spans="2:3" x14ac:dyDescent="0.2">
      <c r="B22" s="111"/>
      <c r="C22" s="41" t="s">
        <v>214</v>
      </c>
    </row>
    <row r="23" spans="2:3" x14ac:dyDescent="0.2">
      <c r="C23" s="56" t="s">
        <v>254</v>
      </c>
    </row>
    <row r="24" spans="2:3" x14ac:dyDescent="0.2">
      <c r="C24" s="56" t="s">
        <v>255</v>
      </c>
    </row>
    <row r="25" spans="2:3" x14ac:dyDescent="0.2">
      <c r="C25" s="56" t="s">
        <v>256</v>
      </c>
    </row>
    <row r="26" spans="2:3" x14ac:dyDescent="0.2">
      <c r="C26" s="56" t="s">
        <v>259</v>
      </c>
    </row>
    <row r="27" spans="2:3" x14ac:dyDescent="0.2">
      <c r="C27" s="56" t="s">
        <v>258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146</v>
      </c>
      <c r="C2" s="104" t="s">
        <v>489</v>
      </c>
    </row>
    <row r="3" spans="1:3" x14ac:dyDescent="0.2">
      <c r="B3" s="62" t="s">
        <v>189</v>
      </c>
      <c r="C3" s="104" t="s">
        <v>285</v>
      </c>
    </row>
    <row r="4" spans="1:3" x14ac:dyDescent="0.2">
      <c r="B4" s="62" t="s">
        <v>27</v>
      </c>
      <c r="C4" s="111" t="s">
        <v>619</v>
      </c>
    </row>
    <row r="5" spans="1:3" x14ac:dyDescent="0.2">
      <c r="C5" s="104" t="s">
        <v>488</v>
      </c>
    </row>
    <row r="6" spans="1:3" x14ac:dyDescent="0.2">
      <c r="C6" s="111" t="s">
        <v>620</v>
      </c>
    </row>
    <row r="7" spans="1:3" x14ac:dyDescent="0.2">
      <c r="B7" s="62" t="s">
        <v>286</v>
      </c>
      <c r="C7" s="63">
        <v>33581</v>
      </c>
    </row>
    <row r="8" spans="1:3" x14ac:dyDescent="0.2">
      <c r="B8" s="62" t="s">
        <v>33</v>
      </c>
      <c r="C8" s="62" t="s">
        <v>287</v>
      </c>
    </row>
    <row r="9" spans="1:3" x14ac:dyDescent="0.2">
      <c r="B9" s="62" t="s">
        <v>288</v>
      </c>
      <c r="C9" s="62" t="s">
        <v>289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221</v>
      </c>
    </row>
    <row r="3" spans="1:3" x14ac:dyDescent="0.2">
      <c r="B3" s="41" t="s">
        <v>189</v>
      </c>
      <c r="C3" s="104" t="s">
        <v>218</v>
      </c>
    </row>
    <row r="4" spans="1:3" x14ac:dyDescent="0.2">
      <c r="B4" s="41" t="s">
        <v>33</v>
      </c>
      <c r="C4" s="41" t="s">
        <v>222</v>
      </c>
    </row>
    <row r="5" spans="1:3" x14ac:dyDescent="0.2">
      <c r="B5" s="41" t="s">
        <v>27</v>
      </c>
      <c r="C5" s="104" t="s">
        <v>469</v>
      </c>
    </row>
    <row r="6" spans="1:3" x14ac:dyDescent="0.2">
      <c r="B6" s="89" t="s">
        <v>36</v>
      </c>
      <c r="C6" s="89" t="s">
        <v>386</v>
      </c>
    </row>
    <row r="7" spans="1:3" x14ac:dyDescent="0.2">
      <c r="B7" s="104" t="s">
        <v>286</v>
      </c>
      <c r="C7" s="104" t="s">
        <v>495</v>
      </c>
    </row>
    <row r="8" spans="1:3" x14ac:dyDescent="0.2">
      <c r="B8" s="89" t="s">
        <v>227</v>
      </c>
    </row>
    <row r="9" spans="1:3" x14ac:dyDescent="0.2">
      <c r="C9" s="86" t="s">
        <v>389</v>
      </c>
    </row>
    <row r="12" spans="1:3" x14ac:dyDescent="0.2">
      <c r="C12" s="86" t="s">
        <v>390</v>
      </c>
    </row>
    <row r="15" spans="1:3" x14ac:dyDescent="0.2">
      <c r="C15" s="86" t="s">
        <v>388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324</v>
      </c>
    </row>
    <row r="3" spans="1:3" x14ac:dyDescent="0.2">
      <c r="B3" s="85" t="s">
        <v>76</v>
      </c>
      <c r="C3" s="85" t="s">
        <v>337</v>
      </c>
    </row>
    <row r="4" spans="1:3" x14ac:dyDescent="0.2">
      <c r="B4" s="89" t="s">
        <v>27</v>
      </c>
      <c r="C4" s="102" t="s">
        <v>466</v>
      </c>
    </row>
    <row r="5" spans="1:3" x14ac:dyDescent="0.2">
      <c r="B5" s="102" t="s">
        <v>465</v>
      </c>
      <c r="C5" s="111" t="s">
        <v>555</v>
      </c>
    </row>
    <row r="6" spans="1:3" x14ac:dyDescent="0.2">
      <c r="B6" s="111" t="s">
        <v>36</v>
      </c>
      <c r="C6" s="111" t="s">
        <v>556</v>
      </c>
    </row>
    <row r="7" spans="1:3" x14ac:dyDescent="0.2">
      <c r="B7" s="111" t="s">
        <v>185</v>
      </c>
      <c r="C7" s="111" t="s">
        <v>460</v>
      </c>
    </row>
    <row r="8" spans="1:3" x14ac:dyDescent="0.2">
      <c r="B8" s="111" t="s">
        <v>33</v>
      </c>
      <c r="C8" s="111" t="s">
        <v>557</v>
      </c>
    </row>
    <row r="9" spans="1:3" x14ac:dyDescent="0.2">
      <c r="B9" s="85" t="s">
        <v>227</v>
      </c>
    </row>
    <row r="10" spans="1:3" x14ac:dyDescent="0.2">
      <c r="C10" s="86" t="s">
        <v>559</v>
      </c>
    </row>
    <row r="15" spans="1:3" x14ac:dyDescent="0.2">
      <c r="C15" s="86" t="s">
        <v>498</v>
      </c>
    </row>
    <row r="16" spans="1:3" x14ac:dyDescent="0.2">
      <c r="C16" s="89" t="s">
        <v>404</v>
      </c>
    </row>
    <row r="19" spans="3:3" x14ac:dyDescent="0.2">
      <c r="C19" s="86"/>
    </row>
    <row r="20" spans="3:3" x14ac:dyDescent="0.2">
      <c r="C20" s="86" t="s">
        <v>560</v>
      </c>
    </row>
    <row r="21" spans="3:3" x14ac:dyDescent="0.2">
      <c r="C21" s="111" t="s">
        <v>558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2025-05-13T00:37:15Z</dcterms:modified>
</cp:coreProperties>
</file>