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2DA71DD8-DE47-4E79-BAC7-7F454B9E9C0F}" xr6:coauthVersionLast="47" xr6:coauthVersionMax="47" xr10:uidLastSave="{00000000-0000-0000-0000-000000000000}"/>
  <bookViews>
    <workbookView xWindow="21170" yWindow="200" windowWidth="17120" windowHeight="20460" xr2:uid="{1DFF4005-BD0C-4C09-A1C4-CA5C3CA974D5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5" i="1"/>
  <c r="AT65" i="2"/>
  <c r="AS65" i="2"/>
  <c r="AR65" i="2"/>
  <c r="V17" i="2"/>
  <c r="U17" i="2"/>
  <c r="V16" i="2"/>
  <c r="U16" i="2"/>
  <c r="V15" i="2"/>
  <c r="U15" i="2"/>
  <c r="V14" i="2"/>
  <c r="U14" i="2"/>
  <c r="V13" i="2"/>
  <c r="U13" i="2"/>
  <c r="AU13" i="2" s="1"/>
  <c r="V12" i="2"/>
  <c r="U12" i="2"/>
  <c r="AU12" i="2" s="1"/>
  <c r="V11" i="2"/>
  <c r="U11" i="2"/>
  <c r="AU11" i="2" s="1"/>
  <c r="V10" i="2"/>
  <c r="U10" i="2"/>
  <c r="AU10" i="2" s="1"/>
  <c r="V9" i="2"/>
  <c r="U9" i="2"/>
  <c r="AU9" i="2" s="1"/>
  <c r="V8" i="2"/>
  <c r="U8" i="2"/>
  <c r="AU8" i="2" s="1"/>
  <c r="V7" i="2"/>
  <c r="U7" i="2"/>
  <c r="AU7" i="2" s="1"/>
  <c r="V6" i="2"/>
  <c r="U6" i="2"/>
  <c r="AU6" i="2" s="1"/>
  <c r="V5" i="2"/>
  <c r="U5" i="2"/>
  <c r="AU5" i="2" s="1"/>
  <c r="V18" i="2"/>
  <c r="U18" i="2"/>
  <c r="V20" i="2"/>
  <c r="U20" i="2"/>
  <c r="V28" i="2"/>
  <c r="U28" i="2"/>
  <c r="V31" i="2"/>
  <c r="U31" i="2"/>
  <c r="V29" i="2"/>
  <c r="V30" i="2" s="1"/>
  <c r="U29" i="2"/>
  <c r="U30" i="2" s="1"/>
  <c r="V26" i="2"/>
  <c r="V27" i="2" s="1"/>
  <c r="U26" i="2"/>
  <c r="U27" i="2" s="1"/>
  <c r="V19" i="2"/>
  <c r="U19" i="2"/>
  <c r="V23" i="2"/>
  <c r="AU23" i="2" s="1"/>
  <c r="U23" i="2"/>
  <c r="V22" i="2"/>
  <c r="U22" i="2"/>
  <c r="V21" i="2"/>
  <c r="V34" i="2" s="1"/>
  <c r="U21" i="2"/>
  <c r="V33" i="2"/>
  <c r="U33" i="2"/>
  <c r="U34" i="2"/>
  <c r="AT34" i="2"/>
  <c r="AT33" i="2"/>
  <c r="AU31" i="2"/>
  <c r="AT31" i="2"/>
  <c r="AT30" i="2" s="1"/>
  <c r="AT29" i="2"/>
  <c r="AU28" i="2"/>
  <c r="AT28" i="2"/>
  <c r="AT27" i="2"/>
  <c r="AU26" i="2"/>
  <c r="AT26" i="2"/>
  <c r="AT24" i="2"/>
  <c r="AT25" i="2" s="1"/>
  <c r="AT23" i="2"/>
  <c r="AT22" i="2"/>
  <c r="AT21" i="2"/>
  <c r="AU20" i="2"/>
  <c r="AT20" i="2"/>
  <c r="AU14" i="2"/>
  <c r="AU15" i="2"/>
  <c r="AU16" i="2"/>
  <c r="AU17" i="2"/>
  <c r="AU18" i="2"/>
  <c r="AU4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Q34" i="2"/>
  <c r="AP34" i="2"/>
  <c r="AO34" i="2"/>
  <c r="AN34" i="2"/>
  <c r="AM34" i="2"/>
  <c r="J34" i="2"/>
  <c r="I34" i="2"/>
  <c r="H34" i="2"/>
  <c r="G34" i="2"/>
  <c r="AT19" i="2"/>
  <c r="I19" i="2"/>
  <c r="M19" i="2"/>
  <c r="N19" i="2"/>
  <c r="N20" i="2" s="1"/>
  <c r="O24" i="2"/>
  <c r="O25" i="2" s="1"/>
  <c r="O27" i="2" s="1"/>
  <c r="O29" i="2" s="1"/>
  <c r="O30" i="2" s="1"/>
  <c r="O19" i="2"/>
  <c r="O33" i="2" s="1"/>
  <c r="P24" i="2"/>
  <c r="P19" i="2"/>
  <c r="P20" i="2" s="1"/>
  <c r="Q24" i="2"/>
  <c r="Q25" i="2" s="1"/>
  <c r="Q27" i="2" s="1"/>
  <c r="Q29" i="2" s="1"/>
  <c r="Q30" i="2" s="1"/>
  <c r="Q19" i="2"/>
  <c r="Q20" i="2" s="1"/>
  <c r="R24" i="2"/>
  <c r="R25" i="2" s="1"/>
  <c r="R27" i="2" s="1"/>
  <c r="R29" i="2" s="1"/>
  <c r="R30" i="2" s="1"/>
  <c r="R19" i="2"/>
  <c r="S24" i="2"/>
  <c r="S25" i="2" s="1"/>
  <c r="S27" i="2" s="1"/>
  <c r="S29" i="2" s="1"/>
  <c r="S30" i="2" s="1"/>
  <c r="S19" i="2"/>
  <c r="S20" i="2" s="1"/>
  <c r="T24" i="2"/>
  <c r="T25" i="2" s="1"/>
  <c r="T27" i="2" s="1"/>
  <c r="T29" i="2" s="1"/>
  <c r="T30" i="2" s="1"/>
  <c r="T19" i="2"/>
  <c r="T20" i="2" s="1"/>
  <c r="AR31" i="2"/>
  <c r="AR28" i="2"/>
  <c r="AL33" i="2"/>
  <c r="AM33" i="2"/>
  <c r="AN33" i="2"/>
  <c r="AO33" i="2"/>
  <c r="AM26" i="2"/>
  <c r="AN26" i="2"/>
  <c r="AM24" i="2"/>
  <c r="AM21" i="2"/>
  <c r="AN24" i="2"/>
  <c r="AN21" i="2"/>
  <c r="AN11" i="2"/>
  <c r="AN10" i="2"/>
  <c r="AN5" i="2"/>
  <c r="AO11" i="2"/>
  <c r="AO10" i="2"/>
  <c r="AO5" i="2"/>
  <c r="AP4" i="2"/>
  <c r="AQ4" i="2"/>
  <c r="AQ26" i="2"/>
  <c r="AP26" i="2"/>
  <c r="AO26" i="2"/>
  <c r="AQ24" i="2"/>
  <c r="AP24" i="2"/>
  <c r="AO24" i="2"/>
  <c r="AR23" i="2"/>
  <c r="AR22" i="2"/>
  <c r="AR24" i="2" s="1"/>
  <c r="AR20" i="2"/>
  <c r="AO21" i="2"/>
  <c r="AQ11" i="2"/>
  <c r="AP11" i="2"/>
  <c r="AQ10" i="2"/>
  <c r="AP10" i="2"/>
  <c r="AR10" i="2"/>
  <c r="AP5" i="2"/>
  <c r="AQ5" i="2"/>
  <c r="AR18" i="2"/>
  <c r="AR17" i="2"/>
  <c r="AR16" i="2"/>
  <c r="AR15" i="2"/>
  <c r="AR14" i="2"/>
  <c r="AR13" i="2"/>
  <c r="AR12" i="2"/>
  <c r="AR11" i="2"/>
  <c r="AR9" i="2"/>
  <c r="AR8" i="2"/>
  <c r="AR7" i="2"/>
  <c r="AR6" i="2"/>
  <c r="AR5" i="2"/>
  <c r="AR4" i="2"/>
  <c r="AS15" i="2"/>
  <c r="AS14" i="2"/>
  <c r="AS13" i="2"/>
  <c r="AS12" i="2"/>
  <c r="AS11" i="2"/>
  <c r="AS9" i="2"/>
  <c r="AS8" i="2"/>
  <c r="AS7" i="2"/>
  <c r="AS6" i="2"/>
  <c r="AS5" i="2"/>
  <c r="AS4" i="2"/>
  <c r="AC3" i="2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AS18" i="2"/>
  <c r="AS17" i="2"/>
  <c r="AS16" i="2"/>
  <c r="AS10" i="2"/>
  <c r="AS31" i="2"/>
  <c r="AS23" i="2"/>
  <c r="N24" i="2"/>
  <c r="M34" i="2"/>
  <c r="H19" i="2"/>
  <c r="H21" i="2" s="1"/>
  <c r="L19" i="2"/>
  <c r="L33" i="2" s="1"/>
  <c r="H26" i="2"/>
  <c r="L26" i="2"/>
  <c r="L24" i="2"/>
  <c r="M53" i="2"/>
  <c r="M51" i="2"/>
  <c r="M49" i="2"/>
  <c r="M54" i="2" s="1"/>
  <c r="M42" i="2"/>
  <c r="M37" i="2"/>
  <c r="M44" i="2" s="1"/>
  <c r="I26" i="2"/>
  <c r="M33" i="2"/>
  <c r="M26" i="2"/>
  <c r="M24" i="2"/>
  <c r="M21" i="2"/>
  <c r="J26" i="2"/>
  <c r="J19" i="2"/>
  <c r="J21" i="2" s="1"/>
  <c r="G26" i="2"/>
  <c r="K26" i="2"/>
  <c r="I21" i="2"/>
  <c r="J24" i="2"/>
  <c r="I24" i="2"/>
  <c r="H24" i="2"/>
  <c r="G24" i="2"/>
  <c r="K24" i="2"/>
  <c r="G19" i="2"/>
  <c r="G21" i="2" s="1"/>
  <c r="K19" i="2"/>
  <c r="L4" i="1"/>
  <c r="L7" i="1" s="1"/>
  <c r="AU19" i="2" l="1"/>
  <c r="AU33" i="2" s="1"/>
  <c r="AU21" i="2"/>
  <c r="AU34" i="2" s="1"/>
  <c r="V24" i="2"/>
  <c r="V25" i="2" s="1"/>
  <c r="U24" i="2"/>
  <c r="U25" i="2" s="1"/>
  <c r="AU22" i="2"/>
  <c r="AU24" i="2" s="1"/>
  <c r="AU25" i="2" s="1"/>
  <c r="AU27" i="2" s="1"/>
  <c r="AU29" i="2" s="1"/>
  <c r="AU30" i="2" s="1"/>
  <c r="T34" i="2"/>
  <c r="T33" i="2"/>
  <c r="P33" i="2"/>
  <c r="R20" i="2"/>
  <c r="S33" i="2"/>
  <c r="O20" i="2"/>
  <c r="S34" i="2"/>
  <c r="R34" i="2"/>
  <c r="P34" i="2"/>
  <c r="O34" i="2"/>
  <c r="R33" i="2"/>
  <c r="P25" i="2"/>
  <c r="P27" i="2" s="1"/>
  <c r="P29" i="2" s="1"/>
  <c r="P30" i="2" s="1"/>
  <c r="Q33" i="2"/>
  <c r="Q34" i="2"/>
  <c r="AQ19" i="2"/>
  <c r="AQ21" i="2" s="1"/>
  <c r="AP19" i="2"/>
  <c r="AP33" i="2" s="1"/>
  <c r="AS26" i="2"/>
  <c r="AR26" i="2"/>
  <c r="AS19" i="2"/>
  <c r="AM25" i="2"/>
  <c r="AM27" i="2" s="1"/>
  <c r="AM29" i="2" s="1"/>
  <c r="AM30" i="2" s="1"/>
  <c r="AR19" i="2"/>
  <c r="AR21" i="2" s="1"/>
  <c r="AR34" i="2" s="1"/>
  <c r="AO25" i="2"/>
  <c r="AO27" i="2" s="1"/>
  <c r="AO29" i="2" s="1"/>
  <c r="AO30" i="2" s="1"/>
  <c r="AS22" i="2"/>
  <c r="AS24" i="2" s="1"/>
  <c r="L21" i="2"/>
  <c r="AN25" i="2"/>
  <c r="AN27" i="2" s="1"/>
  <c r="AN29" i="2" s="1"/>
  <c r="AN30" i="2" s="1"/>
  <c r="AR33" i="2"/>
  <c r="AQ33" i="2"/>
  <c r="AP21" i="2"/>
  <c r="AQ25" i="2"/>
  <c r="AQ27" i="2" s="1"/>
  <c r="AQ29" i="2" s="1"/>
  <c r="AQ30" i="2" s="1"/>
  <c r="M25" i="2"/>
  <c r="M27" i="2" s="1"/>
  <c r="M29" i="2" s="1"/>
  <c r="M30" i="2" s="1"/>
  <c r="K33" i="2"/>
  <c r="M36" i="2"/>
  <c r="G25" i="2"/>
  <c r="G27" i="2" s="1"/>
  <c r="G29" i="2" s="1"/>
  <c r="G30" i="2" s="1"/>
  <c r="H25" i="2"/>
  <c r="H27" i="2" s="1"/>
  <c r="H29" i="2" s="1"/>
  <c r="H30" i="2" s="1"/>
  <c r="I25" i="2"/>
  <c r="I27" i="2" s="1"/>
  <c r="I29" i="2" s="1"/>
  <c r="I30" i="2" s="1"/>
  <c r="K21" i="2"/>
  <c r="J25" i="2"/>
  <c r="J27" i="2" s="1"/>
  <c r="J29" i="2" s="1"/>
  <c r="J30" i="2" s="1"/>
  <c r="K25" i="2" l="1"/>
  <c r="K27" i="2" s="1"/>
  <c r="K29" i="2" s="1"/>
  <c r="K30" i="2" s="1"/>
  <c r="K34" i="2"/>
  <c r="N33" i="2"/>
  <c r="AS20" i="2"/>
  <c r="AS21" i="2" s="1"/>
  <c r="L25" i="2"/>
  <c r="L27" i="2" s="1"/>
  <c r="L29" i="2" s="1"/>
  <c r="L30" i="2" s="1"/>
  <c r="L34" i="2"/>
  <c r="AS33" i="2"/>
  <c r="AR25" i="2"/>
  <c r="AR27" i="2" s="1"/>
  <c r="AR29" i="2" s="1"/>
  <c r="AR30" i="2" s="1"/>
  <c r="AP25" i="2"/>
  <c r="AP27" i="2" s="1"/>
  <c r="AP29" i="2" s="1"/>
  <c r="AP30" i="2" s="1"/>
  <c r="AS34" i="2" l="1"/>
  <c r="AS25" i="2"/>
  <c r="AS27" i="2" s="1"/>
  <c r="N34" i="2"/>
  <c r="N25" i="2"/>
  <c r="N27" i="2" s="1"/>
  <c r="AS28" i="2" l="1"/>
  <c r="AS29" i="2" s="1"/>
  <c r="AS30" i="2" s="1"/>
  <c r="N29" i="2" l="1"/>
  <c r="N3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tc={DEC28CAE-3B18-448E-9B03-42CBC7D02E25}</author>
  </authors>
  <commentList>
    <comment ref="AN19" authorId="0" shapeId="0" xr:uid="{DEC28CAE-3B18-448E-9B03-42CBC7D02E25}">
      <text>
        <t>[Threaded comment]
Your version of Excel allows you to read this threaded comment; however, any edits to it will get removed if the file is opened in a newer version of Excel. Learn more: https://go.microsoft.com/fwlink/?linkid=870924
Comment:
    STJ acquisition</t>
      </text>
    </comment>
  </commentList>
</comments>
</file>

<file path=xl/sharedStrings.xml><?xml version="1.0" encoding="utf-8"?>
<sst xmlns="http://schemas.openxmlformats.org/spreadsheetml/2006/main" count="135" uniqueCount="121">
  <si>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</si>
  <si>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</si>
  <si>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</si>
  <si>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</si>
  <si>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</si>
  <si>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</si>
  <si>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</si>
  <si>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</si>
  <si>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</si>
  <si>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</si>
  <si>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</si>
  <si>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</si>
  <si>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</si>
  <si>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</si>
  <si>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</si>
  <si>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</si>
  <si>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</si>
  <si>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</si>
  <si>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</si>
  <si>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</si>
  <si>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Diabetes</t>
  </si>
  <si>
    <t>Rapid Diagnostics</t>
  </si>
  <si>
    <t>Core Lab</t>
  </si>
  <si>
    <t>Molecular Dx</t>
  </si>
  <si>
    <t>PoC Dx</t>
  </si>
  <si>
    <t>Neuromodulation</t>
  </si>
  <si>
    <t>Structural Heart</t>
  </si>
  <si>
    <t>Vascular</t>
  </si>
  <si>
    <t>Heart Failure</t>
  </si>
  <si>
    <t>Electrophysiology</t>
  </si>
  <si>
    <t>Rhythm</t>
  </si>
  <si>
    <t>Adult Nutritionals</t>
  </si>
  <si>
    <t>Pediatric Nutritionals</t>
  </si>
  <si>
    <t>Pharma</t>
  </si>
  <si>
    <t>Other</t>
  </si>
  <si>
    <t>Operating Expenses</t>
  </si>
  <si>
    <t>Operating Income</t>
  </si>
  <si>
    <t>COGS</t>
  </si>
  <si>
    <t>Gross Profit</t>
  </si>
  <si>
    <t>SG&amp;A</t>
  </si>
  <si>
    <t>R&amp;D</t>
  </si>
  <si>
    <t>Interest Income</t>
  </si>
  <si>
    <t>Pretax Income</t>
  </si>
  <si>
    <t>Taxes</t>
  </si>
  <si>
    <t>Net Income</t>
  </si>
  <si>
    <t>EPS</t>
  </si>
  <si>
    <t>Revenue Growth</t>
  </si>
  <si>
    <t>Q123</t>
  </si>
  <si>
    <t>Q223</t>
  </si>
  <si>
    <t>Q323</t>
  </si>
  <si>
    <t>Q423</t>
  </si>
  <si>
    <t>AP</t>
  </si>
  <si>
    <t>Salaries</t>
  </si>
  <si>
    <t>AL</t>
  </si>
  <si>
    <t>Dividends</t>
  </si>
  <si>
    <t>Pension</t>
  </si>
  <si>
    <t>SE+NCI</t>
  </si>
  <si>
    <t>AR</t>
  </si>
  <si>
    <t>Inventories</t>
  </si>
  <si>
    <t>Prepaids</t>
  </si>
  <si>
    <t>Goodwill</t>
  </si>
  <si>
    <t>PP&amp;E</t>
  </si>
  <si>
    <t>DT</t>
  </si>
  <si>
    <t>Assets</t>
  </si>
  <si>
    <t>L+SE</t>
  </si>
  <si>
    <t>Net Debt</t>
  </si>
  <si>
    <t>Gross Margin</t>
  </si>
  <si>
    <t>Q124</t>
  </si>
  <si>
    <t>Q224</t>
  </si>
  <si>
    <t>Q324</t>
  </si>
  <si>
    <t>Q424</t>
  </si>
  <si>
    <t>Founded:</t>
  </si>
  <si>
    <t>FreeStyle, FreeStyle Libre, sensors, test strips</t>
  </si>
  <si>
    <t>DexCom</t>
  </si>
  <si>
    <t>XIENCE DES</t>
  </si>
  <si>
    <t>StarClose (clip closure system), Perclose ProGlide, Perclose ProStyle (suture system)</t>
  </si>
  <si>
    <t>Assurity, Endurity pacemakers</t>
  </si>
  <si>
    <t>Aveir single and dual-chamber leadless pacemakers</t>
  </si>
  <si>
    <t>Ellipse, Fortify Assura, Gallant ICD</t>
  </si>
  <si>
    <t>Quadra Assura ICD-CRT</t>
  </si>
  <si>
    <t>Confirm Rx, Jot Dx, Assert IQ implantable cardiac monitors</t>
  </si>
  <si>
    <t>TactiFlex, TactiCath ablation catheters</t>
  </si>
  <si>
    <t>FlexAbility irrigated ablation catheter</t>
  </si>
  <si>
    <t>EnSite cardiac mapping system</t>
  </si>
  <si>
    <t>Agilis NxT, Swartz - introducer catheters</t>
  </si>
  <si>
    <t>Advisor HD Grid mapping catheter</t>
  </si>
  <si>
    <t>ViewFlex intracardiac echo catheter</t>
  </si>
  <si>
    <t>HeartMate LVAD</t>
  </si>
  <si>
    <t>CardioMEMS HF System pulmonary artery sensor</t>
  </si>
  <si>
    <t>CentriMag - circulatory support system</t>
  </si>
  <si>
    <t>MitraClip - transcatheter mitral valve repair system</t>
  </si>
  <si>
    <t>TriClip - tricuspid transcatheter repair</t>
  </si>
  <si>
    <t>Epic - aortic valve and mitral valve replacement devices</t>
  </si>
  <si>
    <t>Portico Navitor - transcatheter aortic heart valves</t>
  </si>
  <si>
    <t>Regent and Masters Series mechanical heart valves</t>
  </si>
  <si>
    <t>2017: Closes St. Jude Medical acquisition for $25B.</t>
  </si>
  <si>
    <t>Amplatzer PFO occluder</t>
  </si>
  <si>
    <t>Amplatzer Amulet occluder</t>
  </si>
  <si>
    <t>Tendyne transcatheter mitral valve replacement system</t>
  </si>
  <si>
    <t>Proclaim spinal cord stimulator</t>
  </si>
  <si>
    <t>Infinity DBS system</t>
  </si>
  <si>
    <t>Nutritional</t>
  </si>
  <si>
    <t>Similac</t>
  </si>
  <si>
    <t>Ensure</t>
  </si>
  <si>
    <t>Pediasure</t>
  </si>
  <si>
    <t>Enteral Feeding: Glucerna, Osmolite</t>
  </si>
  <si>
    <t>Diagnostics</t>
  </si>
  <si>
    <t>Alinity</t>
  </si>
  <si>
    <t>core lab</t>
  </si>
  <si>
    <t>Alinity m, m2000</t>
  </si>
  <si>
    <t>molecular diagnostics/PCR</t>
  </si>
  <si>
    <t>iSTAT</t>
  </si>
  <si>
    <t>POC system</t>
  </si>
  <si>
    <t>BinaxNOW, PanBio</t>
  </si>
  <si>
    <t>Rapid diagnostics</t>
  </si>
  <si>
    <t>Pharmaceuticals</t>
  </si>
  <si>
    <t>Creon, Duspatal, Dicetel, Heptral, Transmetil, Samyr, Duphalac, Duphaston, Femoston, TriCor, Serc, Brufen, Sevedol, clarithromycin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</si>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</sst>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3" fontId="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31445</xdr:colOff>
      <xdr:row>0</xdr:row>
      <xdr:rowOff>141654</xdr:rowOff>
    </xdr:from>
    <xdr:to>
      <xdr:col>20</xdr:col>
      <xdr:colOff>31445</xdr:colOff>
      <xdr:row>57</xdr:row>
      <xdr:rowOff>10225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B7D2B6-EE12-C73C-03DF-8EB2CB34AD53}"/>
            </a:ext>
          </a:extLst>
        </xdr:cNvPr>
        <xdr:cNvCxnSpPr/>
      </xdr:nvCxnSpPr>
      <xdr:spPr>
        <a:xfrm>
          <a:off x="12970791" y="141654"/>
          <a:ext cx="0" cy="90663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10594</xdr:colOff>
      <xdr:row>0</xdr:row>
      <xdr:rowOff>43961</xdr:rowOff>
    </xdr:from>
    <xdr:to>
      <xdr:col>46</xdr:col>
      <xdr:colOff>10594</xdr:colOff>
      <xdr:row>74</xdr:row>
      <xdr:rowOff>29308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CB05243-6FE7-4A1D-B9B1-1E4090294687}"/>
            </a:ext>
          </a:extLst>
        </xdr:cNvPr>
        <xdr:cNvCxnSpPr/>
      </xdr:nvCxnSpPr>
      <xdr:spPr>
        <a:xfrm>
          <a:off x="28824940" y="43961"/>
          <a:ext cx="0" cy="119233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F949183-79EC-44FB-BA6D-BE13BEB03E9C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N19" dT="2023-01-07T00:44:46.14" personId="{2F949183-79EC-44FB-BA6D-BE13BEB03E9C}" id="{DEC28CAE-3B18-448E-9B03-42CBC7D02E25}">
    <text>STJ acquisition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650F-BB24-4124-8C12-116214A91726}">
  <dimension ref="B2:M55"/>
  <sheetViews>
    <sheetView tabSelected="1" zoomScale="115" zoomScaleNormal="115" workbookViewId="0">
      <selection activeCell="L2" sqref="L2"/>
    </sheetView>
  </sheetViews>
  <sheetFormatPr defaultRowHeight="12.5" x14ac:dyDescent="0.25"/>
  <cols>
    <col min="1" max="1" width="6" customWidth="1"/>
    <col min="3" max="3" width="12.08984375" customWidth="1"/>
  </cols>
  <sheetData>
    <row r="2" spans="2:13" x14ac:dyDescent="0.25">
      <c r="B2" t="s">
        <v>20</v>
      </c>
      <c r="K2" t="s">
        <v>0</v>
      </c>
      <c r="L2" s="1">
        <v>116</v>
      </c>
    </row>
    <row r="3" spans="2:13" x14ac:dyDescent="0.25">
      <c r="C3" t="s">
        <v>72</v>
      </c>
      <c r="K3" t="s">
        <v>1</v>
      </c>
      <c r="L3" s="2">
        <v>1743.5737770000001</v>
      </c>
      <c r="M3" s="3" t="s">
        <v>68</v>
      </c>
    </row>
    <row r="4" spans="2:13" x14ac:dyDescent="0.25">
      <c r="D4" t="s">
        <v>73</v>
      </c>
      <c r="K4" t="s">
        <v>2</v>
      </c>
      <c r="L4" s="2">
        <f>+L2*L3</f>
        <v>202254.55813200001</v>
      </c>
    </row>
    <row r="5" spans="2:13" x14ac:dyDescent="0.25">
      <c r="B5" t="s">
        <v>27</v>
      </c>
      <c r="K5" t="s">
        <v>3</v>
      </c>
      <c r="L5" s="2">
        <f>6987+232+877</f>
        <v>8096</v>
      </c>
      <c r="M5" s="3" t="s">
        <v>68</v>
      </c>
    </row>
    <row r="6" spans="2:13" x14ac:dyDescent="0.25">
      <c r="C6" t="s">
        <v>74</v>
      </c>
      <c r="K6" t="s">
        <v>4</v>
      </c>
      <c r="L6" s="2">
        <f>13139+1615</f>
        <v>14754</v>
      </c>
      <c r="M6" s="3" t="s">
        <v>68</v>
      </c>
    </row>
    <row r="7" spans="2:13" x14ac:dyDescent="0.25">
      <c r="C7" t="s">
        <v>75</v>
      </c>
      <c r="K7" t="s">
        <v>5</v>
      </c>
      <c r="L7" s="2">
        <f>+L4-L5+L6</f>
        <v>208912.55813200001</v>
      </c>
    </row>
    <row r="8" spans="2:13" x14ac:dyDescent="0.25">
      <c r="B8" t="s">
        <v>30</v>
      </c>
    </row>
    <row r="9" spans="2:13" x14ac:dyDescent="0.25">
      <c r="C9" t="s">
        <v>76</v>
      </c>
    </row>
    <row r="10" spans="2:13" x14ac:dyDescent="0.25">
      <c r="C10" t="s">
        <v>77</v>
      </c>
      <c r="K10" t="s">
        <v>71</v>
      </c>
      <c r="L10">
        <v>1900</v>
      </c>
    </row>
    <row r="11" spans="2:13" x14ac:dyDescent="0.25">
      <c r="C11" t="s">
        <v>78</v>
      </c>
    </row>
    <row r="12" spans="2:13" x14ac:dyDescent="0.25">
      <c r="C12" t="s">
        <v>79</v>
      </c>
    </row>
    <row r="13" spans="2:13" x14ac:dyDescent="0.25">
      <c r="C13" t="s">
        <v>80</v>
      </c>
    </row>
    <row r="14" spans="2:13" x14ac:dyDescent="0.25">
      <c r="B14" t="s">
        <v>29</v>
      </c>
    </row>
    <row r="15" spans="2:13" x14ac:dyDescent="0.25">
      <c r="C15" t="s">
        <v>81</v>
      </c>
      <c r="K15" t="s">
        <v>95</v>
      </c>
    </row>
    <row r="16" spans="2:13" x14ac:dyDescent="0.25">
      <c r="C16" t="s">
        <v>82</v>
      </c>
    </row>
    <row r="17" spans="2:3" x14ac:dyDescent="0.25">
      <c r="C17" t="s">
        <v>83</v>
      </c>
    </row>
    <row r="18" spans="2:3" x14ac:dyDescent="0.25">
      <c r="C18" t="s">
        <v>84</v>
      </c>
    </row>
    <row r="19" spans="2:3" x14ac:dyDescent="0.25">
      <c r="C19" t="s">
        <v>85</v>
      </c>
    </row>
    <row r="20" spans="2:3" x14ac:dyDescent="0.25">
      <c r="C20" t="s">
        <v>86</v>
      </c>
    </row>
    <row r="22" spans="2:3" x14ac:dyDescent="0.25">
      <c r="B22" t="s">
        <v>28</v>
      </c>
    </row>
    <row r="23" spans="2:3" x14ac:dyDescent="0.25">
      <c r="C23" t="s">
        <v>87</v>
      </c>
    </row>
    <row r="24" spans="2:3" x14ac:dyDescent="0.25">
      <c r="C24" t="s">
        <v>88</v>
      </c>
    </row>
    <row r="25" spans="2:3" x14ac:dyDescent="0.25">
      <c r="C25" t="s">
        <v>89</v>
      </c>
    </row>
    <row r="27" spans="2:3" x14ac:dyDescent="0.25">
      <c r="B27" t="s">
        <v>26</v>
      </c>
    </row>
    <row r="28" spans="2:3" x14ac:dyDescent="0.25">
      <c r="C28" t="s">
        <v>90</v>
      </c>
    </row>
    <row r="29" spans="2:3" x14ac:dyDescent="0.25">
      <c r="C29" t="s">
        <v>91</v>
      </c>
    </row>
    <row r="30" spans="2:3" x14ac:dyDescent="0.25">
      <c r="C30" t="s">
        <v>92</v>
      </c>
    </row>
    <row r="31" spans="2:3" x14ac:dyDescent="0.25">
      <c r="C31" t="s">
        <v>93</v>
      </c>
    </row>
    <row r="32" spans="2:3" x14ac:dyDescent="0.25">
      <c r="C32" t="s">
        <v>94</v>
      </c>
    </row>
    <row r="33" spans="2:3" x14ac:dyDescent="0.25">
      <c r="C33" t="s">
        <v>96</v>
      </c>
    </row>
    <row r="34" spans="2:3" x14ac:dyDescent="0.25">
      <c r="C34" t="s">
        <v>97</v>
      </c>
    </row>
    <row r="35" spans="2:3" x14ac:dyDescent="0.25">
      <c r="C35" t="s">
        <v>98</v>
      </c>
    </row>
    <row r="37" spans="2:3" x14ac:dyDescent="0.25">
      <c r="B37" t="s">
        <v>25</v>
      </c>
    </row>
    <row r="38" spans="2:3" x14ac:dyDescent="0.25">
      <c r="C38" t="s">
        <v>99</v>
      </c>
    </row>
    <row r="39" spans="2:3" x14ac:dyDescent="0.25">
      <c r="C39" t="s">
        <v>100</v>
      </c>
    </row>
    <row r="42" spans="2:3" x14ac:dyDescent="0.25">
      <c r="B42" t="s">
        <v>101</v>
      </c>
    </row>
    <row r="43" spans="2:3" x14ac:dyDescent="0.25">
      <c r="C43" t="s">
        <v>102</v>
      </c>
    </row>
    <row r="44" spans="2:3" x14ac:dyDescent="0.25">
      <c r="C44" t="s">
        <v>103</v>
      </c>
    </row>
    <row r="45" spans="2:3" x14ac:dyDescent="0.25">
      <c r="C45" t="s">
        <v>104</v>
      </c>
    </row>
    <row r="46" spans="2:3" x14ac:dyDescent="0.25">
      <c r="C46" t="s">
        <v>105</v>
      </c>
    </row>
    <row r="48" spans="2:3" x14ac:dyDescent="0.25">
      <c r="B48" t="s">
        <v>106</v>
      </c>
    </row>
    <row r="49" spans="2:4" x14ac:dyDescent="0.25">
      <c r="C49" t="s">
        <v>107</v>
      </c>
      <c r="D49" t="s">
        <v>108</v>
      </c>
    </row>
    <row r="50" spans="2:4" x14ac:dyDescent="0.25">
      <c r="C50" t="s">
        <v>109</v>
      </c>
      <c r="D50" t="s">
        <v>110</v>
      </c>
    </row>
    <row r="51" spans="2:4" x14ac:dyDescent="0.25">
      <c r="C51" t="s">
        <v>111</v>
      </c>
      <c r="D51" t="s">
        <v>112</v>
      </c>
    </row>
    <row r="52" spans="2:4" x14ac:dyDescent="0.25">
      <c r="C52" t="s">
        <v>113</v>
      </c>
      <c r="D52" t="s">
        <v>114</v>
      </c>
    </row>
    <row r="54" spans="2:4" x14ac:dyDescent="0.25">
      <c r="B54" t="s">
        <v>115</v>
      </c>
    </row>
    <row r="55" spans="2:4" x14ac:dyDescent="0.25">
      <c r="C55" t="s">
        <v>116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D345-0DC4-47FD-B223-F1519D82AF4D}">
  <dimension ref="A1:BA65"/>
  <sheetViews>
    <sheetView zoomScale="130" zoomScaleNormal="130" workbookViewId="0">
      <pane xSplit="2" ySplit="3" topLeftCell="AM4" activePane="bottomRight" state="frozen"/>
      <selection pane="topRight" activeCell="C1" sqref="C1"/>
      <selection pane="bottomLeft" activeCell="A4" sqref="A4"/>
      <selection pane="bottomRight" activeCell="AU31" sqref="AU31"/>
    </sheetView>
  </sheetViews>
  <sheetFormatPr defaultRowHeight="12.5" x14ac:dyDescent="0.25"/>
  <cols>
    <col min="1" max="1" width="5" bestFit="1" customWidth="1"/>
    <col min="2" max="2" width="17.81640625" customWidth="1"/>
    <col min="3" max="14" width="9.1796875" style="3"/>
  </cols>
  <sheetData>
    <row r="1" spans="1:53" x14ac:dyDescent="0.25">
      <c r="A1" s="11" t="s">
        <v>7</v>
      </c>
    </row>
    <row r="3" spans="1:53" x14ac:dyDescent="0.25"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6</v>
      </c>
      <c r="L3" s="3" t="s">
        <v>17</v>
      </c>
      <c r="M3" s="3" t="s">
        <v>18</v>
      </c>
      <c r="N3" s="3" t="s">
        <v>19</v>
      </c>
      <c r="O3" s="3" t="s">
        <v>47</v>
      </c>
      <c r="P3" s="3" t="s">
        <v>48</v>
      </c>
      <c r="Q3" s="3" t="s">
        <v>49</v>
      </c>
      <c r="R3" s="3" t="s">
        <v>50</v>
      </c>
      <c r="S3" s="3" t="s">
        <v>67</v>
      </c>
      <c r="T3" s="3" t="s">
        <v>68</v>
      </c>
      <c r="U3" s="3" t="s">
        <v>69</v>
      </c>
      <c r="V3" s="3" t="s">
        <v>70</v>
      </c>
      <c r="W3" s="3" t="s">
        <v>117</v>
      </c>
      <c r="X3" s="3" t="s">
        <v>118</v>
      </c>
      <c r="Y3" s="3" t="s">
        <v>119</v>
      </c>
      <c r="Z3" s="3" t="s">
        <v>120</v>
      </c>
      <c r="AA3" s="3"/>
      <c r="AB3">
        <v>2005</v>
      </c>
      <c r="AC3">
        <f>+AB3+1</f>
        <v>2006</v>
      </c>
      <c r="AD3">
        <f t="shared" ref="AD3:AT3" si="0">+AC3+1</f>
        <v>2007</v>
      </c>
      <c r="AE3">
        <f t="shared" si="0"/>
        <v>2008</v>
      </c>
      <c r="AF3">
        <f t="shared" si="0"/>
        <v>2009</v>
      </c>
      <c r="AG3">
        <f t="shared" si="0"/>
        <v>2010</v>
      </c>
      <c r="AH3">
        <f t="shared" si="0"/>
        <v>2011</v>
      </c>
      <c r="AI3">
        <f t="shared" si="0"/>
        <v>2012</v>
      </c>
      <c r="AJ3">
        <f t="shared" si="0"/>
        <v>2013</v>
      </c>
      <c r="AK3">
        <f t="shared" si="0"/>
        <v>2014</v>
      </c>
      <c r="AL3">
        <f t="shared" si="0"/>
        <v>2015</v>
      </c>
      <c r="AM3">
        <f t="shared" si="0"/>
        <v>2016</v>
      </c>
      <c r="AN3">
        <f t="shared" si="0"/>
        <v>2017</v>
      </c>
      <c r="AO3">
        <f t="shared" si="0"/>
        <v>2018</v>
      </c>
      <c r="AP3">
        <f t="shared" si="0"/>
        <v>2019</v>
      </c>
      <c r="AQ3">
        <f t="shared" si="0"/>
        <v>2020</v>
      </c>
      <c r="AR3">
        <f t="shared" si="0"/>
        <v>2021</v>
      </c>
      <c r="AS3">
        <f t="shared" si="0"/>
        <v>2022</v>
      </c>
      <c r="AT3">
        <f t="shared" si="0"/>
        <v>2023</v>
      </c>
      <c r="AU3">
        <f>+AT3+1</f>
        <v>2024</v>
      </c>
      <c r="AV3">
        <f>+AU3+1</f>
        <v>2025</v>
      </c>
      <c r="AW3">
        <f>+AV3+1</f>
        <v>2026</v>
      </c>
      <c r="AX3">
        <f>+AW3+1</f>
        <v>2027</v>
      </c>
      <c r="AY3">
        <f>+AX3+1</f>
        <v>2028</v>
      </c>
      <c r="AZ3">
        <f>+AY3+1</f>
        <v>2029</v>
      </c>
      <c r="BA3">
        <f>+AZ3+1</f>
        <v>2030</v>
      </c>
    </row>
    <row r="4" spans="1:53" s="2" customFormat="1" x14ac:dyDescent="0.25">
      <c r="B4" s="2" t="s">
        <v>34</v>
      </c>
      <c r="C4" s="4"/>
      <c r="D4" s="4"/>
      <c r="E4" s="4"/>
      <c r="F4" s="4"/>
      <c r="G4" s="4">
        <v>16</v>
      </c>
      <c r="H4" s="4">
        <v>22</v>
      </c>
      <c r="I4" s="4">
        <v>11</v>
      </c>
      <c r="J4" s="4">
        <v>3</v>
      </c>
      <c r="K4" s="4">
        <v>3</v>
      </c>
      <c r="L4" s="4">
        <v>2</v>
      </c>
      <c r="M4" s="4">
        <v>3</v>
      </c>
      <c r="N4" s="4"/>
      <c r="AP4" s="2">
        <f>31904-31847</f>
        <v>57</v>
      </c>
      <c r="AQ4" s="2">
        <f>34608-34542</f>
        <v>66</v>
      </c>
      <c r="AR4" s="2">
        <f>SUM(G4:J4)</f>
        <v>52</v>
      </c>
      <c r="AS4" s="2">
        <f>SUM(K4:N4)</f>
        <v>8</v>
      </c>
      <c r="AT4" s="2">
        <f>SUM(O4:R4)</f>
        <v>0</v>
      </c>
      <c r="AU4" s="2">
        <f>SUM(S4:V4)</f>
        <v>0</v>
      </c>
    </row>
    <row r="5" spans="1:53" s="2" customFormat="1" x14ac:dyDescent="0.25">
      <c r="B5" s="2" t="s">
        <v>33</v>
      </c>
      <c r="C5" s="4"/>
      <c r="D5" s="4"/>
      <c r="E5" s="4"/>
      <c r="F5" s="4"/>
      <c r="G5" s="4">
        <v>1070</v>
      </c>
      <c r="H5" s="4">
        <v>1180</v>
      </c>
      <c r="I5" s="4">
        <v>1265</v>
      </c>
      <c r="J5" s="4">
        <v>1203</v>
      </c>
      <c r="K5" s="4">
        <v>1147</v>
      </c>
      <c r="L5" s="4">
        <v>1223</v>
      </c>
      <c r="M5" s="4">
        <v>1326</v>
      </c>
      <c r="N5" s="4">
        <v>1216</v>
      </c>
      <c r="O5" s="2">
        <v>1189</v>
      </c>
      <c r="P5" s="2">
        <v>1287</v>
      </c>
      <c r="Q5" s="2">
        <v>1368</v>
      </c>
      <c r="R5" s="2">
        <v>1222</v>
      </c>
      <c r="S5" s="2">
        <v>1226.4000000000001</v>
      </c>
      <c r="T5" s="2">
        <v>1294</v>
      </c>
      <c r="U5" s="15">
        <f t="shared" ref="U5:U18" si="1">+Q5*1.01</f>
        <v>1381.68</v>
      </c>
      <c r="V5" s="15">
        <f t="shared" ref="V5:V18" si="2">+R5*1.01</f>
        <v>1234.22</v>
      </c>
      <c r="AN5" s="2">
        <f>3307+980</f>
        <v>4287</v>
      </c>
      <c r="AO5" s="2">
        <f>3363+1059</f>
        <v>4422</v>
      </c>
      <c r="AP5" s="2">
        <f>3392+1094</f>
        <v>4486</v>
      </c>
      <c r="AQ5" s="2">
        <f>3209+1094</f>
        <v>4303</v>
      </c>
      <c r="AR5" s="2">
        <f t="shared" ref="AR5:AR20" si="3">SUM(G5:J5)</f>
        <v>4718</v>
      </c>
      <c r="AS5" s="2">
        <f t="shared" ref="AS5:AS20" si="4">SUM(K5:N5)</f>
        <v>4912</v>
      </c>
      <c r="AT5" s="2">
        <f>SUM(O5:R5)</f>
        <v>5066</v>
      </c>
      <c r="AU5" s="2">
        <f>SUM(S5:V5)</f>
        <v>5136.3</v>
      </c>
    </row>
    <row r="6" spans="1:53" s="2" customFormat="1" x14ac:dyDescent="0.25">
      <c r="B6" s="2" t="s">
        <v>24</v>
      </c>
      <c r="C6" s="4"/>
      <c r="D6" s="4"/>
      <c r="E6" s="4"/>
      <c r="F6" s="4"/>
      <c r="G6" s="4">
        <v>129</v>
      </c>
      <c r="H6" s="4">
        <v>137</v>
      </c>
      <c r="I6" s="4">
        <v>135</v>
      </c>
      <c r="J6" s="4">
        <v>135</v>
      </c>
      <c r="K6" s="4">
        <v>128</v>
      </c>
      <c r="L6" s="4">
        <v>139</v>
      </c>
      <c r="M6" s="4">
        <v>127</v>
      </c>
      <c r="N6" s="4">
        <v>131</v>
      </c>
      <c r="O6" s="2">
        <v>134</v>
      </c>
      <c r="P6" s="2">
        <v>142</v>
      </c>
      <c r="Q6" s="2">
        <v>140</v>
      </c>
      <c r="R6" s="2">
        <v>149</v>
      </c>
      <c r="S6" s="2">
        <v>139.4</v>
      </c>
      <c r="T6" s="2">
        <v>156</v>
      </c>
      <c r="U6" s="15">
        <f t="shared" si="1"/>
        <v>141.4</v>
      </c>
      <c r="V6" s="15">
        <f t="shared" si="2"/>
        <v>150.49</v>
      </c>
      <c r="AN6" s="2">
        <v>550</v>
      </c>
      <c r="AO6" s="2">
        <v>553</v>
      </c>
      <c r="AP6" s="2">
        <v>561</v>
      </c>
      <c r="AQ6" s="2">
        <v>516</v>
      </c>
      <c r="AR6" s="2">
        <f t="shared" si="3"/>
        <v>536</v>
      </c>
      <c r="AS6" s="2">
        <f t="shared" si="4"/>
        <v>525</v>
      </c>
      <c r="AT6" s="2">
        <f>SUM(O6:R6)</f>
        <v>565</v>
      </c>
      <c r="AU6" s="2">
        <f t="shared" ref="AU6:AU20" si="5">SUM(S6:V6)</f>
        <v>587.29</v>
      </c>
    </row>
    <row r="7" spans="1:53" s="2" customFormat="1" x14ac:dyDescent="0.25">
      <c r="B7" s="2" t="s">
        <v>23</v>
      </c>
      <c r="C7" s="4"/>
      <c r="D7" s="4"/>
      <c r="E7" s="4"/>
      <c r="F7" s="4"/>
      <c r="G7" s="4">
        <v>447</v>
      </c>
      <c r="H7" s="4">
        <v>290</v>
      </c>
      <c r="I7" s="4">
        <v>345</v>
      </c>
      <c r="J7" s="4">
        <v>345</v>
      </c>
      <c r="K7" s="4">
        <v>420</v>
      </c>
      <c r="L7" s="4">
        <v>212</v>
      </c>
      <c r="M7" s="4">
        <v>183</v>
      </c>
      <c r="N7" s="4">
        <v>180</v>
      </c>
      <c r="O7" s="2">
        <v>147</v>
      </c>
      <c r="P7" s="2">
        <v>141</v>
      </c>
      <c r="Q7" s="2">
        <v>133</v>
      </c>
      <c r="R7" s="2">
        <v>153</v>
      </c>
      <c r="S7" s="2">
        <v>129.4</v>
      </c>
      <c r="T7" s="2">
        <v>127</v>
      </c>
      <c r="U7" s="15">
        <f t="shared" si="1"/>
        <v>134.33000000000001</v>
      </c>
      <c r="V7" s="15">
        <f t="shared" si="2"/>
        <v>154.53</v>
      </c>
      <c r="AN7" s="2">
        <v>463</v>
      </c>
      <c r="AO7" s="2">
        <v>484</v>
      </c>
      <c r="AP7" s="2">
        <v>442</v>
      </c>
      <c r="AQ7" s="2">
        <v>1438</v>
      </c>
      <c r="AR7" s="2">
        <f t="shared" si="3"/>
        <v>1427</v>
      </c>
      <c r="AS7" s="2">
        <f t="shared" si="4"/>
        <v>995</v>
      </c>
      <c r="AT7" s="2">
        <f>SUM(O7:R7)</f>
        <v>574</v>
      </c>
      <c r="AU7" s="2">
        <f t="shared" si="5"/>
        <v>545.26</v>
      </c>
    </row>
    <row r="8" spans="1:53" s="2" customFormat="1" x14ac:dyDescent="0.25">
      <c r="B8" s="2" t="s">
        <v>22</v>
      </c>
      <c r="C8" s="4"/>
      <c r="D8" s="4"/>
      <c r="E8" s="4"/>
      <c r="F8" s="4"/>
      <c r="G8" s="4">
        <v>1182</v>
      </c>
      <c r="H8" s="4">
        <v>1306</v>
      </c>
      <c r="I8" s="4">
        <v>1292</v>
      </c>
      <c r="J8" s="4">
        <v>1348</v>
      </c>
      <c r="K8" s="4">
        <v>1184</v>
      </c>
      <c r="L8" s="4">
        <v>1221</v>
      </c>
      <c r="M8" s="4">
        <v>1219</v>
      </c>
      <c r="N8" s="4">
        <v>1264</v>
      </c>
      <c r="O8" s="2">
        <v>1182</v>
      </c>
      <c r="P8" s="2">
        <v>1293</v>
      </c>
      <c r="Q8" s="2">
        <v>1314</v>
      </c>
      <c r="R8" s="2">
        <v>1370</v>
      </c>
      <c r="S8" s="2">
        <v>1205.4000000000001</v>
      </c>
      <c r="T8" s="2">
        <v>1329</v>
      </c>
      <c r="U8" s="15">
        <f t="shared" si="1"/>
        <v>1327.14</v>
      </c>
      <c r="V8" s="15">
        <f t="shared" si="2"/>
        <v>1383.7</v>
      </c>
      <c r="AN8" s="2">
        <v>4063</v>
      </c>
      <c r="AO8" s="2">
        <v>4386</v>
      </c>
      <c r="AP8" s="2">
        <v>4656</v>
      </c>
      <c r="AQ8" s="2">
        <v>4475</v>
      </c>
      <c r="AR8" s="2">
        <f t="shared" si="3"/>
        <v>5128</v>
      </c>
      <c r="AS8" s="2">
        <f t="shared" si="4"/>
        <v>4888</v>
      </c>
      <c r="AT8" s="2">
        <f>SUM(O8:R8)</f>
        <v>5159</v>
      </c>
      <c r="AU8" s="2">
        <f t="shared" si="5"/>
        <v>5245.24</v>
      </c>
    </row>
    <row r="9" spans="1:53" s="2" customFormat="1" x14ac:dyDescent="0.25">
      <c r="B9" s="2" t="s">
        <v>21</v>
      </c>
      <c r="C9" s="4"/>
      <c r="D9" s="4"/>
      <c r="E9" s="4"/>
      <c r="F9" s="4"/>
      <c r="G9" s="4">
        <v>2256</v>
      </c>
      <c r="H9" s="4">
        <v>1514</v>
      </c>
      <c r="I9" s="4">
        <v>2140</v>
      </c>
      <c r="J9" s="4">
        <v>2643</v>
      </c>
      <c r="K9" s="4">
        <v>3554</v>
      </c>
      <c r="L9" s="4">
        <v>2750</v>
      </c>
      <c r="M9" s="4">
        <v>2142</v>
      </c>
      <c r="N9" s="4">
        <v>1730</v>
      </c>
      <c r="O9" s="2">
        <v>1225</v>
      </c>
      <c r="P9" s="2">
        <v>741</v>
      </c>
      <c r="Q9" s="2">
        <v>862</v>
      </c>
      <c r="R9" s="2">
        <v>862</v>
      </c>
      <c r="S9" s="2">
        <v>741.4</v>
      </c>
      <c r="T9" s="2">
        <v>583</v>
      </c>
      <c r="U9" s="15">
        <f t="shared" si="1"/>
        <v>870.62</v>
      </c>
      <c r="V9" s="15">
        <f t="shared" si="2"/>
        <v>870.62</v>
      </c>
      <c r="AN9" s="2">
        <v>540</v>
      </c>
      <c r="AO9" s="2">
        <v>2072</v>
      </c>
      <c r="AP9" s="2">
        <v>2054</v>
      </c>
      <c r="AQ9" s="2">
        <v>4376</v>
      </c>
      <c r="AR9" s="2">
        <f t="shared" si="3"/>
        <v>8553</v>
      </c>
      <c r="AS9" s="2">
        <f t="shared" si="4"/>
        <v>10176</v>
      </c>
      <c r="AT9" s="2">
        <f>SUM(O9:R9)</f>
        <v>3690</v>
      </c>
      <c r="AU9" s="2">
        <f t="shared" si="5"/>
        <v>3065.64</v>
      </c>
    </row>
    <row r="10" spans="1:53" s="2" customFormat="1" x14ac:dyDescent="0.25">
      <c r="B10" s="2" t="s">
        <v>32</v>
      </c>
      <c r="C10" s="4"/>
      <c r="D10" s="4"/>
      <c r="E10" s="4"/>
      <c r="F10" s="4"/>
      <c r="G10" s="4">
        <v>1066</v>
      </c>
      <c r="H10" s="4">
        <v>1093</v>
      </c>
      <c r="I10" s="4">
        <v>1100</v>
      </c>
      <c r="J10" s="4">
        <v>1039</v>
      </c>
      <c r="K10" s="4">
        <v>847</v>
      </c>
      <c r="L10" s="4">
        <v>925</v>
      </c>
      <c r="M10" s="4">
        <v>827</v>
      </c>
      <c r="N10" s="4">
        <v>882</v>
      </c>
      <c r="O10" s="2">
        <v>924</v>
      </c>
      <c r="P10" s="2">
        <v>1024</v>
      </c>
      <c r="Q10" s="2">
        <v>1001</v>
      </c>
      <c r="R10" s="2">
        <v>985</v>
      </c>
      <c r="S10" s="2">
        <v>1009.4</v>
      </c>
      <c r="T10" s="2">
        <v>1059</v>
      </c>
      <c r="U10" s="15">
        <f t="shared" si="1"/>
        <v>1011.01</v>
      </c>
      <c r="V10" s="15">
        <f t="shared" si="2"/>
        <v>994.85</v>
      </c>
      <c r="AN10" s="2">
        <f>2112+1777</f>
        <v>3889</v>
      </c>
      <c r="AO10" s="2">
        <f>1843+2254</f>
        <v>4097</v>
      </c>
      <c r="AP10" s="2">
        <f>1879+2282</f>
        <v>4161</v>
      </c>
      <c r="AQ10" s="2">
        <f>2140+1987</f>
        <v>4127</v>
      </c>
      <c r="AR10" s="2">
        <f>SUM(G10:J10)</f>
        <v>4298</v>
      </c>
      <c r="AS10" s="2">
        <f>SUM(K10:N10)</f>
        <v>3481</v>
      </c>
      <c r="AT10" s="2">
        <f>SUM(O10:R10)</f>
        <v>3934</v>
      </c>
      <c r="AU10" s="2">
        <f t="shared" si="5"/>
        <v>4074.2599999999998</v>
      </c>
    </row>
    <row r="11" spans="1:53" s="2" customFormat="1" x14ac:dyDescent="0.25">
      <c r="B11" s="2" t="s">
        <v>31</v>
      </c>
      <c r="C11" s="4"/>
      <c r="D11" s="4"/>
      <c r="E11" s="4"/>
      <c r="F11" s="4"/>
      <c r="G11" s="4">
        <v>970</v>
      </c>
      <c r="H11" s="4">
        <v>1015</v>
      </c>
      <c r="I11" s="4">
        <v>1008</v>
      </c>
      <c r="J11" s="4">
        <v>1003</v>
      </c>
      <c r="K11" s="4">
        <v>1047</v>
      </c>
      <c r="L11" s="4">
        <v>1028</v>
      </c>
      <c r="M11" s="4">
        <v>968</v>
      </c>
      <c r="N11" s="4">
        <v>935</v>
      </c>
      <c r="O11" s="2">
        <v>1043</v>
      </c>
      <c r="P11" s="2">
        <v>1052</v>
      </c>
      <c r="Q11" s="2">
        <v>1072</v>
      </c>
      <c r="R11" s="2">
        <v>1053</v>
      </c>
      <c r="S11" s="2">
        <v>1059.4000000000001</v>
      </c>
      <c r="T11" s="2">
        <v>1091</v>
      </c>
      <c r="U11" s="15">
        <f t="shared" si="1"/>
        <v>1082.72</v>
      </c>
      <c r="V11" s="15">
        <f t="shared" si="2"/>
        <v>1063.53</v>
      </c>
      <c r="AN11" s="2">
        <f>1782+1254</f>
        <v>3036</v>
      </c>
      <c r="AO11" s="2">
        <f>1900+1232</f>
        <v>3132</v>
      </c>
      <c r="AP11" s="2">
        <f>1231+2017</f>
        <v>3248</v>
      </c>
      <c r="AQ11" s="2">
        <f>1292+2228</f>
        <v>3520</v>
      </c>
      <c r="AR11" s="2">
        <f t="shared" si="3"/>
        <v>3996</v>
      </c>
      <c r="AS11" s="2">
        <f t="shared" si="4"/>
        <v>3978</v>
      </c>
      <c r="AT11" s="2">
        <f>SUM(O11:R11)</f>
        <v>4220</v>
      </c>
      <c r="AU11" s="2">
        <f t="shared" si="5"/>
        <v>4296.6499999999996</v>
      </c>
    </row>
    <row r="12" spans="1:53" s="2" customFormat="1" x14ac:dyDescent="0.25">
      <c r="B12" s="2" t="s">
        <v>25</v>
      </c>
      <c r="C12" s="4"/>
      <c r="D12" s="4"/>
      <c r="E12" s="4"/>
      <c r="F12" s="4"/>
      <c r="G12" s="4">
        <v>184</v>
      </c>
      <c r="H12" s="4">
        <v>210</v>
      </c>
      <c r="I12" s="4">
        <v>190</v>
      </c>
      <c r="J12" s="4">
        <v>197</v>
      </c>
      <c r="K12" s="4">
        <v>179</v>
      </c>
      <c r="L12" s="4">
        <v>197</v>
      </c>
      <c r="M12" s="4">
        <v>192</v>
      </c>
      <c r="N12" s="4">
        <v>202</v>
      </c>
      <c r="O12" s="2">
        <v>196</v>
      </c>
      <c r="P12" s="2">
        <v>227</v>
      </c>
      <c r="Q12" s="2">
        <v>227</v>
      </c>
      <c r="R12" s="2">
        <v>240</v>
      </c>
      <c r="S12" s="2">
        <v>226</v>
      </c>
      <c r="T12" s="2">
        <v>243</v>
      </c>
      <c r="U12" s="15">
        <f t="shared" si="1"/>
        <v>229.27</v>
      </c>
      <c r="V12" s="15">
        <f t="shared" si="2"/>
        <v>242.4</v>
      </c>
      <c r="AN12" s="2">
        <v>808</v>
      </c>
      <c r="AO12" s="2">
        <v>864</v>
      </c>
      <c r="AP12" s="2">
        <v>831</v>
      </c>
      <c r="AQ12" s="2">
        <v>702</v>
      </c>
      <c r="AR12" s="2">
        <f t="shared" si="3"/>
        <v>781</v>
      </c>
      <c r="AS12" s="2">
        <f t="shared" si="4"/>
        <v>770</v>
      </c>
      <c r="AT12" s="2">
        <f>SUM(O12:R12)</f>
        <v>890</v>
      </c>
      <c r="AU12" s="2">
        <f t="shared" si="5"/>
        <v>940.67</v>
      </c>
    </row>
    <row r="13" spans="1:53" s="2" customFormat="1" x14ac:dyDescent="0.25">
      <c r="B13" s="2" t="s">
        <v>28</v>
      </c>
      <c r="C13" s="4"/>
      <c r="D13" s="4"/>
      <c r="E13" s="4"/>
      <c r="F13" s="4"/>
      <c r="G13" s="4">
        <v>194</v>
      </c>
      <c r="H13" s="4">
        <v>227</v>
      </c>
      <c r="I13" s="4">
        <v>229</v>
      </c>
      <c r="J13" s="4">
        <v>239</v>
      </c>
      <c r="K13" s="4">
        <v>221</v>
      </c>
      <c r="L13" s="4">
        <v>241</v>
      </c>
      <c r="M13" s="4">
        <v>228</v>
      </c>
      <c r="N13" s="4">
        <v>230</v>
      </c>
      <c r="O13" s="2">
        <v>281</v>
      </c>
      <c r="P13" s="2">
        <v>295</v>
      </c>
      <c r="Q13" s="2">
        <v>284</v>
      </c>
      <c r="R13" s="2">
        <v>301</v>
      </c>
      <c r="S13" s="2">
        <v>305</v>
      </c>
      <c r="T13" s="2">
        <v>321</v>
      </c>
      <c r="U13" s="15">
        <f t="shared" si="1"/>
        <v>286.83999999999997</v>
      </c>
      <c r="V13" s="15">
        <f t="shared" si="2"/>
        <v>304.01</v>
      </c>
      <c r="AN13" s="2">
        <v>643</v>
      </c>
      <c r="AO13" s="2">
        <v>646</v>
      </c>
      <c r="AP13" s="2">
        <v>769</v>
      </c>
      <c r="AQ13" s="2">
        <v>740</v>
      </c>
      <c r="AR13" s="2">
        <f t="shared" si="3"/>
        <v>889</v>
      </c>
      <c r="AS13" s="2">
        <f t="shared" si="4"/>
        <v>920</v>
      </c>
      <c r="AT13" s="2">
        <f>SUM(O13:R13)</f>
        <v>1161</v>
      </c>
      <c r="AU13" s="2">
        <f t="shared" si="5"/>
        <v>1216.8499999999999</v>
      </c>
    </row>
    <row r="14" spans="1:53" s="2" customFormat="1" x14ac:dyDescent="0.25">
      <c r="B14" s="2" t="s">
        <v>26</v>
      </c>
      <c r="C14" s="4"/>
      <c r="D14" s="4"/>
      <c r="E14" s="4"/>
      <c r="F14" s="4"/>
      <c r="G14" s="4">
        <v>377</v>
      </c>
      <c r="H14" s="4">
        <v>422</v>
      </c>
      <c r="I14" s="4">
        <v>392</v>
      </c>
      <c r="J14" s="4">
        <v>419</v>
      </c>
      <c r="K14" s="4">
        <v>411</v>
      </c>
      <c r="L14" s="4">
        <v>440</v>
      </c>
      <c r="M14" s="4">
        <v>420</v>
      </c>
      <c r="N14" s="4">
        <v>441</v>
      </c>
      <c r="O14" s="2">
        <v>461</v>
      </c>
      <c r="P14" s="2">
        <v>498</v>
      </c>
      <c r="Q14" s="2">
        <v>487</v>
      </c>
      <c r="R14" s="2">
        <v>498</v>
      </c>
      <c r="S14" s="2">
        <v>515</v>
      </c>
      <c r="T14" s="2">
        <v>564</v>
      </c>
      <c r="U14" s="15">
        <f t="shared" si="1"/>
        <v>491.87</v>
      </c>
      <c r="V14" s="15">
        <f t="shared" si="2"/>
        <v>502.98</v>
      </c>
      <c r="AN14" s="2">
        <v>1083</v>
      </c>
      <c r="AO14" s="2">
        <v>1239</v>
      </c>
      <c r="AP14" s="2">
        <v>1400</v>
      </c>
      <c r="AQ14" s="2">
        <v>1247</v>
      </c>
      <c r="AR14" s="2">
        <f t="shared" si="3"/>
        <v>1610</v>
      </c>
      <c r="AS14" s="2">
        <f t="shared" si="4"/>
        <v>1712</v>
      </c>
      <c r="AT14" s="2">
        <f>SUM(O14:R14)</f>
        <v>1944</v>
      </c>
      <c r="AU14" s="2">
        <f t="shared" si="5"/>
        <v>2073.85</v>
      </c>
    </row>
    <row r="15" spans="1:53" s="2" customFormat="1" x14ac:dyDescent="0.25">
      <c r="B15" s="2" t="s">
        <v>29</v>
      </c>
      <c r="C15" s="4"/>
      <c r="D15" s="4"/>
      <c r="E15" s="4"/>
      <c r="F15" s="4"/>
      <c r="G15" s="4">
        <v>431</v>
      </c>
      <c r="H15" s="4">
        <v>487</v>
      </c>
      <c r="I15" s="4">
        <v>485</v>
      </c>
      <c r="J15" s="4">
        <v>504</v>
      </c>
      <c r="K15" s="4">
        <v>485</v>
      </c>
      <c r="L15" s="4">
        <v>486</v>
      </c>
      <c r="M15" s="4">
        <v>469</v>
      </c>
      <c r="N15" s="4">
        <v>487</v>
      </c>
      <c r="O15" s="2">
        <v>505</v>
      </c>
      <c r="P15" s="2">
        <v>553</v>
      </c>
      <c r="Q15" s="2">
        <v>544</v>
      </c>
      <c r="R15" s="2">
        <v>593</v>
      </c>
      <c r="S15" s="2">
        <v>587</v>
      </c>
      <c r="T15" s="2">
        <v>627</v>
      </c>
      <c r="U15" s="15">
        <f t="shared" si="1"/>
        <v>549.44000000000005</v>
      </c>
      <c r="V15" s="15">
        <f t="shared" si="2"/>
        <v>598.92999999999995</v>
      </c>
      <c r="AN15" s="2">
        <v>1382</v>
      </c>
      <c r="AO15" s="2">
        <v>1561</v>
      </c>
      <c r="AP15" s="2">
        <v>1721</v>
      </c>
      <c r="AQ15" s="2">
        <v>1578</v>
      </c>
      <c r="AR15" s="2">
        <f t="shared" si="3"/>
        <v>1907</v>
      </c>
      <c r="AS15" s="2">
        <f t="shared" si="4"/>
        <v>1927</v>
      </c>
      <c r="AT15" s="2">
        <f>SUM(O15:R15)</f>
        <v>2195</v>
      </c>
      <c r="AU15" s="2">
        <f t="shared" si="5"/>
        <v>2362.37</v>
      </c>
    </row>
    <row r="16" spans="1:53" s="2" customFormat="1" x14ac:dyDescent="0.25">
      <c r="B16" s="2" t="s">
        <v>30</v>
      </c>
      <c r="C16" s="4"/>
      <c r="D16" s="4"/>
      <c r="E16" s="4"/>
      <c r="F16" s="4"/>
      <c r="G16" s="4">
        <v>519</v>
      </c>
      <c r="H16" s="4">
        <v>567</v>
      </c>
      <c r="I16" s="4">
        <v>571</v>
      </c>
      <c r="J16" s="4">
        <v>541</v>
      </c>
      <c r="K16" s="4">
        <v>524</v>
      </c>
      <c r="L16" s="4">
        <v>548</v>
      </c>
      <c r="M16" s="4">
        <v>533</v>
      </c>
      <c r="N16" s="4">
        <v>514</v>
      </c>
      <c r="O16" s="2">
        <v>527</v>
      </c>
      <c r="P16" s="2">
        <v>583</v>
      </c>
      <c r="Q16" s="2">
        <v>563</v>
      </c>
      <c r="R16" s="2">
        <v>582</v>
      </c>
      <c r="S16" s="2">
        <v>562</v>
      </c>
      <c r="T16" s="2">
        <v>607</v>
      </c>
      <c r="U16" s="15">
        <f t="shared" si="1"/>
        <v>568.63</v>
      </c>
      <c r="V16" s="15">
        <f t="shared" si="2"/>
        <v>587.82000000000005</v>
      </c>
      <c r="AN16" s="2">
        <v>2103</v>
      </c>
      <c r="AO16" s="2">
        <v>2198</v>
      </c>
      <c r="AP16" s="2">
        <v>2144</v>
      </c>
      <c r="AQ16" s="2">
        <v>1914</v>
      </c>
      <c r="AR16" s="2">
        <f t="shared" si="3"/>
        <v>2198</v>
      </c>
      <c r="AS16" s="2">
        <f t="shared" si="4"/>
        <v>2119</v>
      </c>
      <c r="AT16" s="2">
        <f>SUM(O16:R16)</f>
        <v>2255</v>
      </c>
      <c r="AU16" s="2">
        <f t="shared" si="5"/>
        <v>2325.4500000000003</v>
      </c>
    </row>
    <row r="17" spans="2:47" s="2" customFormat="1" x14ac:dyDescent="0.25">
      <c r="B17" s="2" t="s">
        <v>27</v>
      </c>
      <c r="C17" s="4"/>
      <c r="D17" s="4"/>
      <c r="E17" s="4"/>
      <c r="F17" s="4"/>
      <c r="G17" s="4">
        <v>635</v>
      </c>
      <c r="H17" s="4">
        <v>697</v>
      </c>
      <c r="I17" s="4">
        <v>644</v>
      </c>
      <c r="J17" s="4">
        <v>678</v>
      </c>
      <c r="K17" s="4">
        <v>619</v>
      </c>
      <c r="L17" s="4">
        <v>653</v>
      </c>
      <c r="M17" s="4">
        <v>606</v>
      </c>
      <c r="N17" s="4">
        <v>605</v>
      </c>
      <c r="O17" s="2">
        <v>617</v>
      </c>
      <c r="P17" s="2">
        <v>715</v>
      </c>
      <c r="Q17" s="2">
        <v>672</v>
      </c>
      <c r="R17" s="2">
        <v>677</v>
      </c>
      <c r="S17" s="2">
        <v>689</v>
      </c>
      <c r="T17" s="2">
        <v>724</v>
      </c>
      <c r="U17" s="15">
        <f t="shared" si="1"/>
        <v>678.72</v>
      </c>
      <c r="V17" s="15">
        <f t="shared" si="2"/>
        <v>683.77</v>
      </c>
      <c r="AN17" s="2">
        <v>2892</v>
      </c>
      <c r="AO17" s="2">
        <v>2929</v>
      </c>
      <c r="AP17" s="2">
        <v>2850</v>
      </c>
      <c r="AQ17" s="2">
        <v>2339</v>
      </c>
      <c r="AR17" s="2">
        <f t="shared" si="3"/>
        <v>2654</v>
      </c>
      <c r="AS17" s="2">
        <f t="shared" si="4"/>
        <v>2483</v>
      </c>
      <c r="AT17" s="2">
        <f>SUM(O17:R17)</f>
        <v>2681</v>
      </c>
      <c r="AU17" s="2">
        <f t="shared" si="5"/>
        <v>2775.4900000000002</v>
      </c>
    </row>
    <row r="18" spans="2:47" s="2" customFormat="1" x14ac:dyDescent="0.25">
      <c r="B18" s="2" t="s">
        <v>20</v>
      </c>
      <c r="C18" s="4"/>
      <c r="D18" s="4"/>
      <c r="E18" s="4"/>
      <c r="F18" s="4"/>
      <c r="G18" s="4">
        <v>980</v>
      </c>
      <c r="H18" s="4">
        <v>1056</v>
      </c>
      <c r="I18" s="4">
        <v>1121</v>
      </c>
      <c r="J18" s="4">
        <v>1171</v>
      </c>
      <c r="K18" s="4">
        <v>1126</v>
      </c>
      <c r="L18" s="4">
        <v>1192</v>
      </c>
      <c r="M18" s="4">
        <v>1167</v>
      </c>
      <c r="N18" s="4">
        <v>1271</v>
      </c>
      <c r="O18" s="2">
        <v>1313</v>
      </c>
      <c r="P18" s="2">
        <v>1424</v>
      </c>
      <c r="Q18" s="2">
        <v>1472</v>
      </c>
      <c r="R18" s="2">
        <v>1552</v>
      </c>
      <c r="S18" s="2">
        <v>1569</v>
      </c>
      <c r="T18" s="2">
        <v>1648</v>
      </c>
      <c r="U18" s="15">
        <f>+Q18*1.01</f>
        <v>1486.72</v>
      </c>
      <c r="V18" s="15">
        <f>+R18*1.01</f>
        <v>1567.52</v>
      </c>
      <c r="AO18" s="2">
        <v>1933</v>
      </c>
      <c r="AP18" s="2">
        <v>2524</v>
      </c>
      <c r="AQ18" s="2">
        <v>3267</v>
      </c>
      <c r="AR18" s="2">
        <f t="shared" si="3"/>
        <v>4328</v>
      </c>
      <c r="AS18" s="2">
        <f t="shared" si="4"/>
        <v>4756</v>
      </c>
      <c r="AT18" s="2">
        <f>SUM(O18:R18)</f>
        <v>5761</v>
      </c>
      <c r="AU18" s="2">
        <f t="shared" si="5"/>
        <v>6271.24</v>
      </c>
    </row>
    <row r="19" spans="2:47" s="5" customFormat="1" ht="13" x14ac:dyDescent="0.3">
      <c r="B19" s="5" t="s">
        <v>8</v>
      </c>
      <c r="C19" s="6"/>
      <c r="D19" s="6"/>
      <c r="E19" s="6"/>
      <c r="F19" s="6"/>
      <c r="G19" s="6">
        <f t="shared" ref="G19:J19" si="6">SUM(G4:G18)</f>
        <v>10456</v>
      </c>
      <c r="H19" s="6">
        <f t="shared" si="6"/>
        <v>10223</v>
      </c>
      <c r="I19" s="6">
        <f t="shared" si="6"/>
        <v>10928</v>
      </c>
      <c r="J19" s="6">
        <f t="shared" si="6"/>
        <v>11468</v>
      </c>
      <c r="K19" s="6">
        <f>SUM(K4:K18)</f>
        <v>11895</v>
      </c>
      <c r="L19" s="6">
        <f>SUM(L4:L18)</f>
        <v>11257</v>
      </c>
      <c r="M19" s="6">
        <f>SUM(M5:M18)</f>
        <v>10407</v>
      </c>
      <c r="N19" s="6">
        <f>SUM(N5:N18)</f>
        <v>10088</v>
      </c>
      <c r="O19" s="6">
        <f>SUM(O5:O18)</f>
        <v>9744</v>
      </c>
      <c r="P19" s="6">
        <f>SUM(P5:P18)</f>
        <v>9975</v>
      </c>
      <c r="Q19" s="6">
        <f>SUM(Q5:Q18)</f>
        <v>10139</v>
      </c>
      <c r="R19" s="6">
        <f>SUM(R5:R18)</f>
        <v>10237</v>
      </c>
      <c r="S19" s="6">
        <f>SUM(S5:S18)</f>
        <v>9963.8000000000011</v>
      </c>
      <c r="T19" s="6">
        <f>SUM(T5:T18)</f>
        <v>10373</v>
      </c>
      <c r="U19" s="6">
        <f>+Q19*1.01</f>
        <v>10240.39</v>
      </c>
      <c r="V19" s="6">
        <f>+R19*1.01</f>
        <v>10339.370000000001</v>
      </c>
      <c r="AK19" s="5">
        <v>20247</v>
      </c>
      <c r="AL19" s="5">
        <v>20405</v>
      </c>
      <c r="AM19" s="5">
        <v>20853</v>
      </c>
      <c r="AN19" s="5">
        <v>27390</v>
      </c>
      <c r="AO19" s="5">
        <v>30578</v>
      </c>
      <c r="AP19" s="5">
        <f>SUM(AP4:AP18)</f>
        <v>31904</v>
      </c>
      <c r="AQ19" s="5">
        <f>SUM(AQ4:AQ18)</f>
        <v>34608</v>
      </c>
      <c r="AR19" s="5">
        <f>SUM(AR4:AR18)</f>
        <v>43075</v>
      </c>
      <c r="AS19" s="5">
        <f>SUM(AS4:AS18)</f>
        <v>43650</v>
      </c>
      <c r="AT19" s="5">
        <f>SUM(AT4:AT18)</f>
        <v>40095</v>
      </c>
      <c r="AU19" s="5">
        <f>SUM(AU4:AU18)</f>
        <v>40916.55999999999</v>
      </c>
    </row>
    <row r="20" spans="2:47" s="2" customFormat="1" x14ac:dyDescent="0.25">
      <c r="B20" s="2" t="s">
        <v>37</v>
      </c>
      <c r="C20" s="4"/>
      <c r="D20" s="4"/>
      <c r="E20" s="4"/>
      <c r="F20" s="4"/>
      <c r="G20" s="4">
        <v>4401</v>
      </c>
      <c r="H20" s="4">
        <v>4947</v>
      </c>
      <c r="I20" s="4">
        <v>4423</v>
      </c>
      <c r="J20" s="4">
        <v>4766</v>
      </c>
      <c r="K20" s="4">
        <v>4987</v>
      </c>
      <c r="L20" s="4">
        <v>4933</v>
      </c>
      <c r="M20" s="4">
        <v>4629</v>
      </c>
      <c r="N20" s="4">
        <f>+N19-N21</f>
        <v>4474</v>
      </c>
      <c r="O20" s="2">
        <f>+O19-O21</f>
        <v>4299</v>
      </c>
      <c r="P20" s="2">
        <f>+P19-P21</f>
        <v>4449</v>
      </c>
      <c r="Q20" s="2">
        <f>+Q19-Q21</f>
        <v>4555</v>
      </c>
      <c r="R20" s="2">
        <f>+R19-R21</f>
        <v>4515</v>
      </c>
      <c r="S20" s="2">
        <f>+S19-S21</f>
        <v>4416.8000000000011</v>
      </c>
      <c r="T20" s="2">
        <f>+T19-T21</f>
        <v>4564</v>
      </c>
      <c r="U20" s="2">
        <f>+U19-U21</f>
        <v>4505.7715999999991</v>
      </c>
      <c r="V20" s="2">
        <f>+V19-V21</f>
        <v>4549.3227999999999</v>
      </c>
      <c r="AM20" s="2">
        <v>9094</v>
      </c>
      <c r="AN20" s="2">
        <v>12409</v>
      </c>
      <c r="AO20" s="2">
        <v>12706</v>
      </c>
      <c r="AP20" s="2">
        <v>13231</v>
      </c>
      <c r="AQ20" s="2">
        <v>15003</v>
      </c>
      <c r="AR20" s="2">
        <f t="shared" si="3"/>
        <v>18537</v>
      </c>
      <c r="AS20" s="2">
        <f t="shared" si="4"/>
        <v>19023</v>
      </c>
      <c r="AT20" s="2">
        <f>SUM(O20:R20)</f>
        <v>17818</v>
      </c>
      <c r="AU20" s="2">
        <f t="shared" si="5"/>
        <v>18035.894399999997</v>
      </c>
    </row>
    <row r="21" spans="2:47" s="2" customFormat="1" x14ac:dyDescent="0.25">
      <c r="B21" s="2" t="s">
        <v>38</v>
      </c>
      <c r="C21" s="4"/>
      <c r="D21" s="4"/>
      <c r="E21" s="4"/>
      <c r="F21" s="4"/>
      <c r="G21" s="4">
        <f t="shared" ref="G21:J21" si="7">+G19-G20</f>
        <v>6055</v>
      </c>
      <c r="H21" s="4">
        <f t="shared" si="7"/>
        <v>5276</v>
      </c>
      <c r="I21" s="4">
        <f t="shared" si="7"/>
        <v>6505</v>
      </c>
      <c r="J21" s="4">
        <f t="shared" si="7"/>
        <v>6702</v>
      </c>
      <c r="K21" s="4">
        <f>+K19-K20</f>
        <v>6908</v>
      </c>
      <c r="L21" s="4">
        <f>+L19-L20</f>
        <v>6324</v>
      </c>
      <c r="M21" s="4">
        <f>+M19-M20</f>
        <v>5778</v>
      </c>
      <c r="N21" s="4">
        <v>5614</v>
      </c>
      <c r="O21" s="2">
        <v>5445</v>
      </c>
      <c r="P21" s="2">
        <v>5526</v>
      </c>
      <c r="Q21" s="2">
        <v>5584</v>
      </c>
      <c r="R21" s="2">
        <v>5722</v>
      </c>
      <c r="S21" s="2">
        <v>5547</v>
      </c>
      <c r="T21" s="2">
        <v>5809</v>
      </c>
      <c r="U21" s="2">
        <f>+U19*0.56</f>
        <v>5734.6184000000003</v>
      </c>
      <c r="V21" s="2">
        <f>+V19*0.56</f>
        <v>5790.0472000000009</v>
      </c>
      <c r="AM21" s="2">
        <f t="shared" ref="AM21:AS21" si="8">+AM19-AM20</f>
        <v>11759</v>
      </c>
      <c r="AN21" s="2">
        <f t="shared" si="8"/>
        <v>14981</v>
      </c>
      <c r="AO21" s="2">
        <f t="shared" si="8"/>
        <v>17872</v>
      </c>
      <c r="AP21" s="2">
        <f t="shared" si="8"/>
        <v>18673</v>
      </c>
      <c r="AQ21" s="2">
        <f t="shared" si="8"/>
        <v>19605</v>
      </c>
      <c r="AR21" s="2">
        <f t="shared" si="8"/>
        <v>24538</v>
      </c>
      <c r="AS21" s="2">
        <f t="shared" si="8"/>
        <v>24627</v>
      </c>
      <c r="AT21" s="2">
        <f>+AT19-AT20</f>
        <v>22277</v>
      </c>
      <c r="AU21" s="2">
        <f>+AU19-AU20</f>
        <v>22880.665599999993</v>
      </c>
    </row>
    <row r="22" spans="2:47" s="2" customFormat="1" x14ac:dyDescent="0.25">
      <c r="B22" s="2" t="s">
        <v>39</v>
      </c>
      <c r="C22" s="4"/>
      <c r="D22" s="4"/>
      <c r="E22" s="4"/>
      <c r="F22" s="4"/>
      <c r="G22" s="4">
        <v>2783</v>
      </c>
      <c r="H22" s="4">
        <v>2726</v>
      </c>
      <c r="I22" s="4">
        <v>2767</v>
      </c>
      <c r="J22" s="4">
        <v>3048</v>
      </c>
      <c r="K22" s="4">
        <v>2787</v>
      </c>
      <c r="L22" s="4">
        <v>2757</v>
      </c>
      <c r="M22" s="4">
        <v>2731</v>
      </c>
      <c r="N22" s="4">
        <v>2829</v>
      </c>
      <c r="O22" s="2">
        <v>2762</v>
      </c>
      <c r="P22" s="2">
        <v>2718</v>
      </c>
      <c r="Q22" s="2">
        <v>2680</v>
      </c>
      <c r="R22" s="2">
        <v>2689</v>
      </c>
      <c r="S22" s="2">
        <v>2925</v>
      </c>
      <c r="T22" s="2">
        <v>2879</v>
      </c>
      <c r="U22" s="2">
        <f>+Q22</f>
        <v>2680</v>
      </c>
      <c r="V22" s="2">
        <f>+R22</f>
        <v>2689</v>
      </c>
      <c r="AM22" s="2">
        <v>6736</v>
      </c>
      <c r="AN22" s="2">
        <v>9182</v>
      </c>
      <c r="AO22" s="2">
        <v>9744</v>
      </c>
      <c r="AP22" s="2">
        <v>9765</v>
      </c>
      <c r="AQ22" s="2">
        <v>9696</v>
      </c>
      <c r="AR22" s="2">
        <f t="shared" ref="AR22:AR23" si="9">SUM(G22:J22)</f>
        <v>11324</v>
      </c>
      <c r="AS22" s="2">
        <f t="shared" ref="AS22:AS23" si="10">SUM(K22:N22)</f>
        <v>11104</v>
      </c>
      <c r="AT22" s="2">
        <f>SUM(O22:R22)</f>
        <v>10849</v>
      </c>
      <c r="AU22" s="2">
        <f t="shared" ref="AU22:AU23" si="11">SUM(S22:V22)</f>
        <v>11173</v>
      </c>
    </row>
    <row r="23" spans="2:47" s="2" customFormat="1" x14ac:dyDescent="0.25">
      <c r="B23" s="2" t="s">
        <v>40</v>
      </c>
      <c r="C23" s="4"/>
      <c r="D23" s="4"/>
      <c r="E23" s="4"/>
      <c r="F23" s="4"/>
      <c r="G23" s="4">
        <v>654</v>
      </c>
      <c r="H23" s="4">
        <v>654</v>
      </c>
      <c r="I23" s="4">
        <v>672</v>
      </c>
      <c r="J23" s="4">
        <v>762</v>
      </c>
      <c r="K23" s="4">
        <v>697</v>
      </c>
      <c r="L23" s="4">
        <v>684</v>
      </c>
      <c r="M23" s="4">
        <v>782</v>
      </c>
      <c r="N23" s="4">
        <v>654</v>
      </c>
      <c r="O23" s="2">
        <v>628</v>
      </c>
      <c r="P23" s="2">
        <v>643</v>
      </c>
      <c r="Q23" s="2">
        <v>626</v>
      </c>
      <c r="R23" s="2">
        <v>622</v>
      </c>
      <c r="S23" s="2">
        <v>663</v>
      </c>
      <c r="T23" s="2">
        <v>657</v>
      </c>
      <c r="U23" s="2">
        <f>+Q23</f>
        <v>626</v>
      </c>
      <c r="V23" s="2">
        <f>+R23</f>
        <v>622</v>
      </c>
      <c r="AM23" s="2">
        <v>1447</v>
      </c>
      <c r="AN23" s="2">
        <v>2260</v>
      </c>
      <c r="AO23" s="2">
        <v>2300</v>
      </c>
      <c r="AP23" s="2">
        <v>2440</v>
      </c>
      <c r="AQ23" s="2">
        <v>2420</v>
      </c>
      <c r="AR23" s="2">
        <f t="shared" si="9"/>
        <v>2742</v>
      </c>
      <c r="AS23" s="2">
        <f t="shared" si="10"/>
        <v>2817</v>
      </c>
      <c r="AT23" s="2">
        <f>SUM(O23:R23)</f>
        <v>2519</v>
      </c>
      <c r="AU23" s="2">
        <f t="shared" si="11"/>
        <v>2568</v>
      </c>
    </row>
    <row r="24" spans="2:47" s="2" customFormat="1" x14ac:dyDescent="0.25">
      <c r="B24" s="2" t="s">
        <v>35</v>
      </c>
      <c r="C24" s="4"/>
      <c r="D24" s="4"/>
      <c r="E24" s="4"/>
      <c r="F24" s="4"/>
      <c r="G24" s="4">
        <f t="shared" ref="G24:J24" si="12">+G22+G23</f>
        <v>3437</v>
      </c>
      <c r="H24" s="4">
        <f t="shared" si="12"/>
        <v>3380</v>
      </c>
      <c r="I24" s="4">
        <f t="shared" si="12"/>
        <v>3439</v>
      </c>
      <c r="J24" s="4">
        <f t="shared" si="12"/>
        <v>3810</v>
      </c>
      <c r="K24" s="4">
        <f>+K22+K23</f>
        <v>3484</v>
      </c>
      <c r="L24" s="4">
        <f>+L22+L23</f>
        <v>3441</v>
      </c>
      <c r="M24" s="4">
        <f>+M22+M23</f>
        <v>3513</v>
      </c>
      <c r="N24" s="4">
        <f>+N22+N23</f>
        <v>3483</v>
      </c>
      <c r="O24" s="4">
        <f t="shared" ref="O24" si="13">+O22+O23</f>
        <v>3390</v>
      </c>
      <c r="P24" s="2">
        <f>+P22+P23</f>
        <v>3361</v>
      </c>
      <c r="Q24" s="2">
        <f>+Q22+Q23</f>
        <v>3306</v>
      </c>
      <c r="R24" s="2">
        <f>+R22+R23</f>
        <v>3311</v>
      </c>
      <c r="S24" s="2">
        <f>+S22+S23</f>
        <v>3588</v>
      </c>
      <c r="T24" s="2">
        <f>+T22+T23</f>
        <v>3536</v>
      </c>
      <c r="U24" s="2">
        <f>+U22+U23</f>
        <v>3306</v>
      </c>
      <c r="V24" s="2">
        <f>+V22+V23</f>
        <v>3311</v>
      </c>
      <c r="AM24" s="4">
        <f>+AM22+AM23</f>
        <v>8183</v>
      </c>
      <c r="AN24" s="4">
        <f>+AN22+AN23</f>
        <v>11442</v>
      </c>
      <c r="AO24" s="4">
        <f>+AO22+AO23</f>
        <v>12044</v>
      </c>
      <c r="AP24" s="4">
        <f t="shared" ref="AP24:AS24" si="14">+AP22+AP23</f>
        <v>12205</v>
      </c>
      <c r="AQ24" s="4">
        <f t="shared" si="14"/>
        <v>12116</v>
      </c>
      <c r="AR24" s="4">
        <f t="shared" si="14"/>
        <v>14066</v>
      </c>
      <c r="AS24" s="4">
        <f t="shared" si="14"/>
        <v>13921</v>
      </c>
      <c r="AT24" s="4">
        <f t="shared" ref="AT24:AU24" si="15">+AT22+AT23</f>
        <v>13368</v>
      </c>
      <c r="AU24" s="4">
        <f t="shared" si="15"/>
        <v>13741</v>
      </c>
    </row>
    <row r="25" spans="2:47" s="2" customFormat="1" x14ac:dyDescent="0.25">
      <c r="B25" s="2" t="s">
        <v>36</v>
      </c>
      <c r="C25" s="4"/>
      <c r="D25" s="4"/>
      <c r="E25" s="4"/>
      <c r="F25" s="4"/>
      <c r="G25" s="4">
        <f t="shared" ref="G25:J25" si="16">+G21-G24</f>
        <v>2618</v>
      </c>
      <c r="H25" s="4">
        <f t="shared" si="16"/>
        <v>1896</v>
      </c>
      <c r="I25" s="4">
        <f t="shared" si="16"/>
        <v>3066</v>
      </c>
      <c r="J25" s="4">
        <f t="shared" si="16"/>
        <v>2892</v>
      </c>
      <c r="K25" s="4">
        <f>+K21-K24</f>
        <v>3424</v>
      </c>
      <c r="L25" s="4">
        <f>+L21-L24</f>
        <v>2883</v>
      </c>
      <c r="M25" s="4">
        <f>+M21-M24</f>
        <v>2265</v>
      </c>
      <c r="N25" s="4">
        <f>+N21-N24</f>
        <v>2131</v>
      </c>
      <c r="O25" s="4">
        <f t="shared" ref="O25" si="17">+O21-O24</f>
        <v>2055</v>
      </c>
      <c r="P25" s="2">
        <f>+P21-P24</f>
        <v>2165</v>
      </c>
      <c r="Q25" s="2">
        <f>+Q21-Q24</f>
        <v>2278</v>
      </c>
      <c r="R25" s="2">
        <f>+R21-R24</f>
        <v>2411</v>
      </c>
      <c r="S25" s="2">
        <f>+S21-S24</f>
        <v>1959</v>
      </c>
      <c r="T25" s="2">
        <f>+T21-T24</f>
        <v>2273</v>
      </c>
      <c r="U25" s="2">
        <f>+U21-U24</f>
        <v>2428.6184000000003</v>
      </c>
      <c r="V25" s="2">
        <f>+V21-V24</f>
        <v>2479.0472000000009</v>
      </c>
      <c r="AM25" s="4">
        <f>+AM21-AM24</f>
        <v>3576</v>
      </c>
      <c r="AN25" s="4">
        <f>+AN21-AN24</f>
        <v>3539</v>
      </c>
      <c r="AO25" s="4">
        <f>+AO21-AO24</f>
        <v>5828</v>
      </c>
      <c r="AP25" s="4">
        <f t="shared" ref="AP25:AS25" si="18">+AP21-AP24</f>
        <v>6468</v>
      </c>
      <c r="AQ25" s="4">
        <f t="shared" si="18"/>
        <v>7489</v>
      </c>
      <c r="AR25" s="4">
        <f t="shared" si="18"/>
        <v>10472</v>
      </c>
      <c r="AS25" s="4">
        <f t="shared" si="18"/>
        <v>10706</v>
      </c>
      <c r="AT25" s="4">
        <f t="shared" ref="AT25:AU25" si="19">+AT21-AT24</f>
        <v>8909</v>
      </c>
      <c r="AU25" s="4">
        <f t="shared" si="19"/>
        <v>9139.665599999993</v>
      </c>
    </row>
    <row r="26" spans="2:47" x14ac:dyDescent="0.25">
      <c r="B26" s="2" t="s">
        <v>41</v>
      </c>
      <c r="G26" s="3">
        <f>-135+11+61</f>
        <v>-63</v>
      </c>
      <c r="H26" s="3">
        <f>-134+11+79</f>
        <v>-44</v>
      </c>
      <c r="I26" s="3">
        <f>-133+10+74</f>
        <v>-49</v>
      </c>
      <c r="J26" s="3">
        <f>-120+63</f>
        <v>-57</v>
      </c>
      <c r="K26" s="3">
        <f>-131+14+78</f>
        <v>-39</v>
      </c>
      <c r="L26" s="3">
        <f>-132+26+82</f>
        <v>-24</v>
      </c>
      <c r="M26" s="3">
        <f>-141+55+93</f>
        <v>7</v>
      </c>
      <c r="N26" s="4">
        <v>92</v>
      </c>
      <c r="O26">
        <v>111</v>
      </c>
      <c r="P26">
        <v>119</v>
      </c>
      <c r="Q26">
        <v>106</v>
      </c>
      <c r="R26" s="2">
        <v>118</v>
      </c>
      <c r="S26" s="2">
        <v>137</v>
      </c>
      <c r="T26" s="2">
        <v>135</v>
      </c>
      <c r="U26" s="2">
        <f>+T26</f>
        <v>135</v>
      </c>
      <c r="V26" s="2">
        <f>+U26</f>
        <v>135</v>
      </c>
      <c r="AM26">
        <f>-99+786</f>
        <v>687</v>
      </c>
      <c r="AN26" s="2">
        <f>-904+124-1413</f>
        <v>-2193</v>
      </c>
      <c r="AO26">
        <f>-826+105+139</f>
        <v>-582</v>
      </c>
      <c r="AP26">
        <f>-670+94+191</f>
        <v>-385</v>
      </c>
      <c r="AQ26">
        <f>-546+46+103</f>
        <v>-397</v>
      </c>
      <c r="AR26" s="2">
        <f t="shared" ref="AR26" si="20">SUM(G26:J26)</f>
        <v>-213</v>
      </c>
      <c r="AS26" s="2">
        <f t="shared" ref="AS26" si="21">SUM(K26:N26)</f>
        <v>36</v>
      </c>
      <c r="AT26" s="2">
        <f>SUM(O26:R26)</f>
        <v>454</v>
      </c>
      <c r="AU26" s="2">
        <f t="shared" ref="AU26" si="22">SUM(S26:V26)</f>
        <v>542</v>
      </c>
    </row>
    <row r="27" spans="2:47" x14ac:dyDescent="0.25">
      <c r="B27" s="2" t="s">
        <v>42</v>
      </c>
      <c r="G27" s="4">
        <f t="shared" ref="G27:J27" si="23">+G25+G26</f>
        <v>2555</v>
      </c>
      <c r="H27" s="4">
        <f t="shared" si="23"/>
        <v>1852</v>
      </c>
      <c r="I27" s="4">
        <f t="shared" si="23"/>
        <v>3017</v>
      </c>
      <c r="J27" s="4">
        <f t="shared" si="23"/>
        <v>2835</v>
      </c>
      <c r="K27" s="4">
        <f>+K25+K26</f>
        <v>3385</v>
      </c>
      <c r="L27" s="4">
        <f>+L25+L26</f>
        <v>2859</v>
      </c>
      <c r="M27" s="4">
        <f>+M25+M26</f>
        <v>2272</v>
      </c>
      <c r="N27" s="4">
        <f>+N25+N26</f>
        <v>2223</v>
      </c>
      <c r="O27" s="4">
        <f>+O25+O26</f>
        <v>2166</v>
      </c>
      <c r="P27" s="2">
        <f>+P25+P26</f>
        <v>2284</v>
      </c>
      <c r="Q27" s="2">
        <f>+Q25+Q26</f>
        <v>2384</v>
      </c>
      <c r="R27" s="2">
        <f>+R25+R26</f>
        <v>2529</v>
      </c>
      <c r="S27" s="2">
        <f>+S25+S26</f>
        <v>2096</v>
      </c>
      <c r="T27" s="2">
        <f>+T25+T26</f>
        <v>2408</v>
      </c>
      <c r="U27" s="2">
        <f>+U25+U26</f>
        <v>2563.6184000000003</v>
      </c>
      <c r="V27" s="2">
        <f>+V25+V26</f>
        <v>2614.0472000000009</v>
      </c>
      <c r="AM27" s="2">
        <f>+AM25+AM26</f>
        <v>4263</v>
      </c>
      <c r="AN27" s="2">
        <f>+AN25+AN26</f>
        <v>1346</v>
      </c>
      <c r="AO27" s="2">
        <f>+AO25+AO26</f>
        <v>5246</v>
      </c>
      <c r="AP27" s="2">
        <f t="shared" ref="AP27:AU27" si="24">+AP25+AP26</f>
        <v>6083</v>
      </c>
      <c r="AQ27" s="2">
        <f t="shared" si="24"/>
        <v>7092</v>
      </c>
      <c r="AR27" s="2">
        <f t="shared" si="24"/>
        <v>10259</v>
      </c>
      <c r="AS27" s="2">
        <f t="shared" si="24"/>
        <v>10742</v>
      </c>
      <c r="AT27" s="2">
        <f t="shared" si="24"/>
        <v>9363</v>
      </c>
      <c r="AU27" s="2">
        <f t="shared" si="24"/>
        <v>9681.665599999993</v>
      </c>
    </row>
    <row r="28" spans="2:47" x14ac:dyDescent="0.25">
      <c r="B28" s="2" t="s">
        <v>43</v>
      </c>
      <c r="G28" s="3">
        <v>250</v>
      </c>
      <c r="H28" s="3">
        <v>159</v>
      </c>
      <c r="I28" s="3">
        <v>393</v>
      </c>
      <c r="J28" s="3">
        <v>398</v>
      </c>
      <c r="K28" s="3">
        <v>429</v>
      </c>
      <c r="L28" s="3">
        <v>334</v>
      </c>
      <c r="M28" s="3">
        <v>323</v>
      </c>
      <c r="N28" s="4">
        <v>360</v>
      </c>
      <c r="O28" s="3">
        <v>295</v>
      </c>
      <c r="P28">
        <v>309</v>
      </c>
      <c r="Q28">
        <v>325</v>
      </c>
      <c r="R28">
        <v>341</v>
      </c>
      <c r="S28">
        <v>306</v>
      </c>
      <c r="T28">
        <v>353</v>
      </c>
      <c r="U28" s="2">
        <f>+U27*0.15</f>
        <v>384.54276000000004</v>
      </c>
      <c r="V28" s="2">
        <f>+V27*0.15</f>
        <v>392.10708000000011</v>
      </c>
      <c r="AM28">
        <v>350</v>
      </c>
      <c r="AN28">
        <v>0</v>
      </c>
      <c r="AO28">
        <v>539</v>
      </c>
      <c r="AP28">
        <v>390</v>
      </c>
      <c r="AQ28">
        <v>497</v>
      </c>
      <c r="AR28" s="2">
        <f t="shared" ref="AR28" si="25">SUM(G28:J28)</f>
        <v>1200</v>
      </c>
      <c r="AS28" s="2">
        <f>SUM(K28:N28)</f>
        <v>1446</v>
      </c>
      <c r="AT28" s="2">
        <f>SUM(O28:R28)</f>
        <v>1270</v>
      </c>
      <c r="AU28" s="2">
        <f t="shared" ref="AU28" si="26">SUM(S28:V28)</f>
        <v>1435.64984</v>
      </c>
    </row>
    <row r="29" spans="2:47" x14ac:dyDescent="0.25">
      <c r="B29" s="2" t="s">
        <v>44</v>
      </c>
      <c r="G29" s="4">
        <f t="shared" ref="G29:J29" si="27">+G27-G28</f>
        <v>2305</v>
      </c>
      <c r="H29" s="4">
        <f t="shared" si="27"/>
        <v>1693</v>
      </c>
      <c r="I29" s="4">
        <f t="shared" si="27"/>
        <v>2624</v>
      </c>
      <c r="J29" s="4">
        <f t="shared" si="27"/>
        <v>2437</v>
      </c>
      <c r="K29" s="4">
        <f>+K27-K28</f>
        <v>2956</v>
      </c>
      <c r="L29" s="4">
        <f>+L27-L28</f>
        <v>2525</v>
      </c>
      <c r="M29" s="4">
        <f>+M27-M28</f>
        <v>1949</v>
      </c>
      <c r="N29" s="4">
        <f>+N27-N28</f>
        <v>1863</v>
      </c>
      <c r="O29" s="4">
        <f>+O27-O28</f>
        <v>1871</v>
      </c>
      <c r="P29" s="2">
        <f>+P27-P28</f>
        <v>1975</v>
      </c>
      <c r="Q29" s="2">
        <f>+Q27-Q28</f>
        <v>2059</v>
      </c>
      <c r="R29" s="2">
        <f>+R27-R28</f>
        <v>2188</v>
      </c>
      <c r="S29" s="2">
        <f>+S27-S28</f>
        <v>1790</v>
      </c>
      <c r="T29" s="2">
        <f>+T27-T28</f>
        <v>2055</v>
      </c>
      <c r="U29" s="2">
        <f>+U27-U28</f>
        <v>2179.07564</v>
      </c>
      <c r="V29" s="2">
        <f>+V27-V28</f>
        <v>2221.9401200000007</v>
      </c>
      <c r="AM29" s="2">
        <f t="shared" ref="AM29:AU29" si="28">+AM27-AM28</f>
        <v>3913</v>
      </c>
      <c r="AN29" s="2">
        <f t="shared" si="28"/>
        <v>1346</v>
      </c>
      <c r="AO29" s="2">
        <f t="shared" si="28"/>
        <v>4707</v>
      </c>
      <c r="AP29" s="2">
        <f t="shared" si="28"/>
        <v>5693</v>
      </c>
      <c r="AQ29" s="2">
        <f t="shared" si="28"/>
        <v>6595</v>
      </c>
      <c r="AR29" s="2">
        <f t="shared" si="28"/>
        <v>9059</v>
      </c>
      <c r="AS29" s="2">
        <f t="shared" si="28"/>
        <v>9296</v>
      </c>
      <c r="AT29" s="2">
        <f t="shared" si="28"/>
        <v>8093</v>
      </c>
      <c r="AU29" s="2">
        <f t="shared" si="28"/>
        <v>8246.015759999993</v>
      </c>
    </row>
    <row r="30" spans="2:47" x14ac:dyDescent="0.25">
      <c r="B30" s="2" t="s">
        <v>45</v>
      </c>
      <c r="G30" s="7" t="e">
        <f t="shared" ref="G30:O30" si="29">+G29/G31</f>
        <v>#DIV/0!</v>
      </c>
      <c r="H30" s="7">
        <f t="shared" si="29"/>
        <v>0.94408064779657819</v>
      </c>
      <c r="I30" s="7">
        <f t="shared" si="29"/>
        <v>1.4667420160659677</v>
      </c>
      <c r="J30" s="7">
        <f t="shared" si="29"/>
        <v>1.3675645342312008</v>
      </c>
      <c r="K30" s="7">
        <f t="shared" si="29"/>
        <v>1.6657819313377762</v>
      </c>
      <c r="L30" s="7">
        <f t="shared" si="29"/>
        <v>1.4302197213988626</v>
      </c>
      <c r="M30" s="7">
        <f t="shared" si="29"/>
        <v>1.1050926684557563</v>
      </c>
      <c r="N30" s="7">
        <f t="shared" si="29"/>
        <v>1.0621436716077537</v>
      </c>
      <c r="O30" s="7">
        <f t="shared" si="29"/>
        <v>1.0679223744292237</v>
      </c>
      <c r="P30" s="1">
        <f>+P29/P31</f>
        <v>1.1279268989149058</v>
      </c>
      <c r="Q30" s="1">
        <f>+Q29/Q31</f>
        <v>1.1779176201372998</v>
      </c>
      <c r="R30" s="1">
        <f>+R29/R31</f>
        <v>1.2517162471395882</v>
      </c>
      <c r="S30" s="1">
        <f>+S29/S31</f>
        <v>1.0228571428571429</v>
      </c>
      <c r="T30" s="1">
        <f>+T29/T31</f>
        <v>1.1736150770988008</v>
      </c>
      <c r="U30" s="1">
        <f>+U29/U31</f>
        <v>1.2444749514563107</v>
      </c>
      <c r="V30" s="1">
        <f>+V29/V31</f>
        <v>1.268954951456311</v>
      </c>
      <c r="AM30" s="1">
        <f>+AM29/AM31</f>
        <v>2.6385704652730952</v>
      </c>
      <c r="AN30" s="1">
        <f>+AN29/AN31</f>
        <v>0.76958261863922239</v>
      </c>
      <c r="AO30" s="1">
        <f>+AO29/AO31</f>
        <v>2.659322033898305</v>
      </c>
      <c r="AP30" s="1">
        <f t="shared" ref="AP30:AU30" si="30">+AP29/AP31</f>
        <v>3.1965188096574959</v>
      </c>
      <c r="AQ30" s="1">
        <f t="shared" si="30"/>
        <v>3.692609182530795</v>
      </c>
      <c r="AR30" s="1">
        <f t="shared" si="30"/>
        <v>5.0662922391419682</v>
      </c>
      <c r="AS30" s="1">
        <f t="shared" si="30"/>
        <v>5.2686032675428587</v>
      </c>
      <c r="AT30" s="1">
        <f t="shared" si="30"/>
        <v>4.625232176025146</v>
      </c>
      <c r="AU30" s="1">
        <f t="shared" si="30"/>
        <v>4.7099904383835458</v>
      </c>
    </row>
    <row r="31" spans="2:47" s="2" customFormat="1" x14ac:dyDescent="0.25">
      <c r="B31" s="2" t="s">
        <v>1</v>
      </c>
      <c r="C31" s="4"/>
      <c r="D31" s="4"/>
      <c r="E31" s="4"/>
      <c r="F31" s="4"/>
      <c r="G31" s="4"/>
      <c r="H31" s="4">
        <v>1793.279</v>
      </c>
      <c r="I31" s="4">
        <v>1788.999</v>
      </c>
      <c r="J31" s="4">
        <v>1782</v>
      </c>
      <c r="K31" s="4">
        <v>1774.5419999999999</v>
      </c>
      <c r="L31" s="4">
        <v>1765.463</v>
      </c>
      <c r="M31" s="4">
        <v>1763.653</v>
      </c>
      <c r="N31" s="4">
        <v>1754</v>
      </c>
      <c r="O31" s="2">
        <v>1752</v>
      </c>
      <c r="P31" s="2">
        <v>1751</v>
      </c>
      <c r="Q31" s="2">
        <v>1748</v>
      </c>
      <c r="R31" s="2">
        <v>1748</v>
      </c>
      <c r="S31" s="2">
        <v>1750</v>
      </c>
      <c r="T31" s="2">
        <v>1751</v>
      </c>
      <c r="U31" s="2">
        <f>+T31</f>
        <v>1751</v>
      </c>
      <c r="V31" s="2">
        <f>+U31</f>
        <v>1751</v>
      </c>
      <c r="AM31" s="2">
        <v>1483</v>
      </c>
      <c r="AN31" s="2">
        <v>1749</v>
      </c>
      <c r="AO31" s="2">
        <v>1770</v>
      </c>
      <c r="AP31" s="2">
        <v>1781</v>
      </c>
      <c r="AQ31" s="2">
        <v>1786</v>
      </c>
      <c r="AR31" s="2">
        <f>AVERAGE(G31:J31)</f>
        <v>1788.0926666666667</v>
      </c>
      <c r="AS31" s="2">
        <f>AVERAGE(K31:N31)</f>
        <v>1764.4145000000001</v>
      </c>
      <c r="AT31" s="2">
        <f>AVERAGE(O31:R31)</f>
        <v>1749.75</v>
      </c>
      <c r="AU31" s="2">
        <f>AVERAGE(S31:V31)</f>
        <v>1750.75</v>
      </c>
    </row>
    <row r="33" spans="2:47" s="10" customFormat="1" ht="13" x14ac:dyDescent="0.3">
      <c r="B33" s="5" t="s">
        <v>46</v>
      </c>
      <c r="C33" s="8"/>
      <c r="D33" s="8"/>
      <c r="E33" s="8"/>
      <c r="F33" s="8"/>
      <c r="G33" s="8"/>
      <c r="H33" s="8"/>
      <c r="I33" s="8"/>
      <c r="J33" s="8"/>
      <c r="K33" s="9">
        <f>K19/G19-1</f>
        <v>0.13762433052792655</v>
      </c>
      <c r="L33" s="9">
        <f>L19/H19-1</f>
        <v>0.10114447813753302</v>
      </c>
      <c r="M33" s="9">
        <f>M19/I19-1</f>
        <v>-4.767569546120054E-2</v>
      </c>
      <c r="N33" s="9">
        <f>N19/J19-1</f>
        <v>-0.12033484478549006</v>
      </c>
      <c r="O33" s="13">
        <f t="shared" ref="O33" si="31">+O19/K19-1</f>
        <v>-0.18083228247162675</v>
      </c>
      <c r="P33" s="13">
        <f>+P19/L19-1</f>
        <v>-0.11388469396819756</v>
      </c>
      <c r="Q33" s="13">
        <f>+Q19/M19-1</f>
        <v>-2.57518977611223E-2</v>
      </c>
      <c r="R33" s="13">
        <f>+R19/N19-1</f>
        <v>1.4770023790642295E-2</v>
      </c>
      <c r="S33" s="13">
        <f>+S19/O19-1</f>
        <v>2.2557471264367912E-2</v>
      </c>
      <c r="T33" s="13">
        <f>+T19/P19-1</f>
        <v>3.9899749373433657E-2</v>
      </c>
      <c r="U33" s="13">
        <f>+U19/Q19-1</f>
        <v>1.0000000000000009E-2</v>
      </c>
      <c r="V33" s="13">
        <f>+V19/R19-1</f>
        <v>1.0000000000000009E-2</v>
      </c>
      <c r="AL33" s="13">
        <f t="shared" ref="AL33:AQ33" si="32">+AL19/AK19-1</f>
        <v>7.8036252284288121E-3</v>
      </c>
      <c r="AM33" s="13">
        <f t="shared" si="32"/>
        <v>2.1955403087478453E-2</v>
      </c>
      <c r="AN33" s="13">
        <f t="shared" si="32"/>
        <v>0.31348007480938</v>
      </c>
      <c r="AO33" s="13">
        <f t="shared" si="32"/>
        <v>0.11639284410368744</v>
      </c>
      <c r="AP33" s="13">
        <f t="shared" si="32"/>
        <v>4.3364510432337022E-2</v>
      </c>
      <c r="AQ33" s="13">
        <f t="shared" si="32"/>
        <v>8.4754262788365065E-2</v>
      </c>
      <c r="AR33" s="13">
        <f t="shared" ref="AR33:AU33" si="33">+AR19/AQ19-1</f>
        <v>0.2446544151641239</v>
      </c>
      <c r="AS33" s="13">
        <f t="shared" si="33"/>
        <v>1.3348810214741658E-2</v>
      </c>
      <c r="AT33" s="13">
        <f t="shared" si="33"/>
        <v>-8.1443298969072209E-2</v>
      </c>
      <c r="AU33" s="13">
        <f t="shared" si="33"/>
        <v>2.0490335453298147E-2</v>
      </c>
    </row>
    <row r="34" spans="2:47" x14ac:dyDescent="0.25">
      <c r="B34" s="2" t="s">
        <v>66</v>
      </c>
      <c r="G34" s="12">
        <f>+G21/G19</f>
        <v>0.57909334353481257</v>
      </c>
      <c r="H34" s="12">
        <f>+H21/H19</f>
        <v>0.51609116697642565</v>
      </c>
      <c r="I34" s="12">
        <f>+I21/I19</f>
        <v>0.59525988286969256</v>
      </c>
      <c r="J34" s="12">
        <f>+J21/J19</f>
        <v>0.58440878967561916</v>
      </c>
      <c r="K34" s="12">
        <f t="shared" ref="H34:O34" si="34">+K21/K19</f>
        <v>0.58074821353509876</v>
      </c>
      <c r="L34" s="12">
        <f t="shared" si="34"/>
        <v>0.56178377898196674</v>
      </c>
      <c r="M34" s="12">
        <f t="shared" si="34"/>
        <v>0.55520322859613724</v>
      </c>
      <c r="N34" s="12">
        <f t="shared" si="34"/>
        <v>0.55650277557494054</v>
      </c>
      <c r="O34" s="14">
        <f t="shared" si="34"/>
        <v>0.55880541871921185</v>
      </c>
      <c r="P34" s="14">
        <f>+P21/P19</f>
        <v>0.55398496240601502</v>
      </c>
      <c r="Q34" s="14">
        <f>+Q21/Q19</f>
        <v>0.55074464937370549</v>
      </c>
      <c r="R34" s="14">
        <f>+R21/R19</f>
        <v>0.55895281820845955</v>
      </c>
      <c r="S34" s="14">
        <f>+S21/S19</f>
        <v>0.55671530942010072</v>
      </c>
      <c r="T34" s="14">
        <f>+T21/T19</f>
        <v>0.56001156849513156</v>
      </c>
      <c r="U34" s="14">
        <f>+U21/U19</f>
        <v>0.56000000000000005</v>
      </c>
      <c r="V34" s="14">
        <f>+V21/V19</f>
        <v>0.56000000000000005</v>
      </c>
      <c r="AM34" s="14">
        <f>+AM21/AM19</f>
        <v>0.56389967870330404</v>
      </c>
      <c r="AN34" s="14">
        <f>+AN21/AN19</f>
        <v>0.54695144213216507</v>
      </c>
      <c r="AO34" s="14">
        <f>+AO21/AO19</f>
        <v>0.58447249656615863</v>
      </c>
      <c r="AP34" s="14">
        <f>+AP21/AP19</f>
        <v>0.58528711133400202</v>
      </c>
      <c r="AQ34" s="14">
        <f>+AQ21/AQ19</f>
        <v>0.56648751733703195</v>
      </c>
      <c r="AR34" s="14">
        <f t="shared" ref="AQ34:AU34" si="35">+AR21/AR19</f>
        <v>0.56965757399883921</v>
      </c>
      <c r="AS34" s="14">
        <f t="shared" si="35"/>
        <v>0.56419243986254297</v>
      </c>
      <c r="AT34" s="14">
        <f t="shared" si="35"/>
        <v>0.55560543708691856</v>
      </c>
      <c r="AU34" s="14">
        <f t="shared" si="35"/>
        <v>0.55920306105889639</v>
      </c>
    </row>
    <row r="36" spans="2:47" x14ac:dyDescent="0.25">
      <c r="B36" t="s">
        <v>65</v>
      </c>
      <c r="M36" s="4">
        <f>+M37-M51</f>
        <v>-5743</v>
      </c>
    </row>
    <row r="37" spans="2:47" s="2" customFormat="1" x14ac:dyDescent="0.25">
      <c r="B37" s="2" t="s">
        <v>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>
        <f>9594+313+764</f>
        <v>10671</v>
      </c>
      <c r="N37" s="4"/>
    </row>
    <row r="38" spans="2:47" s="2" customFormat="1" x14ac:dyDescent="0.25">
      <c r="B38" s="2" t="s">
        <v>57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>
        <v>6408</v>
      </c>
      <c r="N38" s="4"/>
    </row>
    <row r="39" spans="2:47" s="2" customFormat="1" x14ac:dyDescent="0.25">
      <c r="B39" s="2" t="s">
        <v>58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>
        <v>5734</v>
      </c>
      <c r="N39" s="4"/>
    </row>
    <row r="40" spans="2:47" s="2" customFormat="1" x14ac:dyDescent="0.25">
      <c r="B40" s="2" t="s">
        <v>59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>
        <v>2796</v>
      </c>
      <c r="N40" s="4"/>
    </row>
    <row r="41" spans="2:47" s="2" customFormat="1" x14ac:dyDescent="0.25">
      <c r="B41" s="2" t="s">
        <v>61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>
        <v>8689</v>
      </c>
      <c r="N41" s="4"/>
    </row>
    <row r="42" spans="2:47" s="2" customFormat="1" x14ac:dyDescent="0.25">
      <c r="B42" s="2" t="s">
        <v>60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>
        <f>10850+22284</f>
        <v>33134</v>
      </c>
      <c r="N42" s="4"/>
    </row>
    <row r="43" spans="2:47" s="2" customFormat="1" x14ac:dyDescent="0.25">
      <c r="B43" s="2" t="s">
        <v>62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5369</v>
      </c>
      <c r="N43" s="4"/>
    </row>
    <row r="44" spans="2:47" s="2" customFormat="1" x14ac:dyDescent="0.25">
      <c r="B44" s="2" t="s">
        <v>63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f>SUM(M37:M43)</f>
        <v>72801</v>
      </c>
      <c r="N44" s="4"/>
    </row>
    <row r="45" spans="2:47" s="2" customFormat="1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47" s="2" customFormat="1" x14ac:dyDescent="0.25">
      <c r="B46" s="2" t="s">
        <v>51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>
        <v>4133</v>
      </c>
      <c r="N46" s="4"/>
    </row>
    <row r="47" spans="2:47" s="2" customFormat="1" x14ac:dyDescent="0.25">
      <c r="B47" s="2" t="s">
        <v>52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>
        <v>1426</v>
      </c>
      <c r="N47" s="4"/>
    </row>
    <row r="48" spans="2:47" s="2" customFormat="1" x14ac:dyDescent="0.25">
      <c r="B48" s="2" t="s">
        <v>53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>
        <v>5475</v>
      </c>
      <c r="N48" s="4"/>
    </row>
    <row r="49" spans="2:46" s="2" customFormat="1" x14ac:dyDescent="0.25">
      <c r="B49" s="2" t="s">
        <v>54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>
        <f>820</f>
        <v>820</v>
      </c>
      <c r="N49" s="4"/>
    </row>
    <row r="50" spans="2:46" s="2" customFormat="1" x14ac:dyDescent="0.25">
      <c r="B50" s="2" t="s">
        <v>43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>
        <v>394</v>
      </c>
      <c r="N50" s="4"/>
    </row>
    <row r="51" spans="2:46" s="2" customFormat="1" x14ac:dyDescent="0.25">
      <c r="B51" s="2" t="s">
        <v>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>
        <f>1117+15297</f>
        <v>16414</v>
      </c>
      <c r="N51" s="4"/>
    </row>
    <row r="52" spans="2:46" s="2" customFormat="1" x14ac:dyDescent="0.25">
      <c r="B52" s="2" t="s">
        <v>55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>
        <v>8255</v>
      </c>
      <c r="N52" s="4"/>
    </row>
    <row r="53" spans="2:46" s="2" customFormat="1" x14ac:dyDescent="0.25">
      <c r="B53" s="2" t="s">
        <v>56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>
        <f>35884</f>
        <v>35884</v>
      </c>
      <c r="N53" s="4"/>
    </row>
    <row r="54" spans="2:46" s="2" customFormat="1" x14ac:dyDescent="0.25">
      <c r="B54" s="2" t="s">
        <v>64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>
        <f>SUM(M46:M53)</f>
        <v>72801</v>
      </c>
      <c r="N54" s="4"/>
    </row>
    <row r="63" spans="2:46" x14ac:dyDescent="0.25">
      <c r="AR63">
        <v>10533</v>
      </c>
      <c r="AS63">
        <v>9581</v>
      </c>
      <c r="AT63">
        <v>7261</v>
      </c>
    </row>
    <row r="64" spans="2:46" x14ac:dyDescent="0.25">
      <c r="AR64">
        <v>1885</v>
      </c>
      <c r="AS64">
        <v>1777</v>
      </c>
      <c r="AT64">
        <v>2202</v>
      </c>
    </row>
    <row r="65" spans="44:46" x14ac:dyDescent="0.25">
      <c r="AR65">
        <f>+AR63-AR64</f>
        <v>8648</v>
      </c>
      <c r="AS65">
        <f>+AS63-AS64</f>
        <v>7804</v>
      </c>
      <c r="AT65">
        <f>+AT63-AT64</f>
        <v>5059</v>
      </c>
    </row>
  </sheetData>
  <hyperlinks>
    <hyperlink ref="A1" location="Main!A1" display="Main" xr:uid="{99BB727D-8C29-48CC-ACC9-35EF86A9E0C2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2022-07-19T14:56:20Z</dcterms:created>
  <dcterms:modified xsi:type="dcterms:W3CDTF">2024-10-16T01:53:38Z</dcterms:modified>
</cp:coreProperties>
</file>