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BB22EFDE-EFAC-4B3F-9A36-4A38AFC1DFA1}" xr6:coauthVersionLast="47" xr6:coauthVersionMax="47" xr10:uidLastSave="{00000000-0000-0000-0000-000000000000}"/>
  <bookViews>
    <workbookView xWindow="18050" yWindow="2110" windowWidth="19750" windowHeight="16700" activeTab="1" xr2:uid="{7D5FE4EE-560B-4EF3-BD97-8ABA5D56393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2" l="1"/>
  <c r="L27" i="2"/>
  <c r="N27" i="2"/>
  <c r="S19" i="2"/>
  <c r="R19" i="2"/>
  <c r="Q19" i="2"/>
  <c r="P19" i="2"/>
  <c r="S18" i="2"/>
  <c r="R18" i="2"/>
  <c r="Q18" i="2"/>
  <c r="P18" i="2"/>
  <c r="P16" i="2"/>
  <c r="Q16" i="2" s="1"/>
  <c r="P15" i="2"/>
  <c r="P11" i="2"/>
  <c r="Q11" i="2" s="1"/>
  <c r="R11" i="2" s="1"/>
  <c r="S11" i="2" s="1"/>
  <c r="P8" i="2"/>
  <c r="Q8" i="2" s="1"/>
  <c r="R8" i="2" s="1"/>
  <c r="S8" i="2" s="1"/>
  <c r="P7" i="2"/>
  <c r="P9" i="2" s="1"/>
  <c r="P10" i="2" s="1"/>
  <c r="P12" i="2" s="1"/>
  <c r="P6" i="2"/>
  <c r="Q6" i="2" s="1"/>
  <c r="O8" i="2"/>
  <c r="O7" i="2"/>
  <c r="O6" i="2"/>
  <c r="S5" i="2"/>
  <c r="R5" i="2"/>
  <c r="Q5" i="2"/>
  <c r="P5" i="2"/>
  <c r="S4" i="2"/>
  <c r="R4" i="2"/>
  <c r="Q4" i="2"/>
  <c r="P4" i="2"/>
  <c r="S3" i="2"/>
  <c r="R3" i="2"/>
  <c r="Q3" i="2"/>
  <c r="P3" i="2"/>
  <c r="S2" i="2"/>
  <c r="R2" i="2"/>
  <c r="Q2" i="2"/>
  <c r="P2" i="2"/>
  <c r="O16" i="2"/>
  <c r="O11" i="2"/>
  <c r="O4" i="2"/>
  <c r="O5" i="2"/>
  <c r="O19" i="2" s="1"/>
  <c r="N19" i="2"/>
  <c r="M19" i="2"/>
  <c r="L19" i="2"/>
  <c r="N11" i="2"/>
  <c r="N12" i="2" s="1"/>
  <c r="N14" i="2" s="1"/>
  <c r="N15" i="2" s="1"/>
  <c r="M11" i="2"/>
  <c r="M12" i="2" s="1"/>
  <c r="M14" i="2" s="1"/>
  <c r="M15" i="2" s="1"/>
  <c r="L11" i="2"/>
  <c r="L12" i="2"/>
  <c r="L14" i="2" s="1"/>
  <c r="L15" i="2" s="1"/>
  <c r="N10" i="2"/>
  <c r="N9" i="2"/>
  <c r="M9" i="2"/>
  <c r="M10" i="2" s="1"/>
  <c r="L9" i="2"/>
  <c r="L10" i="2" s="1"/>
  <c r="N5" i="2"/>
  <c r="M5" i="2"/>
  <c r="L5" i="2"/>
  <c r="O18" i="2"/>
  <c r="O3" i="2"/>
  <c r="M18" i="2"/>
  <c r="N18" i="2"/>
  <c r="G27" i="2"/>
  <c r="C27" i="2"/>
  <c r="G15" i="2"/>
  <c r="C15" i="2"/>
  <c r="C19" i="2"/>
  <c r="G19" i="2"/>
  <c r="G18" i="2"/>
  <c r="C13" i="2"/>
  <c r="G13" i="2"/>
  <c r="C11" i="2"/>
  <c r="G11" i="2"/>
  <c r="F9" i="2"/>
  <c r="E9" i="2"/>
  <c r="D9" i="2"/>
  <c r="C9" i="2"/>
  <c r="G9" i="2"/>
  <c r="F5" i="2"/>
  <c r="E5" i="2"/>
  <c r="D5" i="2"/>
  <c r="C5" i="2"/>
  <c r="G5" i="2"/>
  <c r="G10" i="2" s="1"/>
  <c r="J5" i="1"/>
  <c r="J6" i="1"/>
  <c r="J7" i="1"/>
  <c r="J4" i="1"/>
  <c r="J3" i="1"/>
  <c r="R16" i="2" l="1"/>
  <c r="Q15" i="2"/>
  <c r="R6" i="2"/>
  <c r="P13" i="2"/>
  <c r="P14" i="2"/>
  <c r="Q7" i="2"/>
  <c r="R7" i="2" s="1"/>
  <c r="S7" i="2" s="1"/>
  <c r="O9" i="2"/>
  <c r="O10" i="2" s="1"/>
  <c r="O12" i="2" s="1"/>
  <c r="C10" i="2"/>
  <c r="C12" i="2" s="1"/>
  <c r="C14" i="2" s="1"/>
  <c r="G12" i="2"/>
  <c r="G14" i="2" s="1"/>
  <c r="D10" i="2"/>
  <c r="D12" i="2" s="1"/>
  <c r="D14" i="2" s="1"/>
  <c r="E10" i="2"/>
  <c r="E12" i="2" s="1"/>
  <c r="E14" i="2" s="1"/>
  <c r="F10" i="2"/>
  <c r="F12" i="2" s="1"/>
  <c r="F14" i="2" s="1"/>
  <c r="S16" i="2" l="1"/>
  <c r="S15" i="2" s="1"/>
  <c r="R15" i="2"/>
  <c r="S6" i="2"/>
  <c r="S9" i="2" s="1"/>
  <c r="S10" i="2" s="1"/>
  <c r="S12" i="2" s="1"/>
  <c r="R9" i="2"/>
  <c r="R10" i="2" s="1"/>
  <c r="R12" i="2" s="1"/>
  <c r="Q9" i="2"/>
  <c r="Q10" i="2" s="1"/>
  <c r="Q12" i="2" s="1"/>
  <c r="O13" i="2"/>
  <c r="O14" i="2" s="1"/>
  <c r="O15" i="2" s="1"/>
  <c r="Q13" i="2" l="1"/>
  <c r="Q14" i="2"/>
  <c r="R14" i="2"/>
  <c r="R13" i="2"/>
  <c r="S13" i="2"/>
  <c r="S14" i="2" s="1"/>
</calcChain>
</file>

<file path=xl/sharedStrings.xml><?xml version="1.0" encoding="utf-8"?>
<sst xmlns="http://schemas.openxmlformats.org/spreadsheetml/2006/main" count="46" uniqueCount="41">
  <si>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</si>
  <si>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</si>
  <si>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</si>
  <si>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</si>
  <si>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</si>
  <si>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</si>
  <si>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</si>
  <si>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</si>
  <si>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</si>
  <si>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</si>
  <si>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</si>
  <si>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</si>
  <si>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</si>
  <si>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</si>
  <si>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</si>
  <si>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</si>
  <si>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Gross Profit</t>
  </si>
  <si>
    <t>COGS</t>
  </si>
  <si>
    <t>Operating Income</t>
  </si>
  <si>
    <t>Operating Expenses</t>
  </si>
  <si>
    <t>G&amp;A</t>
  </si>
  <si>
    <t>R&amp;D</t>
  </si>
  <si>
    <t>S&amp;M</t>
  </si>
  <si>
    <t>Interest Income</t>
  </si>
  <si>
    <t>Pretax Income</t>
  </si>
  <si>
    <t>Taxes</t>
  </si>
  <si>
    <t>Net Income</t>
  </si>
  <si>
    <t>Revenue y/y</t>
  </si>
  <si>
    <t>Gross Margin</t>
  </si>
  <si>
    <t>EPS</t>
  </si>
  <si>
    <t>CFFO</t>
  </si>
  <si>
    <t>CX</t>
  </si>
  <si>
    <t>FCF</t>
  </si>
  <si>
    <t>Founded</t>
  </si>
  <si>
    <t>SMIC</t>
  </si>
  <si>
    <t>SK Hynix</t>
  </si>
  <si>
    <t>Shanghai Huahong</t>
  </si>
  <si>
    <t>15% of revenue</t>
  </si>
  <si>
    <t>YMTC</t>
  </si>
  <si>
    <t>12% of revenue</t>
  </si>
  <si>
    <t>PXW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</si>
</sst>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0</xdr:row>
      <xdr:rowOff>50800</xdr:rowOff>
    </xdr:from>
    <xdr:to>
      <xdr:col>7</xdr:col>
      <xdr:colOff>31750</xdr:colOff>
      <xdr:row>51</xdr:row>
      <xdr:rowOff>12700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B1BA9D6-67D9-2598-6D87-DAF6DE5F6BCC}"/>
            </a:ext>
          </a:extLst>
        </xdr:cNvPr>
        <xdr:cNvCxnSpPr/>
      </xdr:nvCxnSpPr>
      <xdr:spPr>
        <a:xfrm>
          <a:off x="4603750" y="50800"/>
          <a:ext cx="0" cy="8064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36286</xdr:colOff>
      <xdr:row>0</xdr:row>
      <xdr:rowOff>36286</xdr:rowOff>
    </xdr:from>
    <xdr:to>
      <xdr:col>14</xdr:col>
      <xdr:colOff>36286</xdr:colOff>
      <xdr:row>32</xdr:row>
      <xdr:rowOff>112485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63E5BCF-D0F9-C395-057C-DD8CAFE7B6FF}"/>
            </a:ext>
          </a:extLst>
        </xdr:cNvPr>
        <xdr:cNvCxnSpPr/>
      </xdr:nvCxnSpPr>
      <xdr:spPr>
        <a:xfrm>
          <a:off x="8875486" y="36286"/>
          <a:ext cx="0" cy="519248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3B35-22B2-42F3-8EAC-955A1038C6A1}">
  <dimension ref="B2:K9"/>
  <sheetViews>
    <sheetView zoomScale="160" zoomScaleNormal="160" workbookViewId="0">
      <selection activeCell="E9" sqref="E9"/>
    </sheetView>
  </sheetViews>
  <sheetFormatPr defaultRowHeight="12.5" x14ac:dyDescent="0.25"/>
  <cols>
    <col min="1" max="16384" width="8.7265625" style="1"/>
  </cols>
  <sheetData>
    <row r="2" spans="2:11" x14ac:dyDescent="0.25">
      <c r="B2" s="1" t="s">
        <v>34</v>
      </c>
      <c r="I2" s="1" t="s">
        <v>0</v>
      </c>
      <c r="J2" s="1">
        <v>23.19</v>
      </c>
    </row>
    <row r="3" spans="2:11" x14ac:dyDescent="0.25">
      <c r="B3" s="1" t="s">
        <v>35</v>
      </c>
      <c r="I3" s="1" t="s">
        <v>1</v>
      </c>
      <c r="J3" s="2">
        <f>58.842693+5.021811</f>
        <v>63.864503999999997</v>
      </c>
      <c r="K3" s="3" t="s">
        <v>6</v>
      </c>
    </row>
    <row r="4" spans="2:11" x14ac:dyDescent="0.25">
      <c r="B4" s="1" t="s">
        <v>36</v>
      </c>
      <c r="D4" s="1" t="s">
        <v>37</v>
      </c>
      <c r="I4" s="1" t="s">
        <v>2</v>
      </c>
      <c r="J4" s="2">
        <f>+J2*J3</f>
        <v>1481.01784776</v>
      </c>
    </row>
    <row r="5" spans="2:11" x14ac:dyDescent="0.25">
      <c r="B5" s="1" t="s">
        <v>38</v>
      </c>
      <c r="D5" s="1" t="s">
        <v>39</v>
      </c>
      <c r="I5" s="1" t="s">
        <v>3</v>
      </c>
      <c r="J5" s="2">
        <f>457.24+10.586+54.814</f>
        <v>522.64</v>
      </c>
      <c r="K5" s="3" t="s">
        <v>6</v>
      </c>
    </row>
    <row r="6" spans="2:11" x14ac:dyDescent="0.25">
      <c r="B6" s="1" t="s">
        <v>40</v>
      </c>
      <c r="D6" s="1" t="s">
        <v>39</v>
      </c>
      <c r="I6" s="1" t="s">
        <v>4</v>
      </c>
      <c r="J6" s="2">
        <f>24.951+67.935+134.54</f>
        <v>227.42599999999999</v>
      </c>
      <c r="K6" s="3" t="s">
        <v>6</v>
      </c>
    </row>
    <row r="7" spans="2:11" x14ac:dyDescent="0.25">
      <c r="I7" s="1" t="s">
        <v>5</v>
      </c>
      <c r="J7" s="2">
        <f>+J4-J5+J6</f>
        <v>1185.8038477600001</v>
      </c>
    </row>
    <row r="9" spans="2:11" x14ac:dyDescent="0.25">
      <c r="I9" s="1" t="s">
        <v>33</v>
      </c>
      <c r="J9" s="1">
        <v>1998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955F-98AD-4EBD-B886-7228B74E88FF}">
  <dimension ref="A1:S27"/>
  <sheetViews>
    <sheetView tabSelected="1" zoomScale="145" zoomScaleNormal="145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M11" sqref="M11"/>
    </sheetView>
  </sheetViews>
  <sheetFormatPr defaultRowHeight="12.5" x14ac:dyDescent="0.25"/>
  <cols>
    <col min="1" max="1" width="4.6328125" style="1" bestFit="1" customWidth="1"/>
    <col min="2" max="2" width="17.1796875" style="1" bestFit="1" customWidth="1"/>
    <col min="3" max="10" width="8.7265625" style="3"/>
    <col min="11" max="16384" width="8.7265625" style="1"/>
  </cols>
  <sheetData>
    <row r="1" spans="1:19" x14ac:dyDescent="0.25">
      <c r="A1" s="1" t="s">
        <v>7</v>
      </c>
    </row>
    <row r="2" spans="1:19" x14ac:dyDescent="0.25">
      <c r="C2" s="3" t="s">
        <v>9</v>
      </c>
      <c r="D2" s="3" t="s">
        <v>10</v>
      </c>
      <c r="E2" s="3" t="s">
        <v>11</v>
      </c>
      <c r="F2" s="3" t="s">
        <v>12</v>
      </c>
      <c r="G2" s="3" t="s">
        <v>6</v>
      </c>
      <c r="H2" s="3" t="s">
        <v>13</v>
      </c>
      <c r="I2" s="3" t="s">
        <v>14</v>
      </c>
      <c r="J2" s="3" t="s">
        <v>15</v>
      </c>
      <c r="L2" s="1">
        <v>2022</v>
      </c>
      <c r="M2" s="1">
        <v>2023</v>
      </c>
      <c r="N2" s="1">
        <v>2024</v>
      </c>
      <c r="O2" s="1">
        <v>2025</v>
      </c>
      <c r="P2" s="1">
        <f>+O2+1</f>
        <v>2026</v>
      </c>
      <c r="Q2" s="1">
        <f>+P2+1</f>
        <v>2027</v>
      </c>
      <c r="R2" s="1">
        <f>+Q2+1</f>
        <v>2028</v>
      </c>
      <c r="S2" s="1">
        <f>+R2+1</f>
        <v>2029</v>
      </c>
    </row>
    <row r="3" spans="1:19" s="5" customFormat="1" ht="13" x14ac:dyDescent="0.3">
      <c r="B3" s="5" t="s">
        <v>8</v>
      </c>
      <c r="C3" s="6">
        <v>152.191</v>
      </c>
      <c r="D3" s="6"/>
      <c r="E3" s="6"/>
      <c r="F3" s="6"/>
      <c r="G3" s="6">
        <v>172.34700000000001</v>
      </c>
      <c r="H3" s="6"/>
      <c r="I3" s="6"/>
      <c r="J3" s="6"/>
      <c r="L3" s="5">
        <v>388.83199999999999</v>
      </c>
      <c r="M3" s="5">
        <v>557.72299999999996</v>
      </c>
      <c r="N3" s="5">
        <v>782.11800000000005</v>
      </c>
      <c r="O3" s="5">
        <f>+N3*1.15</f>
        <v>899.4357</v>
      </c>
      <c r="P3" s="5">
        <f>+O3*1.1</f>
        <v>989.37927000000013</v>
      </c>
      <c r="Q3" s="5">
        <f>+P3*1.1</f>
        <v>1088.3171970000003</v>
      </c>
      <c r="R3" s="5">
        <f>+Q3*1.1</f>
        <v>1197.1489167000004</v>
      </c>
      <c r="S3" s="5">
        <f>+R3*1.1</f>
        <v>1316.8638083700005</v>
      </c>
    </row>
    <row r="4" spans="1:19" s="2" customFormat="1" x14ac:dyDescent="0.25">
      <c r="B4" s="2" t="s">
        <v>17</v>
      </c>
      <c r="C4" s="4">
        <v>73.069999999999993</v>
      </c>
      <c r="D4" s="4"/>
      <c r="E4" s="4"/>
      <c r="F4" s="4"/>
      <c r="G4" s="4">
        <v>89.796999999999997</v>
      </c>
      <c r="H4" s="4"/>
      <c r="I4" s="4"/>
      <c r="J4" s="4"/>
      <c r="L4" s="2">
        <v>205.21700000000001</v>
      </c>
      <c r="M4" s="2">
        <v>281.50799999999998</v>
      </c>
      <c r="N4" s="2">
        <v>390.56400000000002</v>
      </c>
      <c r="O4" s="2">
        <f>+O3-O5</f>
        <v>449.71785</v>
      </c>
      <c r="P4" s="2">
        <f t="shared" ref="P4:S4" si="0">+P3-P5</f>
        <v>494.68963500000007</v>
      </c>
      <c r="Q4" s="2">
        <f t="shared" si="0"/>
        <v>544.15859850000015</v>
      </c>
      <c r="R4" s="2">
        <f t="shared" si="0"/>
        <v>598.57445835000021</v>
      </c>
      <c r="S4" s="2">
        <f t="shared" si="0"/>
        <v>658.43190418500023</v>
      </c>
    </row>
    <row r="5" spans="1:19" s="2" customFormat="1" x14ac:dyDescent="0.25">
      <c r="B5" s="2" t="s">
        <v>16</v>
      </c>
      <c r="C5" s="4">
        <f t="shared" ref="C5:F5" si="1">+C3-C4</f>
        <v>79.121000000000009</v>
      </c>
      <c r="D5" s="4">
        <f t="shared" si="1"/>
        <v>0</v>
      </c>
      <c r="E5" s="4">
        <f t="shared" si="1"/>
        <v>0</v>
      </c>
      <c r="F5" s="4">
        <f t="shared" si="1"/>
        <v>0</v>
      </c>
      <c r="G5" s="4">
        <f>+G3-G4</f>
        <v>82.550000000000011</v>
      </c>
      <c r="H5" s="4"/>
      <c r="I5" s="4"/>
      <c r="J5" s="4"/>
      <c r="L5" s="2">
        <f>+L3-L4</f>
        <v>183.61499999999998</v>
      </c>
      <c r="M5" s="2">
        <f>+M3-M4</f>
        <v>276.21499999999997</v>
      </c>
      <c r="N5" s="2">
        <f>+N3-N4</f>
        <v>391.55400000000003</v>
      </c>
      <c r="O5" s="2">
        <f>+O3*0.5</f>
        <v>449.71785</v>
      </c>
      <c r="P5" s="2">
        <f t="shared" ref="P5:S5" si="2">+P3*0.5</f>
        <v>494.68963500000007</v>
      </c>
      <c r="Q5" s="2">
        <f t="shared" si="2"/>
        <v>544.15859850000015</v>
      </c>
      <c r="R5" s="2">
        <f t="shared" si="2"/>
        <v>598.57445835000021</v>
      </c>
      <c r="S5" s="2">
        <f t="shared" si="2"/>
        <v>658.43190418500023</v>
      </c>
    </row>
    <row r="6" spans="1:19" s="2" customFormat="1" x14ac:dyDescent="0.25">
      <c r="B6" s="2" t="s">
        <v>22</v>
      </c>
      <c r="C6" s="4">
        <v>14.173</v>
      </c>
      <c r="D6" s="4"/>
      <c r="E6" s="4"/>
      <c r="F6" s="4"/>
      <c r="G6" s="4">
        <v>16.343</v>
      </c>
      <c r="H6" s="4"/>
      <c r="I6" s="4"/>
      <c r="J6" s="4"/>
      <c r="L6" s="2">
        <v>39.889000000000003</v>
      </c>
      <c r="M6" s="2">
        <v>47.018999999999998</v>
      </c>
      <c r="N6" s="2">
        <v>65.447000000000003</v>
      </c>
      <c r="O6" s="2">
        <f>+N6*1.05</f>
        <v>68.719350000000006</v>
      </c>
      <c r="P6" s="2">
        <f t="shared" ref="P6:S6" si="3">+O6*1.05</f>
        <v>72.15531750000001</v>
      </c>
      <c r="Q6" s="2">
        <f t="shared" si="3"/>
        <v>75.763083375000008</v>
      </c>
      <c r="R6" s="2">
        <f t="shared" si="3"/>
        <v>79.551237543750005</v>
      </c>
      <c r="S6" s="2">
        <f t="shared" si="3"/>
        <v>83.528799420937503</v>
      </c>
    </row>
    <row r="7" spans="1:19" s="2" customFormat="1" x14ac:dyDescent="0.25">
      <c r="B7" s="2" t="s">
        <v>21</v>
      </c>
      <c r="C7" s="4">
        <v>23.917999999999999</v>
      </c>
      <c r="D7" s="4"/>
      <c r="E7" s="4"/>
      <c r="F7" s="4"/>
      <c r="G7" s="4">
        <v>27.503</v>
      </c>
      <c r="H7" s="4"/>
      <c r="I7" s="4"/>
      <c r="J7" s="4"/>
      <c r="L7" s="2">
        <v>62.225999999999999</v>
      </c>
      <c r="M7" s="2">
        <v>92.709000000000003</v>
      </c>
      <c r="N7" s="2">
        <v>105.473</v>
      </c>
      <c r="O7" s="2">
        <f t="shared" ref="O7:S8" si="4">+N7*1.05</f>
        <v>110.74665</v>
      </c>
      <c r="P7" s="2">
        <f t="shared" si="4"/>
        <v>116.28398250000001</v>
      </c>
      <c r="Q7" s="2">
        <f t="shared" si="4"/>
        <v>122.09818162500001</v>
      </c>
      <c r="R7" s="2">
        <f t="shared" si="4"/>
        <v>128.20309070625001</v>
      </c>
      <c r="S7" s="2">
        <f t="shared" si="4"/>
        <v>134.61324524156251</v>
      </c>
    </row>
    <row r="8" spans="1:19" s="2" customFormat="1" x14ac:dyDescent="0.25">
      <c r="B8" s="2" t="s">
        <v>20</v>
      </c>
      <c r="C8" s="4">
        <v>15.798</v>
      </c>
      <c r="D8" s="4"/>
      <c r="E8" s="4"/>
      <c r="F8" s="4"/>
      <c r="G8" s="4">
        <v>12.927</v>
      </c>
      <c r="H8" s="4"/>
      <c r="I8" s="4"/>
      <c r="J8" s="4"/>
      <c r="L8" s="2">
        <v>22.465</v>
      </c>
      <c r="M8" s="2">
        <v>40.648000000000003</v>
      </c>
      <c r="N8" s="2">
        <v>69.635999999999996</v>
      </c>
      <c r="O8" s="2">
        <f t="shared" si="4"/>
        <v>73.117800000000003</v>
      </c>
      <c r="P8" s="2">
        <f t="shared" si="4"/>
        <v>76.773690000000002</v>
      </c>
      <c r="Q8" s="2">
        <f t="shared" si="4"/>
        <v>80.612374500000001</v>
      </c>
      <c r="R8" s="2">
        <f t="shared" si="4"/>
        <v>84.642993225000012</v>
      </c>
      <c r="S8" s="2">
        <f t="shared" si="4"/>
        <v>88.875142886250018</v>
      </c>
    </row>
    <row r="9" spans="1:19" s="2" customFormat="1" x14ac:dyDescent="0.25">
      <c r="B9" s="2" t="s">
        <v>19</v>
      </c>
      <c r="C9" s="4">
        <f t="shared" ref="C9:F9" si="5">SUM(C6:C8)</f>
        <v>53.889000000000003</v>
      </c>
      <c r="D9" s="4">
        <f t="shared" si="5"/>
        <v>0</v>
      </c>
      <c r="E9" s="4">
        <f t="shared" si="5"/>
        <v>0</v>
      </c>
      <c r="F9" s="4">
        <f t="shared" si="5"/>
        <v>0</v>
      </c>
      <c r="G9" s="4">
        <f>SUM(G6:G8)</f>
        <v>56.773000000000003</v>
      </c>
      <c r="H9" s="4"/>
      <c r="I9" s="4"/>
      <c r="J9" s="4"/>
      <c r="L9" s="4">
        <f t="shared" ref="L9:O9" si="6">SUM(L6:L8)</f>
        <v>124.58000000000001</v>
      </c>
      <c r="M9" s="4">
        <f t="shared" si="6"/>
        <v>180.376</v>
      </c>
      <c r="N9" s="4">
        <f t="shared" si="6"/>
        <v>240.55600000000001</v>
      </c>
      <c r="O9" s="4">
        <f t="shared" si="6"/>
        <v>252.5838</v>
      </c>
      <c r="P9" s="4">
        <f t="shared" ref="P9" si="7">SUM(P6:P8)</f>
        <v>265.21298999999999</v>
      </c>
      <c r="Q9" s="4">
        <f t="shared" ref="Q9" si="8">SUM(Q6:Q8)</f>
        <v>278.47363949999999</v>
      </c>
      <c r="R9" s="4">
        <f t="shared" ref="R9" si="9">SUM(R6:R8)</f>
        <v>292.39732147500001</v>
      </c>
      <c r="S9" s="4">
        <f t="shared" ref="S9" si="10">SUM(S6:S8)</f>
        <v>307.01718754875003</v>
      </c>
    </row>
    <row r="10" spans="1:19" s="2" customFormat="1" x14ac:dyDescent="0.25">
      <c r="B10" s="2" t="s">
        <v>18</v>
      </c>
      <c r="C10" s="4">
        <f t="shared" ref="C10:F10" si="11">C5-C9</f>
        <v>25.232000000000006</v>
      </c>
      <c r="D10" s="4">
        <f t="shared" si="11"/>
        <v>0</v>
      </c>
      <c r="E10" s="4">
        <f t="shared" si="11"/>
        <v>0</v>
      </c>
      <c r="F10" s="4">
        <f t="shared" si="11"/>
        <v>0</v>
      </c>
      <c r="G10" s="4">
        <f>G5-G9</f>
        <v>25.777000000000008</v>
      </c>
      <c r="H10" s="4"/>
      <c r="I10" s="4"/>
      <c r="J10" s="4"/>
      <c r="L10" s="4">
        <f t="shared" ref="L10:O10" si="12">L5-L9</f>
        <v>59.034999999999968</v>
      </c>
      <c r="M10" s="4">
        <f t="shared" si="12"/>
        <v>95.83899999999997</v>
      </c>
      <c r="N10" s="4">
        <f t="shared" si="12"/>
        <v>150.99800000000002</v>
      </c>
      <c r="O10" s="4">
        <f t="shared" si="12"/>
        <v>197.13405</v>
      </c>
      <c r="P10" s="4">
        <f t="shared" ref="P10" si="13">P5-P9</f>
        <v>229.47664500000008</v>
      </c>
      <c r="Q10" s="4">
        <f t="shared" ref="Q10" si="14">Q5-Q9</f>
        <v>265.68495900000016</v>
      </c>
      <c r="R10" s="4">
        <f t="shared" ref="R10" si="15">R5-R9</f>
        <v>306.1771368750002</v>
      </c>
      <c r="S10" s="4">
        <f t="shared" ref="S10" si="16">S5-S9</f>
        <v>351.4147166362502</v>
      </c>
    </row>
    <row r="11" spans="1:19" s="2" customFormat="1" x14ac:dyDescent="0.25">
      <c r="B11" s="2" t="s">
        <v>23</v>
      </c>
      <c r="C11" s="4">
        <f>1.774-0.783</f>
        <v>0.99099999999999999</v>
      </c>
      <c r="D11" s="4"/>
      <c r="E11" s="4"/>
      <c r="F11" s="4"/>
      <c r="G11" s="4">
        <f>3.339-1.558</f>
        <v>1.7809999999999999</v>
      </c>
      <c r="H11" s="4"/>
      <c r="I11" s="4"/>
      <c r="J11" s="4"/>
      <c r="L11" s="2">
        <f>8.74-1.655</f>
        <v>7.085</v>
      </c>
      <c r="M11" s="2">
        <f>8.354-2.681</f>
        <v>5.6729999999999992</v>
      </c>
      <c r="N11" s="2">
        <f>9.935-4.151</f>
        <v>5.7840000000000007</v>
      </c>
      <c r="O11" s="2">
        <f>+N11+1</f>
        <v>6.7840000000000007</v>
      </c>
      <c r="P11" s="2">
        <f t="shared" ref="P11:S11" si="17">+O11+1</f>
        <v>7.7840000000000007</v>
      </c>
      <c r="Q11" s="2">
        <f t="shared" si="17"/>
        <v>8.7840000000000007</v>
      </c>
      <c r="R11" s="2">
        <f t="shared" si="17"/>
        <v>9.7840000000000007</v>
      </c>
      <c r="S11" s="2">
        <f t="shared" si="17"/>
        <v>10.784000000000001</v>
      </c>
    </row>
    <row r="12" spans="1:19" s="2" customFormat="1" x14ac:dyDescent="0.25">
      <c r="B12" s="2" t="s">
        <v>24</v>
      </c>
      <c r="C12" s="4">
        <f t="shared" ref="C12:F12" si="18">+C10+C11</f>
        <v>26.223000000000006</v>
      </c>
      <c r="D12" s="4">
        <f t="shared" si="18"/>
        <v>0</v>
      </c>
      <c r="E12" s="4">
        <f t="shared" si="18"/>
        <v>0</v>
      </c>
      <c r="F12" s="4">
        <f t="shared" si="18"/>
        <v>0</v>
      </c>
      <c r="G12" s="4">
        <f>+G10+G11</f>
        <v>27.558000000000007</v>
      </c>
      <c r="H12" s="4"/>
      <c r="I12" s="4"/>
      <c r="J12" s="4"/>
      <c r="L12" s="4">
        <f t="shared" ref="L12:O12" si="19">+L10+L11</f>
        <v>66.119999999999962</v>
      </c>
      <c r="M12" s="4">
        <f t="shared" si="19"/>
        <v>101.51199999999997</v>
      </c>
      <c r="N12" s="4">
        <f t="shared" si="19"/>
        <v>156.78200000000001</v>
      </c>
      <c r="O12" s="4">
        <f t="shared" si="19"/>
        <v>203.91804999999999</v>
      </c>
      <c r="P12" s="4">
        <f t="shared" ref="P12" si="20">+P10+P11</f>
        <v>237.26064500000007</v>
      </c>
      <c r="Q12" s="4">
        <f t="shared" ref="Q12" si="21">+Q10+Q11</f>
        <v>274.46895900000015</v>
      </c>
      <c r="R12" s="4">
        <f t="shared" ref="R12" si="22">+R10+R11</f>
        <v>315.96113687500019</v>
      </c>
      <c r="S12" s="4">
        <f t="shared" ref="S12" si="23">+S10+S11</f>
        <v>362.1987166362502</v>
      </c>
    </row>
    <row r="13" spans="1:19" s="2" customFormat="1" x14ac:dyDescent="0.25">
      <c r="B13" s="2" t="s">
        <v>25</v>
      </c>
      <c r="C13" s="4">
        <f>4.369+4.659</f>
        <v>9.0279999999999987</v>
      </c>
      <c r="D13" s="4"/>
      <c r="E13" s="4"/>
      <c r="F13" s="4"/>
      <c r="G13" s="4">
        <f>2.153+4.633</f>
        <v>6.7859999999999996</v>
      </c>
      <c r="H13" s="4"/>
      <c r="I13" s="4"/>
      <c r="J13" s="4"/>
      <c r="L13" s="2">
        <v>16.797999999999998</v>
      </c>
      <c r="M13" s="2">
        <v>19.364000000000001</v>
      </c>
      <c r="N13" s="2">
        <v>35.030999999999999</v>
      </c>
      <c r="O13" s="2">
        <f>+O12*0.2</f>
        <v>40.783610000000003</v>
      </c>
      <c r="P13" s="2">
        <f t="shared" ref="P13:S13" si="24">+P12*0.2</f>
        <v>47.452129000000014</v>
      </c>
      <c r="Q13" s="2">
        <f t="shared" si="24"/>
        <v>54.893791800000031</v>
      </c>
      <c r="R13" s="2">
        <f t="shared" si="24"/>
        <v>63.192227375000044</v>
      </c>
      <c r="S13" s="2">
        <f t="shared" si="24"/>
        <v>72.439743327250042</v>
      </c>
    </row>
    <row r="14" spans="1:19" s="2" customFormat="1" x14ac:dyDescent="0.25">
      <c r="B14" s="2" t="s">
        <v>26</v>
      </c>
      <c r="C14" s="4">
        <f>+C12-C13</f>
        <v>17.195000000000007</v>
      </c>
      <c r="D14" s="4">
        <f>+D12-D13</f>
        <v>0</v>
      </c>
      <c r="E14" s="4">
        <f>+E12-E13</f>
        <v>0</v>
      </c>
      <c r="F14" s="4">
        <f>+F12-F13</f>
        <v>0</v>
      </c>
      <c r="G14" s="4">
        <f>+G12-G13</f>
        <v>20.772000000000006</v>
      </c>
      <c r="H14" s="4"/>
      <c r="I14" s="4"/>
      <c r="J14" s="4"/>
      <c r="L14" s="4">
        <f t="shared" ref="L14:O14" si="25">+L12-L13</f>
        <v>49.32199999999996</v>
      </c>
      <c r="M14" s="4">
        <f t="shared" si="25"/>
        <v>82.147999999999968</v>
      </c>
      <c r="N14" s="4">
        <f t="shared" si="25"/>
        <v>121.751</v>
      </c>
      <c r="O14" s="4">
        <f t="shared" si="25"/>
        <v>163.13443999999998</v>
      </c>
      <c r="P14" s="4">
        <f t="shared" ref="P14" si="26">+P12-P13</f>
        <v>189.80851600000005</v>
      </c>
      <c r="Q14" s="4">
        <f t="shared" ref="Q14" si="27">+Q12-Q13</f>
        <v>219.57516720000012</v>
      </c>
      <c r="R14" s="4">
        <f t="shared" ref="R14" si="28">+R12-R13</f>
        <v>252.76890950000015</v>
      </c>
      <c r="S14" s="4">
        <f t="shared" ref="S14" si="29">+S12-S13</f>
        <v>289.75897330900017</v>
      </c>
    </row>
    <row r="15" spans="1:19" x14ac:dyDescent="0.25">
      <c r="B15" s="8" t="s">
        <v>29</v>
      </c>
      <c r="C15" s="9">
        <f>C14/C16</f>
        <v>0.25957725726427983</v>
      </c>
      <c r="G15" s="9">
        <f>G14/G16</f>
        <v>0.31024853428776533</v>
      </c>
      <c r="L15" s="8">
        <f>+L14/L16</f>
        <v>0.7548310865342166</v>
      </c>
      <c r="M15" s="8">
        <f>+M14/M16</f>
        <v>1.2663374807884678</v>
      </c>
      <c r="N15" s="8">
        <f>+N14/N16</f>
        <v>1.8380998633038628</v>
      </c>
      <c r="O15" s="8">
        <f>+O14/O16</f>
        <v>2.4628741600820705</v>
      </c>
      <c r="P15" s="8">
        <f t="shared" ref="P15:S15" si="30">+P14/P16</f>
        <v>2.8655781662040485</v>
      </c>
      <c r="Q15" s="8">
        <f t="shared" si="30"/>
        <v>3.3149714155550511</v>
      </c>
      <c r="R15" s="8">
        <f t="shared" si="30"/>
        <v>3.8161041634107047</v>
      </c>
      <c r="S15" s="8">
        <f t="shared" si="30"/>
        <v>4.3745507571218374</v>
      </c>
    </row>
    <row r="16" spans="1:19" s="2" customFormat="1" x14ac:dyDescent="0.25">
      <c r="B16" s="2" t="s">
        <v>1</v>
      </c>
      <c r="C16" s="4">
        <v>66.242321000000004</v>
      </c>
      <c r="D16" s="4"/>
      <c r="E16" s="4"/>
      <c r="F16" s="4"/>
      <c r="G16" s="4">
        <v>66.952774000000005</v>
      </c>
      <c r="H16" s="4"/>
      <c r="I16" s="4"/>
      <c r="J16" s="4"/>
      <c r="L16" s="2">
        <v>65.341770999999994</v>
      </c>
      <c r="M16" s="2">
        <v>64.870542999999998</v>
      </c>
      <c r="N16" s="2">
        <v>66.237424000000004</v>
      </c>
      <c r="O16" s="2">
        <f>+N16</f>
        <v>66.237424000000004</v>
      </c>
      <c r="P16" s="2">
        <f t="shared" ref="P16:S16" si="31">+O16</f>
        <v>66.237424000000004</v>
      </c>
      <c r="Q16" s="2">
        <f t="shared" si="31"/>
        <v>66.237424000000004</v>
      </c>
      <c r="R16" s="2">
        <f t="shared" si="31"/>
        <v>66.237424000000004</v>
      </c>
      <c r="S16" s="2">
        <f t="shared" si="31"/>
        <v>66.237424000000004</v>
      </c>
    </row>
    <row r="18" spans="2:19" x14ac:dyDescent="0.25">
      <c r="B18" s="1" t="s">
        <v>27</v>
      </c>
      <c r="G18" s="7">
        <f>+G3/C3-1</f>
        <v>0.13243884329559563</v>
      </c>
      <c r="M18" s="10">
        <f>+M3/L3-1</f>
        <v>0.43435468274216116</v>
      </c>
      <c r="N18" s="10">
        <f>+N3/M3-1</f>
        <v>0.40234130563021453</v>
      </c>
      <c r="O18" s="10">
        <f>+O3/N3-1</f>
        <v>0.14999999999999991</v>
      </c>
      <c r="P18" s="10">
        <f t="shared" ref="P18:S18" si="32">+P3/O3-1</f>
        <v>0.10000000000000009</v>
      </c>
      <c r="Q18" s="10">
        <f t="shared" si="32"/>
        <v>0.10000000000000009</v>
      </c>
      <c r="R18" s="10">
        <f t="shared" si="32"/>
        <v>0.10000000000000009</v>
      </c>
      <c r="S18" s="10">
        <f t="shared" si="32"/>
        <v>0.10000000000000009</v>
      </c>
    </row>
    <row r="19" spans="2:19" x14ac:dyDescent="0.25">
      <c r="B19" s="1" t="s">
        <v>28</v>
      </c>
      <c r="C19" s="7">
        <f>+C5/C3</f>
        <v>0.51987962494497053</v>
      </c>
      <c r="G19" s="7">
        <f>+G5/G3</f>
        <v>0.47897555513005741</v>
      </c>
      <c r="L19" s="7">
        <f t="shared" ref="L19:P19" si="33">+L5/L3</f>
        <v>0.47222193646613442</v>
      </c>
      <c r="M19" s="7">
        <f t="shared" si="33"/>
        <v>0.49525481287305706</v>
      </c>
      <c r="N19" s="7">
        <f t="shared" si="33"/>
        <v>0.50063289682631007</v>
      </c>
      <c r="O19" s="7">
        <f t="shared" si="33"/>
        <v>0.5</v>
      </c>
      <c r="P19" s="7">
        <f t="shared" ref="P19:S19" si="34">+P5/P3</f>
        <v>0.5</v>
      </c>
      <c r="Q19" s="7">
        <f t="shared" si="34"/>
        <v>0.5</v>
      </c>
      <c r="R19" s="7">
        <f t="shared" si="34"/>
        <v>0.5</v>
      </c>
      <c r="S19" s="7">
        <f t="shared" si="34"/>
        <v>0.5</v>
      </c>
    </row>
    <row r="25" spans="2:19" s="2" customFormat="1" x14ac:dyDescent="0.25">
      <c r="B25" s="2" t="s">
        <v>30</v>
      </c>
      <c r="C25" s="4">
        <v>-9.6489999999999991</v>
      </c>
      <c r="D25" s="4"/>
      <c r="E25" s="4"/>
      <c r="F25" s="4"/>
      <c r="G25" s="4">
        <v>5.282</v>
      </c>
      <c r="H25" s="4"/>
      <c r="I25" s="4"/>
      <c r="J25" s="4"/>
      <c r="L25" s="2">
        <v>-62.194000000000003</v>
      </c>
      <c r="M25" s="2">
        <v>-75.322999999999993</v>
      </c>
      <c r="N25" s="2">
        <v>152.44999999999999</v>
      </c>
    </row>
    <row r="26" spans="2:19" s="2" customFormat="1" x14ac:dyDescent="0.25">
      <c r="B26" s="2" t="s">
        <v>31</v>
      </c>
      <c r="C26" s="4">
        <v>25.419</v>
      </c>
      <c r="D26" s="4"/>
      <c r="E26" s="4"/>
      <c r="F26" s="4"/>
      <c r="G26" s="4">
        <v>16.725999999999999</v>
      </c>
      <c r="H26" s="4"/>
      <c r="I26" s="4"/>
      <c r="J26" s="4"/>
      <c r="L26" s="2">
        <v>91.093999999999994</v>
      </c>
      <c r="M26" s="2">
        <v>61.875999999999998</v>
      </c>
      <c r="N26" s="2">
        <v>82.462999999999994</v>
      </c>
    </row>
    <row r="27" spans="2:19" s="2" customFormat="1" x14ac:dyDescent="0.25">
      <c r="B27" s="2" t="s">
        <v>32</v>
      </c>
      <c r="C27" s="4">
        <f>C25-C26</f>
        <v>-35.067999999999998</v>
      </c>
      <c r="D27" s="4"/>
      <c r="E27" s="4"/>
      <c r="F27" s="4"/>
      <c r="G27" s="4">
        <f>G25-G26</f>
        <v>-11.443999999999999</v>
      </c>
      <c r="H27" s="4"/>
      <c r="I27" s="4"/>
      <c r="J27" s="4"/>
      <c r="L27" s="2">
        <f t="shared" ref="L27:M27" si="35">+L25-L26</f>
        <v>-153.28800000000001</v>
      </c>
      <c r="M27" s="2">
        <f t="shared" si="35"/>
        <v>-137.19899999999998</v>
      </c>
      <c r="N27" s="2">
        <f>+N25-N26</f>
        <v>69.986999999999995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2025-05-19T19:12:39Z</dcterms:created>
  <dcterms:modified xsi:type="dcterms:W3CDTF">2025-05-19T19:35:06Z</dcterms:modified>
</cp:coreProperties>
</file>