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77F3563-B86B-499D-846A-AE1D7565DECA}" xr6:coauthVersionLast="47" xr6:coauthVersionMax="47" xr10:uidLastSave="{00000000-0000-0000-0000-000000000000}"/>
  <bookViews>
    <workbookView xWindow="-25425" yWindow="1110" windowWidth="25545" windowHeight="17280" activeTab="1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6" i="2" l="1"/>
  <c r="AI16" i="2"/>
  <c r="AJ16" i="2"/>
  <c r="AK16" i="2" s="1"/>
  <c r="AL16" i="2" s="1"/>
  <c r="AM16" i="2" s="1"/>
  <c r="AH17" i="2"/>
  <c r="AI17" i="2" s="1"/>
  <c r="AJ17" i="2" s="1"/>
  <c r="AK17" i="2" s="1"/>
  <c r="AL17" i="2" s="1"/>
  <c r="AM17" i="2" s="1"/>
  <c r="AH18" i="2"/>
  <c r="AI18" i="2" s="1"/>
  <c r="AJ18" i="2" s="1"/>
  <c r="AK18" i="2" s="1"/>
  <c r="AL18" i="2" s="1"/>
  <c r="AM18" i="2" s="1"/>
  <c r="AH27" i="2"/>
  <c r="AG40" i="2"/>
  <c r="V40" i="2"/>
  <c r="Z2" i="2"/>
  <c r="Y2" i="2"/>
  <c r="X2" i="2"/>
  <c r="W2" i="2"/>
  <c r="AI24" i="2"/>
  <c r="AJ24" i="2" s="1"/>
  <c r="AK24" i="2" s="1"/>
  <c r="AL24" i="2" s="1"/>
  <c r="AM24" i="2" s="1"/>
  <c r="AI23" i="2"/>
  <c r="AJ23" i="2" s="1"/>
  <c r="AK23" i="2" s="1"/>
  <c r="AL23" i="2" s="1"/>
  <c r="AM23" i="2" s="1"/>
  <c r="AI22" i="2"/>
  <c r="AJ22" i="2" s="1"/>
  <c r="AK22" i="2" s="1"/>
  <c r="AL22" i="2" s="1"/>
  <c r="AM22" i="2" s="1"/>
  <c r="AH24" i="2"/>
  <c r="AH23" i="2"/>
  <c r="AH22" i="2"/>
  <c r="AD4" i="2" l="1"/>
  <c r="AE4" i="2"/>
  <c r="AF4" i="2"/>
  <c r="AG34" i="2"/>
  <c r="AM32" i="2"/>
  <c r="AL32" i="2"/>
  <c r="AK32" i="2"/>
  <c r="AJ32" i="2"/>
  <c r="AI32" i="2"/>
  <c r="AH32" i="2"/>
  <c r="AH25" i="2"/>
  <c r="AH19" i="2"/>
  <c r="AG37" i="2"/>
  <c r="AF38" i="2"/>
  <c r="AF37" i="2"/>
  <c r="AF32" i="2"/>
  <c r="AF29" i="2"/>
  <c r="AF27" i="2"/>
  <c r="AF24" i="2"/>
  <c r="AF23" i="2"/>
  <c r="AF22" i="2"/>
  <c r="AF21" i="2"/>
  <c r="AF20" i="2"/>
  <c r="AF16" i="2"/>
  <c r="AG32" i="2"/>
  <c r="AG29" i="2"/>
  <c r="AG27" i="2"/>
  <c r="AG25" i="2"/>
  <c r="AG26" i="2" s="1"/>
  <c r="AG28" i="2" s="1"/>
  <c r="AG24" i="2"/>
  <c r="AG23" i="2"/>
  <c r="AG22" i="2"/>
  <c r="AG21" i="2"/>
  <c r="AG20" i="2"/>
  <c r="V18" i="2"/>
  <c r="V17" i="2"/>
  <c r="V16" i="2"/>
  <c r="AG18" i="2"/>
  <c r="AG17" i="2"/>
  <c r="AG16" i="2"/>
  <c r="AE18" i="2"/>
  <c r="AE17" i="2"/>
  <c r="AE16" i="2"/>
  <c r="AF19" i="2"/>
  <c r="AF18" i="2"/>
  <c r="AF17" i="2"/>
  <c r="V2" i="2"/>
  <c r="V31" i="2"/>
  <c r="V27" i="2"/>
  <c r="V22" i="2"/>
  <c r="V20" i="2"/>
  <c r="V21" i="2"/>
  <c r="V25" i="2"/>
  <c r="V26" i="2" s="1"/>
  <c r="V32" i="2"/>
  <c r="V36" i="2"/>
  <c r="V37" i="2"/>
  <c r="U36" i="2"/>
  <c r="T36" i="2"/>
  <c r="S36" i="2"/>
  <c r="R36" i="2"/>
  <c r="Q36" i="2"/>
  <c r="P36" i="2"/>
  <c r="O36" i="2"/>
  <c r="N36" i="2"/>
  <c r="U38" i="2"/>
  <c r="T38" i="2"/>
  <c r="S38" i="2"/>
  <c r="R38" i="2"/>
  <c r="Q38" i="2"/>
  <c r="P38" i="2"/>
  <c r="O38" i="2"/>
  <c r="N38" i="2"/>
  <c r="U37" i="2"/>
  <c r="T37" i="2"/>
  <c r="S37" i="2"/>
  <c r="R37" i="2"/>
  <c r="Q37" i="2"/>
  <c r="P37" i="2"/>
  <c r="O37" i="2"/>
  <c r="N37" i="2"/>
  <c r="N25" i="2"/>
  <c r="N19" i="2"/>
  <c r="N34" i="2" s="1"/>
  <c r="R25" i="2"/>
  <c r="R19" i="2"/>
  <c r="V34" i="2" s="1"/>
  <c r="S25" i="2"/>
  <c r="S19" i="2"/>
  <c r="P25" i="2"/>
  <c r="P19" i="2"/>
  <c r="P21" i="2" s="1"/>
  <c r="T25" i="2"/>
  <c r="T19" i="2"/>
  <c r="T21" i="2" s="1"/>
  <c r="U84" i="2"/>
  <c r="U86" i="2" s="1"/>
  <c r="U76" i="2"/>
  <c r="U79" i="2" s="1"/>
  <c r="O74" i="2"/>
  <c r="P74" i="2"/>
  <c r="Q74" i="2"/>
  <c r="R74" i="2"/>
  <c r="S74" i="2"/>
  <c r="T74" i="2"/>
  <c r="U74" i="2"/>
  <c r="U56" i="2"/>
  <c r="U55" i="2"/>
  <c r="U54" i="2"/>
  <c r="U53" i="2"/>
  <c r="U62" i="2" s="1"/>
  <c r="T49" i="2"/>
  <c r="S49" i="2"/>
  <c r="R49" i="2"/>
  <c r="Q49" i="2"/>
  <c r="P49" i="2"/>
  <c r="O49" i="2"/>
  <c r="U46" i="2"/>
  <c r="U41" i="2"/>
  <c r="U49" i="2" s="1"/>
  <c r="Q25" i="2"/>
  <c r="Q19" i="2"/>
  <c r="Q21" i="2" s="1"/>
  <c r="U27" i="2"/>
  <c r="U25" i="2"/>
  <c r="U20" i="2"/>
  <c r="U19" i="2"/>
  <c r="U34" i="2" s="1"/>
  <c r="I55" i="2"/>
  <c r="I54" i="2"/>
  <c r="I56" i="2"/>
  <c r="I46" i="2"/>
  <c r="I41" i="2"/>
  <c r="H85" i="2"/>
  <c r="I85" i="2" s="1"/>
  <c r="H83" i="2"/>
  <c r="I83" i="2" s="1"/>
  <c r="J83" i="2" s="1"/>
  <c r="H82" i="2"/>
  <c r="I82" i="2" s="1"/>
  <c r="J82" i="2" s="1"/>
  <c r="H78" i="2"/>
  <c r="I78" i="2" s="1"/>
  <c r="J78" i="2" s="1"/>
  <c r="H77" i="2"/>
  <c r="I77" i="2" s="1"/>
  <c r="J77" i="2" s="1"/>
  <c r="H72" i="2"/>
  <c r="I72" i="2" s="1"/>
  <c r="J72" i="2" s="1"/>
  <c r="H71" i="2"/>
  <c r="I71" i="2" s="1"/>
  <c r="J71" i="2" s="1"/>
  <c r="H70" i="2"/>
  <c r="I70" i="2" s="1"/>
  <c r="J70" i="2" s="1"/>
  <c r="H69" i="2"/>
  <c r="I69" i="2" s="1"/>
  <c r="J69" i="2" s="1"/>
  <c r="H68" i="2"/>
  <c r="I68" i="2" s="1"/>
  <c r="J68" i="2" s="1"/>
  <c r="H67" i="2"/>
  <c r="I67" i="2" s="1"/>
  <c r="J67" i="2" s="1"/>
  <c r="H66" i="2"/>
  <c r="I66" i="2" s="1"/>
  <c r="J66" i="2" s="1"/>
  <c r="H65" i="2"/>
  <c r="H56" i="2"/>
  <c r="H55" i="2"/>
  <c r="H54" i="2"/>
  <c r="H46" i="2"/>
  <c r="H41" i="2"/>
  <c r="H40" i="2" s="1"/>
  <c r="G81" i="2"/>
  <c r="G84" i="2" s="1"/>
  <c r="G76" i="2"/>
  <c r="H76" i="2" s="1"/>
  <c r="G73" i="2"/>
  <c r="H73" i="2" s="1"/>
  <c r="I73" i="2" s="1"/>
  <c r="G56" i="2"/>
  <c r="G55" i="2"/>
  <c r="G54" i="2"/>
  <c r="G46" i="2"/>
  <c r="G41" i="2"/>
  <c r="G40" i="2" s="1"/>
  <c r="AC83" i="2"/>
  <c r="AC81" i="2"/>
  <c r="AB81" i="2"/>
  <c r="AB84" i="2"/>
  <c r="AD81" i="2"/>
  <c r="AD84" i="2" s="1"/>
  <c r="AD76" i="2"/>
  <c r="AD79" i="2" s="1"/>
  <c r="AC76" i="2"/>
  <c r="AC79" i="2"/>
  <c r="AB76" i="2"/>
  <c r="AB79" i="2" s="1"/>
  <c r="AD73" i="2"/>
  <c r="AD74" i="2" s="1"/>
  <c r="AD88" i="2" s="1"/>
  <c r="AC73" i="2"/>
  <c r="AC74" i="2" s="1"/>
  <c r="AE74" i="2"/>
  <c r="AB73" i="2"/>
  <c r="AB74" i="2" s="1"/>
  <c r="AE24" i="2"/>
  <c r="AE22" i="2"/>
  <c r="AE23" i="2"/>
  <c r="AE32" i="2"/>
  <c r="AD27" i="2"/>
  <c r="AD32" i="2"/>
  <c r="AD29" i="2"/>
  <c r="AC25" i="2"/>
  <c r="AB25" i="2"/>
  <c r="AD24" i="2"/>
  <c r="AD23" i="2"/>
  <c r="AD22" i="2"/>
  <c r="AD20" i="2"/>
  <c r="AD18" i="2"/>
  <c r="AD17" i="2"/>
  <c r="AD16" i="2"/>
  <c r="J55" i="2"/>
  <c r="J56" i="2"/>
  <c r="J54" i="2"/>
  <c r="J46" i="2"/>
  <c r="J41" i="2"/>
  <c r="J40" i="2" s="1"/>
  <c r="AC19" i="2"/>
  <c r="AC21" i="2" s="1"/>
  <c r="AC37" i="2" s="1"/>
  <c r="AB19" i="2"/>
  <c r="AB21" i="2" s="1"/>
  <c r="AB37" i="2" s="1"/>
  <c r="AD8" i="2"/>
  <c r="AC8" i="2"/>
  <c r="AB8" i="2"/>
  <c r="M84" i="2"/>
  <c r="M79" i="2"/>
  <c r="K36" i="2"/>
  <c r="L36" i="2"/>
  <c r="M36" i="2"/>
  <c r="M57" i="2"/>
  <c r="M56" i="2"/>
  <c r="M55" i="2"/>
  <c r="M54" i="2"/>
  <c r="M53" i="2"/>
  <c r="M46" i="2"/>
  <c r="M41" i="2"/>
  <c r="M49" i="2" s="1"/>
  <c r="M25" i="2"/>
  <c r="M19" i="2"/>
  <c r="L85" i="2"/>
  <c r="L83" i="2"/>
  <c r="L82" i="2"/>
  <c r="L78" i="2"/>
  <c r="L73" i="2"/>
  <c r="M73" i="2" s="1"/>
  <c r="L72" i="2"/>
  <c r="M72" i="2" s="1"/>
  <c r="L71" i="2"/>
  <c r="M71" i="2" s="1"/>
  <c r="L69" i="2"/>
  <c r="L68" i="2"/>
  <c r="L70" i="2"/>
  <c r="L67" i="2"/>
  <c r="L66" i="2"/>
  <c r="L65" i="2"/>
  <c r="L56" i="2"/>
  <c r="L55" i="2"/>
  <c r="L54" i="2"/>
  <c r="L53" i="2"/>
  <c r="L46" i="2"/>
  <c r="L41" i="2"/>
  <c r="L27" i="2"/>
  <c r="L25" i="2"/>
  <c r="L20" i="2"/>
  <c r="L19" i="2"/>
  <c r="AC2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F25" i="2"/>
  <c r="F19" i="2"/>
  <c r="F21" i="2" s="1"/>
  <c r="G8" i="2"/>
  <c r="K8" i="2"/>
  <c r="K81" i="2"/>
  <c r="K84" i="2" s="1"/>
  <c r="K77" i="2"/>
  <c r="L77" i="2" s="1"/>
  <c r="K76" i="2"/>
  <c r="K74" i="2"/>
  <c r="K56" i="2"/>
  <c r="K55" i="2"/>
  <c r="K54" i="2"/>
  <c r="K53" i="2"/>
  <c r="K46" i="2"/>
  <c r="K41" i="2"/>
  <c r="J25" i="2"/>
  <c r="I25" i="2"/>
  <c r="H25" i="2"/>
  <c r="G25" i="2"/>
  <c r="K25" i="2"/>
  <c r="K19" i="2"/>
  <c r="K21" i="2" s="1"/>
  <c r="K37" i="2" s="1"/>
  <c r="J19" i="2"/>
  <c r="J21" i="2" s="1"/>
  <c r="J37" i="2" s="1"/>
  <c r="I19" i="2"/>
  <c r="I21" i="2" s="1"/>
  <c r="H19" i="2"/>
  <c r="H21" i="2" s="1"/>
  <c r="G19" i="2"/>
  <c r="G21" i="2" s="1"/>
  <c r="N5" i="1"/>
  <c r="N8" i="1" s="1"/>
  <c r="AH34" i="2" l="1"/>
  <c r="AH21" i="2"/>
  <c r="AH37" i="2" s="1"/>
  <c r="AI25" i="2"/>
  <c r="AG38" i="2"/>
  <c r="AG30" i="2"/>
  <c r="AG31" i="2" s="1"/>
  <c r="AI19" i="2"/>
  <c r="AF25" i="2"/>
  <c r="AF26" i="2"/>
  <c r="AF28" i="2" s="1"/>
  <c r="AF30" i="2" s="1"/>
  <c r="AF31" i="2" s="1"/>
  <c r="AF34" i="2"/>
  <c r="AG19" i="2"/>
  <c r="V28" i="2"/>
  <c r="V29" i="2" s="1"/>
  <c r="V30" i="2" s="1"/>
  <c r="N21" i="2"/>
  <c r="N26" i="2" s="1"/>
  <c r="N28" i="2" s="1"/>
  <c r="N30" i="2" s="1"/>
  <c r="N31" i="2" s="1"/>
  <c r="AC84" i="2"/>
  <c r="R21" i="2"/>
  <c r="R26" i="2" s="1"/>
  <c r="R28" i="2" s="1"/>
  <c r="R30" i="2" s="1"/>
  <c r="U21" i="2"/>
  <c r="U26" i="2" s="1"/>
  <c r="U28" i="2" s="1"/>
  <c r="U30" i="2" s="1"/>
  <c r="Q34" i="2"/>
  <c r="T34" i="2"/>
  <c r="R34" i="2"/>
  <c r="S21" i="2"/>
  <c r="S26" i="2" s="1"/>
  <c r="S28" i="2" s="1"/>
  <c r="S30" i="2" s="1"/>
  <c r="P26" i="2"/>
  <c r="P28" i="2" s="1"/>
  <c r="P30" i="2" s="1"/>
  <c r="P31" i="2" s="1"/>
  <c r="P34" i="2"/>
  <c r="T26" i="2"/>
  <c r="T28" i="2" s="1"/>
  <c r="T30" i="2" s="1"/>
  <c r="T31" i="2" s="1"/>
  <c r="U40" i="2"/>
  <c r="Q26" i="2"/>
  <c r="Q28" i="2" s="1"/>
  <c r="Q30" i="2" s="1"/>
  <c r="H74" i="2"/>
  <c r="AD90" i="2"/>
  <c r="H81" i="2"/>
  <c r="I81" i="2" s="1"/>
  <c r="J81" i="2" s="1"/>
  <c r="J84" i="2" s="1"/>
  <c r="H49" i="2"/>
  <c r="O25" i="2"/>
  <c r="J73" i="2"/>
  <c r="H62" i="2"/>
  <c r="AD86" i="2"/>
  <c r="AB86" i="2"/>
  <c r="I84" i="2"/>
  <c r="AC34" i="2"/>
  <c r="AE27" i="2"/>
  <c r="I62" i="2"/>
  <c r="AD25" i="2"/>
  <c r="AE25" i="2"/>
  <c r="J85" i="2"/>
  <c r="I76" i="2"/>
  <c r="H79" i="2"/>
  <c r="AB90" i="2"/>
  <c r="AB88" i="2"/>
  <c r="AC90" i="2"/>
  <c r="AC91" i="2" s="1"/>
  <c r="AC86" i="2"/>
  <c r="AC88" i="2"/>
  <c r="AC89" i="2" s="1"/>
  <c r="I65" i="2"/>
  <c r="O19" i="2"/>
  <c r="G74" i="2"/>
  <c r="G79" i="2"/>
  <c r="G86" i="2" s="1"/>
  <c r="L49" i="2"/>
  <c r="H84" i="2"/>
  <c r="I49" i="2"/>
  <c r="I40" i="2"/>
  <c r="G62" i="2"/>
  <c r="G49" i="2"/>
  <c r="AE19" i="2"/>
  <c r="AB26" i="2"/>
  <c r="AB28" i="2" s="1"/>
  <c r="J49" i="2"/>
  <c r="AC26" i="2"/>
  <c r="AC28" i="2" s="1"/>
  <c r="AD19" i="2"/>
  <c r="J62" i="2"/>
  <c r="K79" i="2"/>
  <c r="K86" i="2" s="1"/>
  <c r="M40" i="2"/>
  <c r="L62" i="2"/>
  <c r="L74" i="2"/>
  <c r="M34" i="2"/>
  <c r="M74" i="2"/>
  <c r="M86" i="2" s="1"/>
  <c r="M21" i="2"/>
  <c r="M37" i="2" s="1"/>
  <c r="L81" i="2"/>
  <c r="L84" i="2" s="1"/>
  <c r="M62" i="2"/>
  <c r="L76" i="2"/>
  <c r="L79" i="2" s="1"/>
  <c r="L34" i="2"/>
  <c r="F26" i="2"/>
  <c r="F28" i="2" s="1"/>
  <c r="F30" i="2" s="1"/>
  <c r="F31" i="2" s="1"/>
  <c r="L21" i="2"/>
  <c r="L37" i="2" s="1"/>
  <c r="J34" i="2"/>
  <c r="L40" i="2"/>
  <c r="K40" i="2"/>
  <c r="K34" i="2"/>
  <c r="K62" i="2"/>
  <c r="K26" i="2"/>
  <c r="K28" i="2" s="1"/>
  <c r="K49" i="2"/>
  <c r="H26" i="2"/>
  <c r="H28" i="2" s="1"/>
  <c r="H30" i="2" s="1"/>
  <c r="G26" i="2"/>
  <c r="G28" i="2" s="1"/>
  <c r="G30" i="2" s="1"/>
  <c r="I26" i="2"/>
  <c r="I28" i="2" s="1"/>
  <c r="I30" i="2" s="1"/>
  <c r="J26" i="2"/>
  <c r="J28" i="2" s="1"/>
  <c r="AH26" i="2" l="1"/>
  <c r="AH28" i="2" s="1"/>
  <c r="AI21" i="2"/>
  <c r="AI37" i="2" s="1"/>
  <c r="AI34" i="2"/>
  <c r="AH20" i="2"/>
  <c r="AJ25" i="2"/>
  <c r="AJ19" i="2"/>
  <c r="AK19" i="2"/>
  <c r="V38" i="2"/>
  <c r="R31" i="2"/>
  <c r="R64" i="2"/>
  <c r="O34" i="2"/>
  <c r="O21" i="2"/>
  <c r="U31" i="2"/>
  <c r="U64" i="2"/>
  <c r="Q31" i="2"/>
  <c r="Q64" i="2"/>
  <c r="S34" i="2"/>
  <c r="S31" i="2"/>
  <c r="S64" i="2"/>
  <c r="P64" i="2"/>
  <c r="T64" i="2"/>
  <c r="AD91" i="2"/>
  <c r="H86" i="2"/>
  <c r="J30" i="2"/>
  <c r="J38" i="2"/>
  <c r="H31" i="2"/>
  <c r="H64" i="2"/>
  <c r="J65" i="2"/>
  <c r="J74" i="2" s="1"/>
  <c r="M88" i="2" s="1"/>
  <c r="M90" i="2" s="1"/>
  <c r="I74" i="2"/>
  <c r="J88" i="2" s="1"/>
  <c r="J90" i="2" s="1"/>
  <c r="AD89" i="2"/>
  <c r="AD21" i="2"/>
  <c r="AD34" i="2"/>
  <c r="AC30" i="2"/>
  <c r="AC38" i="2"/>
  <c r="K30" i="2"/>
  <c r="K64" i="2" s="1"/>
  <c r="K38" i="2"/>
  <c r="AE34" i="2"/>
  <c r="I31" i="2"/>
  <c r="I64" i="2"/>
  <c r="G31" i="2"/>
  <c r="G64" i="2"/>
  <c r="I79" i="2"/>
  <c r="J76" i="2"/>
  <c r="J79" i="2" s="1"/>
  <c r="AB30" i="2"/>
  <c r="AB38" i="2"/>
  <c r="M26" i="2"/>
  <c r="M28" i="2" s="1"/>
  <c r="L86" i="2"/>
  <c r="L26" i="2"/>
  <c r="L28" i="2" s="1"/>
  <c r="AK21" i="2" l="1"/>
  <c r="AK37" i="2" s="1"/>
  <c r="AK34" i="2"/>
  <c r="AJ21" i="2"/>
  <c r="AJ37" i="2" s="1"/>
  <c r="AJ34" i="2"/>
  <c r="AJ26" i="2"/>
  <c r="AI20" i="2"/>
  <c r="AH29" i="2"/>
  <c r="AH38" i="2" s="1"/>
  <c r="AI26" i="2"/>
  <c r="AK25" i="2"/>
  <c r="AK26" i="2" s="1"/>
  <c r="AM19" i="2"/>
  <c r="AL19" i="2"/>
  <c r="J86" i="2"/>
  <c r="I86" i="2"/>
  <c r="K31" i="2"/>
  <c r="AC31" i="2"/>
  <c r="AC64" i="2"/>
  <c r="AE20" i="2"/>
  <c r="AE21" i="2" s="1"/>
  <c r="O26" i="2"/>
  <c r="O28" i="2" s="1"/>
  <c r="AD26" i="2"/>
  <c r="AD28" i="2" s="1"/>
  <c r="AD37" i="2"/>
  <c r="L88" i="2"/>
  <c r="L90" i="2" s="1"/>
  <c r="K88" i="2"/>
  <c r="K90" i="2" s="1"/>
  <c r="M30" i="2"/>
  <c r="M38" i="2"/>
  <c r="AB31" i="2"/>
  <c r="AB64" i="2"/>
  <c r="L30" i="2"/>
  <c r="L38" i="2"/>
  <c r="J31" i="2"/>
  <c r="J64" i="2"/>
  <c r="L31" i="2"/>
  <c r="L64" i="2"/>
  <c r="AL21" i="2" l="1"/>
  <c r="AL37" i="2" s="1"/>
  <c r="AL34" i="2"/>
  <c r="AL20" i="2"/>
  <c r="AM21" i="2"/>
  <c r="AM37" i="2" s="1"/>
  <c r="AM34" i="2"/>
  <c r="AH30" i="2"/>
  <c r="AJ20" i="2"/>
  <c r="AK20" i="2"/>
  <c r="AM25" i="2"/>
  <c r="AM26" i="2" s="1"/>
  <c r="AL25" i="2"/>
  <c r="AL26" i="2" s="1"/>
  <c r="O30" i="2"/>
  <c r="O31" i="2" s="1"/>
  <c r="M64" i="2"/>
  <c r="M31" i="2"/>
  <c r="AD30" i="2"/>
  <c r="AD38" i="2"/>
  <c r="AE29" i="2"/>
  <c r="AE37" i="2"/>
  <c r="AE26" i="2"/>
  <c r="AE28" i="2" s="1"/>
  <c r="AH31" i="2" l="1"/>
  <c r="AH40" i="2"/>
  <c r="AM20" i="2"/>
  <c r="O64" i="2"/>
  <c r="AE30" i="2"/>
  <c r="AE31" i="2" s="1"/>
  <c r="AD31" i="2"/>
  <c r="AD64" i="2"/>
  <c r="AE38" i="2"/>
  <c r="AI27" i="2" l="1"/>
  <c r="AI28" i="2" s="1"/>
  <c r="AE64" i="2"/>
  <c r="AI29" i="2" l="1"/>
  <c r="AI38" i="2" s="1"/>
  <c r="AI30" i="2"/>
  <c r="AI31" i="2" l="1"/>
  <c r="AI40" i="2"/>
  <c r="AJ27" i="2" l="1"/>
  <c r="AJ28" i="2" s="1"/>
  <c r="AJ29" i="2" l="1"/>
  <c r="AJ38" i="2" s="1"/>
  <c r="AJ30" i="2"/>
  <c r="AJ31" i="2" l="1"/>
  <c r="AJ40" i="2"/>
  <c r="AK27" i="2" l="1"/>
  <c r="AK28" i="2" s="1"/>
  <c r="AK29" i="2" l="1"/>
  <c r="AK38" i="2" s="1"/>
  <c r="AK30" i="2"/>
  <c r="AK31" i="2" l="1"/>
  <c r="AK40" i="2"/>
  <c r="AL27" i="2" l="1"/>
  <c r="AL28" i="2" s="1"/>
  <c r="AL29" i="2" l="1"/>
  <c r="AL38" i="2" s="1"/>
  <c r="AL30" i="2" l="1"/>
  <c r="AL31" i="2" s="1"/>
  <c r="AL40" i="2" l="1"/>
  <c r="AM27" i="2"/>
  <c r="AM28" i="2" s="1"/>
  <c r="AM29" i="2" l="1"/>
  <c r="AM38" i="2" s="1"/>
  <c r="AM30" i="2"/>
  <c r="AM31" i="2" l="1"/>
  <c r="AN30" i="2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AM40" i="2"/>
  <c r="AP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tc={0F59B2F2-39BF-4D3C-BE26-E50C875D2C9A}</author>
  </authors>
  <commentList>
    <comment ref="V19" authorId="0" shapeId="0" xr:uid="{0F59B2F2-39BF-4D3C-BE26-E50C875D2C9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</commentList>
</comments>
</file>

<file path=xl/sharedStrings.xml><?xml version="1.0" encoding="utf-8"?>
<sst xmlns="http://schemas.openxmlformats.org/spreadsheetml/2006/main" count="143" uniqueCount="130">
  <si>
    <t>Price</t>
  </si>
  <si>
    <t>Shares</t>
  </si>
  <si>
    <t>MC</t>
  </si>
  <si>
    <t>Cash</t>
  </si>
  <si>
    <t>Debt</t>
  </si>
  <si>
    <t>EV</t>
  </si>
  <si>
    <t>Main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</si>
  <si>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</si>
  <si>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</si>
  <si>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</si>
  <si>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</si>
  <si>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</si>
  <si>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</si>
  <si>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</si>
  <si>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</si>
  <si>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</si>
  <si>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</si>
  <si>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</si>
  <si>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</si>
  <si>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</si>
  <si>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</si>
  <si>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</si>
  <si>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</si>
  <si>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</si>
  <si>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</si>
  <si>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</si>
  <si>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</si>
  <si>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</si>
  <si>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</si>
  <si>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</si>
  <si>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</si>
  <si>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</si>
  <si>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</si>
  <si>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</si>
  <si>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</si>
  <si>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</si>
  <si>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</si>
  <si>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</si>
  <si>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</si>
  <si>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</si>
  <si>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</si>
  <si>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</si>
  <si>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</si>
  <si>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</si>
  <si>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</si>
  <si>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</si>
  <si>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</si>
  <si>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</si>
  <si>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</si>
  <si>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</si>
  <si>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</si>
  <si>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</si>
  <si>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</si>
  <si>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</si>
  <si>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</si>
  <si>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</si>
  <si>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</si>
  <si>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</si>
  <si>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</si>
  <si>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</si>
  <si>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</si>
  <si>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</si>
  <si>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</si>
  <si>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</si>
  <si>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</si>
  <si>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</si>
  <si>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</si>
  <si>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</si>
  <si>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</si>
  <si>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</si>
  <si>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</si>
  <si>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</si>
  <si>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</si>
  <si>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</si>
  <si>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</si>
  <si>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</si>
  <si>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</si>
  <si>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</si>
  <si>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10/7/21: 1.24B acquisition of Frame.io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</si>
  <si>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</si>
  <si>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</si>
  <si>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</si>
  <si>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</si>
  <si>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</si>
  <si>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</si>
  <si>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</si>
  <si>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</si>
  <si>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</si>
  <si>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</si>
  <si>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</si>
  <si>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</si>
  <si>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</si>
  <si>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</si>
  <si>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</si>
  <si>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</si>
  <si>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</si>
  <si>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</si>
  <si>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</si>
  <si>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</si>
  <si>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CEO: Shantanu Narayen</t>
  </si>
  <si>
    <t>RPO</t>
  </si>
  <si>
    <t>Revenue cc</t>
  </si>
  <si>
    <t>RPO y/y</t>
  </si>
  <si>
    <t>FY19</t>
  </si>
  <si>
    <t>Subscription</t>
  </si>
  <si>
    <t>Tax Rate</t>
  </si>
  <si>
    <t>CFFO TTM</t>
  </si>
  <si>
    <t>CFFO TTM y/y</t>
  </si>
  <si>
    <t>FCF TTM</t>
  </si>
  <si>
    <t>Q224</t>
  </si>
  <si>
    <t>CFO: Dan Durn</t>
  </si>
  <si>
    <t>FQ224</t>
  </si>
  <si>
    <t>FQ324</t>
  </si>
  <si>
    <t>FQ424</t>
  </si>
  <si>
    <t>FQ423</t>
  </si>
  <si>
    <t>FQ124</t>
  </si>
  <si>
    <t>FQ323</t>
  </si>
  <si>
    <t>FQ223</t>
  </si>
  <si>
    <t>FQ123</t>
  </si>
  <si>
    <t>FQ422</t>
  </si>
  <si>
    <t>President, Digital Media: David Wadhwani</t>
  </si>
  <si>
    <t>Maturity</t>
  </si>
  <si>
    <t>Discount</t>
  </si>
  <si>
    <t>NPV</t>
  </si>
  <si>
    <t>FQ125</t>
  </si>
  <si>
    <t>FQ225</t>
  </si>
  <si>
    <t>FQ325</t>
  </si>
  <si>
    <t>FQ425</t>
  </si>
  <si>
    <t>ROIC</t>
  </si>
  <si>
    <t>Affinity, Midjourney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</si>
</sst>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B1E39D7-9536-429A-8816-5F7F73609F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30998</xdr:colOff>
      <xdr:row>0</xdr:row>
      <xdr:rowOff>11906</xdr:rowOff>
    </xdr:from>
    <xdr:to>
      <xdr:col>21</xdr:col>
      <xdr:colOff>30998</xdr:colOff>
      <xdr:row>101</xdr:row>
      <xdr:rowOff>35718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12383732" y="11906"/>
          <a:ext cx="0" cy="162579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35296</xdr:colOff>
      <xdr:row>0</xdr:row>
      <xdr:rowOff>0</xdr:rowOff>
    </xdr:from>
    <xdr:to>
      <xdr:col>32</xdr:col>
      <xdr:colOff>35296</xdr:colOff>
      <xdr:row>95</xdr:row>
      <xdr:rowOff>65484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80C6D4-33A2-4BC8-A302-30C3049C7B34}"/>
            </a:ext>
          </a:extLst>
        </xdr:cNvPr>
        <xdr:cNvCxnSpPr/>
      </xdr:nvCxnSpPr>
      <xdr:spPr>
        <a:xfrm>
          <a:off x="19726491" y="0"/>
          <a:ext cx="0" cy="15514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25D63EA-240F-466D-BECF-55A1FBB8F8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9" dT="2024-09-13T13:27:16.43" personId="{C25D63EA-240F-466D-BECF-55A1FBB8F893}" id="{0F59B2F2-39BF-4D3C-BE26-E50C875D2C9A}">
    <text>Q424 guidance: 5500-5550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3:O15"/>
  <sheetViews>
    <sheetView zoomScale="205" zoomScaleNormal="205" workbookViewId="0">
      <selection activeCell="E5" sqref="E5"/>
    </sheetView>
  </sheetViews>
  <sheetFormatPr defaultRowHeight="12.75" x14ac:dyDescent="0.2"/>
  <cols>
    <col min="1" max="1" width="3" customWidth="1"/>
    <col min="2" max="2" width="11.28515625" customWidth="1"/>
    <col min="9" max="9" width="5.28515625" customWidth="1"/>
    <col min="10" max="10" width="5.42578125" customWidth="1"/>
    <col min="11" max="11" width="5.85546875" customWidth="1"/>
    <col min="12" max="12" width="5" customWidth="1"/>
  </cols>
  <sheetData>
    <row r="3" spans="2:15" x14ac:dyDescent="0.2">
      <c r="B3" s="10" t="s">
        <v>18</v>
      </c>
      <c r="M3" t="s">
        <v>0</v>
      </c>
      <c r="N3" s="1">
        <v>532</v>
      </c>
    </row>
    <row r="4" spans="2:15" x14ac:dyDescent="0.2">
      <c r="B4" t="s">
        <v>79</v>
      </c>
      <c r="E4" t="s">
        <v>129</v>
      </c>
      <c r="M4" t="s">
        <v>1</v>
      </c>
      <c r="N4" s="3">
        <v>448</v>
      </c>
      <c r="O4" s="4" t="s">
        <v>109</v>
      </c>
    </row>
    <row r="5" spans="2:15" x14ac:dyDescent="0.2">
      <c r="B5" t="s">
        <v>80</v>
      </c>
      <c r="M5" t="s">
        <v>2</v>
      </c>
      <c r="N5" s="3">
        <f>+N3*N4</f>
        <v>238336</v>
      </c>
    </row>
    <row r="6" spans="2:15" x14ac:dyDescent="0.2">
      <c r="B6" t="s">
        <v>81</v>
      </c>
      <c r="M6" t="s">
        <v>3</v>
      </c>
      <c r="N6" s="3">
        <v>7515</v>
      </c>
      <c r="O6" s="4" t="s">
        <v>109</v>
      </c>
    </row>
    <row r="7" spans="2:15" x14ac:dyDescent="0.2">
      <c r="B7" t="s">
        <v>82</v>
      </c>
      <c r="M7" t="s">
        <v>4</v>
      </c>
      <c r="N7" s="3">
        <v>5627</v>
      </c>
      <c r="O7" s="4" t="s">
        <v>109</v>
      </c>
    </row>
    <row r="8" spans="2:15" x14ac:dyDescent="0.2">
      <c r="B8" t="s">
        <v>83</v>
      </c>
      <c r="M8" t="s">
        <v>5</v>
      </c>
      <c r="N8" s="3">
        <f>+N5-N6+N7</f>
        <v>236448</v>
      </c>
    </row>
    <row r="9" spans="2:15" x14ac:dyDescent="0.2">
      <c r="B9" t="s">
        <v>84</v>
      </c>
      <c r="N9" s="3"/>
    </row>
    <row r="10" spans="2:15" x14ac:dyDescent="0.2">
      <c r="B10" t="s">
        <v>85</v>
      </c>
      <c r="M10" t="s">
        <v>99</v>
      </c>
    </row>
    <row r="11" spans="2:15" x14ac:dyDescent="0.2">
      <c r="B11" t="s">
        <v>86</v>
      </c>
      <c r="M11" t="s">
        <v>110</v>
      </c>
    </row>
    <row r="12" spans="2:15" x14ac:dyDescent="0.2">
      <c r="B12" t="s">
        <v>87</v>
      </c>
      <c r="M12" t="s">
        <v>120</v>
      </c>
    </row>
    <row r="15" spans="2:15" x14ac:dyDescent="0.2">
      <c r="B15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EC91"/>
  <sheetViews>
    <sheetView tabSelected="1" zoomScale="160" zoomScaleNormal="160" workbookViewId="0">
      <pane xSplit="2" ySplit="3" topLeftCell="AB4" activePane="bottomRight" state="frozen"/>
      <selection pane="topRight" activeCell="C1" sqref="C1"/>
      <selection pane="bottomLeft" activeCell="A4" sqref="A4"/>
      <selection pane="bottomRight" activeCell="AE17" sqref="AE17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" style="4" customWidth="1"/>
    <col min="6" max="6" width="8.85546875" style="4" customWidth="1"/>
    <col min="7" max="25" width="9" style="4" customWidth="1"/>
    <col min="29" max="39" width="9.5703125" customWidth="1"/>
    <col min="42" max="42" width="12" bestFit="1" customWidth="1"/>
  </cols>
  <sheetData>
    <row r="1" spans="1:39" x14ac:dyDescent="0.2">
      <c r="A1" s="2" t="s">
        <v>6</v>
      </c>
    </row>
    <row r="2" spans="1:39" s="11" customFormat="1" x14ac:dyDescent="0.2">
      <c r="C2" s="12"/>
      <c r="D2" s="12"/>
      <c r="E2" s="12"/>
      <c r="F2" s="12">
        <v>44162</v>
      </c>
      <c r="G2" s="12">
        <v>44260</v>
      </c>
      <c r="H2" s="12">
        <v>44351</v>
      </c>
      <c r="I2" s="12">
        <v>44442</v>
      </c>
      <c r="J2" s="12">
        <v>44533</v>
      </c>
      <c r="K2" s="12">
        <v>44624</v>
      </c>
      <c r="L2" s="12">
        <v>44715</v>
      </c>
      <c r="M2" s="12">
        <v>44806</v>
      </c>
      <c r="N2" s="12">
        <v>44897</v>
      </c>
      <c r="O2" s="12">
        <v>44988</v>
      </c>
      <c r="P2" s="12">
        <v>45079</v>
      </c>
      <c r="Q2" s="12">
        <v>45170</v>
      </c>
      <c r="R2" s="12">
        <v>45261</v>
      </c>
      <c r="S2" s="12">
        <v>45352</v>
      </c>
      <c r="T2" s="12">
        <v>45443</v>
      </c>
      <c r="U2" s="12">
        <v>45534</v>
      </c>
      <c r="V2" s="12">
        <f>+R2+366</f>
        <v>45627</v>
      </c>
      <c r="W2" s="12">
        <f>+S2+366</f>
        <v>45718</v>
      </c>
      <c r="X2" s="12">
        <f>+T2+366</f>
        <v>45809</v>
      </c>
      <c r="Y2" s="12">
        <f>+U2+366</f>
        <v>45900</v>
      </c>
      <c r="Z2" s="12">
        <f>+V2+366</f>
        <v>45993</v>
      </c>
      <c r="AC2" s="11">
        <f>+F2</f>
        <v>44162</v>
      </c>
      <c r="AD2" s="11">
        <f>+J2</f>
        <v>44533</v>
      </c>
      <c r="AE2" s="11">
        <f>+AD2+365</f>
        <v>44898</v>
      </c>
      <c r="AF2" s="11">
        <f t="shared" ref="AF2:AM2" si="0">+AE2+365</f>
        <v>45263</v>
      </c>
      <c r="AG2" s="11">
        <f t="shared" si="0"/>
        <v>45628</v>
      </c>
      <c r="AH2" s="11">
        <f t="shared" si="0"/>
        <v>45993</v>
      </c>
      <c r="AI2" s="11">
        <f t="shared" si="0"/>
        <v>46358</v>
      </c>
      <c r="AJ2" s="11">
        <f t="shared" si="0"/>
        <v>46723</v>
      </c>
      <c r="AK2" s="11">
        <f t="shared" si="0"/>
        <v>47088</v>
      </c>
      <c r="AL2" s="11">
        <f t="shared" si="0"/>
        <v>47453</v>
      </c>
      <c r="AM2" s="11">
        <f t="shared" si="0"/>
        <v>47818</v>
      </c>
    </row>
    <row r="3" spans="1:39" x14ac:dyDescent="0.2">
      <c r="B3" t="s">
        <v>71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7</v>
      </c>
      <c r="L3" s="4" t="s">
        <v>16</v>
      </c>
      <c r="M3" s="4" t="s">
        <v>17</v>
      </c>
      <c r="N3" s="4" t="s">
        <v>119</v>
      </c>
      <c r="O3" s="4" t="s">
        <v>118</v>
      </c>
      <c r="P3" s="4" t="s">
        <v>117</v>
      </c>
      <c r="Q3" s="4" t="s">
        <v>116</v>
      </c>
      <c r="R3" s="4" t="s">
        <v>114</v>
      </c>
      <c r="S3" s="4" t="s">
        <v>115</v>
      </c>
      <c r="T3" s="4" t="s">
        <v>111</v>
      </c>
      <c r="U3" s="4" t="s">
        <v>112</v>
      </c>
      <c r="V3" s="4" t="s">
        <v>113</v>
      </c>
      <c r="W3" s="4" t="s">
        <v>124</v>
      </c>
      <c r="X3" s="4" t="s">
        <v>125</v>
      </c>
      <c r="Y3" s="4" t="s">
        <v>126</v>
      </c>
      <c r="Z3" s="4" t="s">
        <v>127</v>
      </c>
      <c r="AB3" s="4" t="s">
        <v>103</v>
      </c>
      <c r="AC3" s="4" t="s">
        <v>88</v>
      </c>
      <c r="AD3" s="4" t="s">
        <v>89</v>
      </c>
      <c r="AE3" s="4" t="s">
        <v>90</v>
      </c>
      <c r="AF3" s="4" t="s">
        <v>91</v>
      </c>
      <c r="AG3" s="4" t="s">
        <v>92</v>
      </c>
      <c r="AH3" s="4" t="s">
        <v>93</v>
      </c>
      <c r="AI3" s="4" t="s">
        <v>94</v>
      </c>
      <c r="AJ3" s="4" t="s">
        <v>95</v>
      </c>
      <c r="AK3" s="4" t="s">
        <v>96</v>
      </c>
      <c r="AL3" s="4" t="s">
        <v>97</v>
      </c>
      <c r="AM3" s="4" t="s">
        <v>98</v>
      </c>
    </row>
    <row r="4" spans="1:39" s="3" customFormat="1" x14ac:dyDescent="0.2">
      <c r="B4" s="3" t="s">
        <v>100</v>
      </c>
      <c r="C4" s="5"/>
      <c r="D4" s="5"/>
      <c r="E4" s="5"/>
      <c r="F4" s="5"/>
      <c r="G4" s="5">
        <v>11610</v>
      </c>
      <c r="H4" s="5">
        <v>12230</v>
      </c>
      <c r="I4" s="5">
        <v>12630</v>
      </c>
      <c r="J4" s="5">
        <v>13990</v>
      </c>
      <c r="K4" s="5">
        <v>13830</v>
      </c>
      <c r="L4" s="5">
        <v>13820</v>
      </c>
      <c r="M4" s="5">
        <v>14110</v>
      </c>
      <c r="N4" s="5">
        <v>15190</v>
      </c>
      <c r="O4" s="5">
        <v>15210</v>
      </c>
      <c r="P4" s="5">
        <v>15220</v>
      </c>
      <c r="Q4" s="5">
        <v>15720</v>
      </c>
      <c r="R4" s="5">
        <v>17220</v>
      </c>
      <c r="S4" s="5">
        <v>17580</v>
      </c>
      <c r="T4" s="5">
        <v>17860</v>
      </c>
      <c r="U4" s="5">
        <v>18140</v>
      </c>
      <c r="V4" s="5"/>
      <c r="W4" s="5"/>
      <c r="X4" s="5"/>
      <c r="Y4" s="5"/>
      <c r="AC4" s="5"/>
      <c r="AD4" s="5">
        <f>+J4</f>
        <v>13990</v>
      </c>
      <c r="AE4" s="5">
        <f>+N4</f>
        <v>15190</v>
      </c>
      <c r="AF4" s="5">
        <f>+R4</f>
        <v>17220</v>
      </c>
      <c r="AG4" s="5"/>
      <c r="AH4" s="5"/>
      <c r="AI4" s="5"/>
      <c r="AJ4" s="5"/>
      <c r="AK4" s="5"/>
      <c r="AL4" s="5"/>
      <c r="AM4" s="5"/>
    </row>
    <row r="5" spans="1:39" x14ac:dyDescent="0.2"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">
      <c r="B6" t="s">
        <v>72</v>
      </c>
      <c r="G6" s="4">
        <v>112</v>
      </c>
      <c r="H6" s="4">
        <v>110</v>
      </c>
      <c r="K6" s="4">
        <v>95</v>
      </c>
      <c r="L6" s="4">
        <v>91</v>
      </c>
      <c r="AB6">
        <v>669</v>
      </c>
      <c r="AC6">
        <v>510</v>
      </c>
      <c r="AD6">
        <v>398</v>
      </c>
    </row>
    <row r="7" spans="1:39" s="3" customFormat="1" x14ac:dyDescent="0.2">
      <c r="B7" s="3" t="s">
        <v>70</v>
      </c>
      <c r="C7" s="5"/>
      <c r="D7" s="5"/>
      <c r="E7" s="5"/>
      <c r="F7" s="5"/>
      <c r="G7" s="5">
        <v>934</v>
      </c>
      <c r="H7" s="5">
        <v>938</v>
      </c>
      <c r="I7" s="5">
        <v>981</v>
      </c>
      <c r="J7" s="5"/>
      <c r="K7" s="5">
        <v>1057</v>
      </c>
      <c r="L7" s="5">
        <v>1095</v>
      </c>
      <c r="M7" s="5">
        <v>1120</v>
      </c>
      <c r="N7" s="5">
        <v>1150</v>
      </c>
      <c r="O7" s="5">
        <v>1180</v>
      </c>
      <c r="P7" s="5">
        <v>1220</v>
      </c>
      <c r="Q7" s="5">
        <v>1230</v>
      </c>
      <c r="R7" s="5">
        <v>1270</v>
      </c>
      <c r="S7" s="5">
        <v>1290</v>
      </c>
      <c r="T7" s="5">
        <v>1330</v>
      </c>
      <c r="U7" s="5">
        <v>1350</v>
      </c>
      <c r="V7" s="5"/>
      <c r="W7" s="5"/>
      <c r="X7" s="5"/>
      <c r="Y7" s="5"/>
      <c r="AB7" s="3">
        <v>2795</v>
      </c>
      <c r="AC7" s="3">
        <v>3125</v>
      </c>
      <c r="AD7" s="3">
        <v>3867</v>
      </c>
    </row>
    <row r="8" spans="1:39" s="3" customFormat="1" x14ac:dyDescent="0.2">
      <c r="B8" s="3" t="s">
        <v>69</v>
      </c>
      <c r="C8" s="5"/>
      <c r="D8" s="5"/>
      <c r="E8" s="5"/>
      <c r="F8" s="5"/>
      <c r="G8" s="5">
        <f>SUM(G9:G10)</f>
        <v>2859</v>
      </c>
      <c r="H8" s="5">
        <v>2787</v>
      </c>
      <c r="I8" s="5"/>
      <c r="J8" s="5"/>
      <c r="K8" s="5">
        <f>SUM(K9:K10)</f>
        <v>3110</v>
      </c>
      <c r="L8" s="5">
        <v>3200</v>
      </c>
      <c r="M8" s="5">
        <v>3230</v>
      </c>
      <c r="N8" s="5">
        <v>3330</v>
      </c>
      <c r="O8" s="5">
        <v>3400</v>
      </c>
      <c r="P8" s="5">
        <v>3510</v>
      </c>
      <c r="Q8" s="5">
        <v>3590</v>
      </c>
      <c r="R8" s="5">
        <v>3720</v>
      </c>
      <c r="S8" s="5">
        <v>3820</v>
      </c>
      <c r="T8" s="5">
        <v>3910</v>
      </c>
      <c r="U8" s="5">
        <v>4000</v>
      </c>
      <c r="V8" s="5"/>
      <c r="W8" s="5"/>
      <c r="X8" s="5"/>
      <c r="Y8" s="5"/>
      <c r="AB8" s="3">
        <f>+AB9+AB10</f>
        <v>7707</v>
      </c>
      <c r="AC8" s="3">
        <f>+AC9+AC10</f>
        <v>9233</v>
      </c>
      <c r="AD8" s="3">
        <f>+AD9+AD10</f>
        <v>11520</v>
      </c>
    </row>
    <row r="9" spans="1:39" s="3" customFormat="1" x14ac:dyDescent="0.2">
      <c r="B9" s="3" t="s">
        <v>76</v>
      </c>
      <c r="C9" s="5"/>
      <c r="D9" s="5"/>
      <c r="E9" s="5"/>
      <c r="F9" s="5"/>
      <c r="G9" s="5">
        <v>2379</v>
      </c>
      <c r="H9" s="5">
        <v>2318</v>
      </c>
      <c r="I9" s="5"/>
      <c r="J9" s="5"/>
      <c r="K9" s="5">
        <v>2548</v>
      </c>
      <c r="L9" s="5">
        <v>2605</v>
      </c>
      <c r="M9" s="5">
        <v>2630</v>
      </c>
      <c r="N9" s="5">
        <v>2680</v>
      </c>
      <c r="O9" s="5">
        <v>2760</v>
      </c>
      <c r="P9" s="5">
        <v>2850</v>
      </c>
      <c r="Q9" s="5">
        <v>2910</v>
      </c>
      <c r="R9" s="5">
        <v>3000</v>
      </c>
      <c r="S9" s="5">
        <v>3070</v>
      </c>
      <c r="T9" s="5">
        <v>3130</v>
      </c>
      <c r="U9" s="5">
        <v>3190</v>
      </c>
      <c r="V9" s="5"/>
      <c r="W9" s="5"/>
      <c r="X9" s="5"/>
      <c r="Y9" s="5"/>
      <c r="AB9" s="3">
        <v>6482</v>
      </c>
      <c r="AC9" s="3">
        <v>7736</v>
      </c>
      <c r="AD9" s="3">
        <v>9546</v>
      </c>
    </row>
    <row r="10" spans="1:39" s="3" customFormat="1" x14ac:dyDescent="0.2">
      <c r="B10" s="3" t="s">
        <v>77</v>
      </c>
      <c r="C10" s="5"/>
      <c r="D10" s="5"/>
      <c r="E10" s="5"/>
      <c r="F10" s="5"/>
      <c r="G10" s="5">
        <v>480</v>
      </c>
      <c r="H10" s="5">
        <v>469</v>
      </c>
      <c r="I10" s="5"/>
      <c r="J10" s="5"/>
      <c r="K10" s="5">
        <v>562</v>
      </c>
      <c r="L10" s="5">
        <v>595</v>
      </c>
      <c r="M10" s="5">
        <v>607</v>
      </c>
      <c r="N10" s="5">
        <v>619</v>
      </c>
      <c r="O10" s="5">
        <v>634</v>
      </c>
      <c r="P10" s="5">
        <v>659</v>
      </c>
      <c r="Q10" s="5">
        <v>685</v>
      </c>
      <c r="R10" s="5">
        <v>721</v>
      </c>
      <c r="S10" s="5">
        <v>750</v>
      </c>
      <c r="T10" s="5">
        <v>782</v>
      </c>
      <c r="U10" s="5">
        <v>807</v>
      </c>
      <c r="V10" s="5"/>
      <c r="W10" s="5"/>
      <c r="X10" s="5"/>
      <c r="Y10" s="5"/>
      <c r="AB10" s="3">
        <v>1225</v>
      </c>
      <c r="AC10" s="3">
        <v>1497</v>
      </c>
      <c r="AD10" s="3">
        <v>1974</v>
      </c>
    </row>
    <row r="11" spans="1:39" s="3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39" s="3" customFormat="1" x14ac:dyDescent="0.2">
      <c r="B12" s="3" t="s">
        <v>73</v>
      </c>
      <c r="C12" s="5"/>
      <c r="D12" s="5"/>
      <c r="E12" s="5"/>
      <c r="F12" s="5"/>
      <c r="G12" s="5">
        <v>2224</v>
      </c>
      <c r="H12" s="5">
        <v>2185</v>
      </c>
      <c r="I12" s="5"/>
      <c r="J12" s="5"/>
      <c r="K12" s="5">
        <v>2446</v>
      </c>
      <c r="L12" s="5">
        <v>2524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B12" s="3">
        <v>6506</v>
      </c>
      <c r="AC12" s="3">
        <v>7454</v>
      </c>
      <c r="AD12" s="3">
        <v>8996</v>
      </c>
    </row>
    <row r="13" spans="1:39" s="3" customFormat="1" x14ac:dyDescent="0.2">
      <c r="B13" s="3" t="s">
        <v>74</v>
      </c>
      <c r="C13" s="5"/>
      <c r="D13" s="5"/>
      <c r="E13" s="5"/>
      <c r="F13" s="5"/>
      <c r="G13" s="5">
        <v>1052</v>
      </c>
      <c r="H13" s="5">
        <v>1026</v>
      </c>
      <c r="I13" s="5"/>
      <c r="J13" s="5"/>
      <c r="K13" s="5">
        <v>1136</v>
      </c>
      <c r="L13" s="5">
        <v>1157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AB13" s="3">
        <v>2975</v>
      </c>
      <c r="AC13" s="3">
        <v>3400</v>
      </c>
      <c r="AD13" s="3">
        <v>4252</v>
      </c>
    </row>
    <row r="14" spans="1:39" s="3" customFormat="1" x14ac:dyDescent="0.2">
      <c r="B14" s="3" t="s">
        <v>75</v>
      </c>
      <c r="C14" s="5"/>
      <c r="D14" s="5"/>
      <c r="E14" s="5"/>
      <c r="F14" s="5"/>
      <c r="G14" s="5">
        <v>629</v>
      </c>
      <c r="H14" s="5">
        <v>624</v>
      </c>
      <c r="I14" s="5"/>
      <c r="J14" s="5"/>
      <c r="K14" s="5">
        <v>680</v>
      </c>
      <c r="L14" s="5">
        <v>705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B14" s="3">
        <v>1690</v>
      </c>
      <c r="AC14" s="3">
        <v>2014</v>
      </c>
      <c r="AD14" s="3">
        <v>2537</v>
      </c>
    </row>
    <row r="16" spans="1:39" s="3" customFormat="1" x14ac:dyDescent="0.2">
      <c r="B16" s="3" t="s">
        <v>104</v>
      </c>
      <c r="C16" s="5"/>
      <c r="D16" s="5"/>
      <c r="E16" s="5"/>
      <c r="F16" s="5">
        <v>3115</v>
      </c>
      <c r="G16" s="5">
        <v>3584</v>
      </c>
      <c r="H16" s="5">
        <v>3520</v>
      </c>
      <c r="I16" s="5">
        <v>3657</v>
      </c>
      <c r="J16" s="5">
        <v>3812</v>
      </c>
      <c r="K16" s="5">
        <v>3958</v>
      </c>
      <c r="L16" s="5">
        <v>4070</v>
      </c>
      <c r="M16" s="5">
        <v>4128</v>
      </c>
      <c r="N16" s="5">
        <v>4232</v>
      </c>
      <c r="O16" s="5">
        <v>4373</v>
      </c>
      <c r="P16" s="5">
        <v>4517</v>
      </c>
      <c r="Q16" s="5">
        <v>4631</v>
      </c>
      <c r="R16" s="5">
        <v>4763</v>
      </c>
      <c r="S16" s="5">
        <v>4916</v>
      </c>
      <c r="T16" s="5">
        <v>5060</v>
      </c>
      <c r="U16" s="5">
        <v>5180</v>
      </c>
      <c r="V16" s="5">
        <f>+R16*1.1</f>
        <v>5239.3</v>
      </c>
      <c r="W16" s="5"/>
      <c r="X16" s="5"/>
      <c r="Y16" s="5"/>
      <c r="AB16" s="3">
        <v>9634</v>
      </c>
      <c r="AC16" s="3">
        <v>11626</v>
      </c>
      <c r="AD16" s="3">
        <f>SUM(G16:J16)</f>
        <v>14573</v>
      </c>
      <c r="AE16" s="3">
        <f>SUM(K16:N16)</f>
        <v>16388</v>
      </c>
      <c r="AF16" s="3">
        <f>SUM(O16:R16)</f>
        <v>18284</v>
      </c>
      <c r="AG16" s="3">
        <f>SUM(S16:V16)</f>
        <v>20395.3</v>
      </c>
      <c r="AH16" s="3">
        <f>+AG16*1.1</f>
        <v>22434.83</v>
      </c>
      <c r="AI16" s="3">
        <f t="shared" ref="AI16:AM16" si="1">+AH16*1.1</f>
        <v>24678.313000000006</v>
      </c>
      <c r="AJ16" s="3">
        <f t="shared" si="1"/>
        <v>27146.144300000007</v>
      </c>
      <c r="AK16" s="3">
        <f t="shared" si="1"/>
        <v>29860.758730000009</v>
      </c>
      <c r="AL16" s="3">
        <f t="shared" si="1"/>
        <v>32846.83460300001</v>
      </c>
      <c r="AM16" s="3">
        <f t="shared" si="1"/>
        <v>36131.518063300013</v>
      </c>
    </row>
    <row r="17" spans="2:133" s="3" customFormat="1" x14ac:dyDescent="0.2">
      <c r="B17" s="3" t="s">
        <v>18</v>
      </c>
      <c r="C17" s="5"/>
      <c r="D17" s="5"/>
      <c r="E17" s="5"/>
      <c r="F17" s="5">
        <v>127</v>
      </c>
      <c r="G17" s="5">
        <v>155</v>
      </c>
      <c r="H17" s="5">
        <v>153</v>
      </c>
      <c r="I17" s="5">
        <v>119</v>
      </c>
      <c r="J17" s="5">
        <v>128</v>
      </c>
      <c r="K17" s="5">
        <v>145</v>
      </c>
      <c r="L17" s="5">
        <v>146</v>
      </c>
      <c r="M17" s="5">
        <v>126</v>
      </c>
      <c r="N17" s="5">
        <v>115</v>
      </c>
      <c r="O17" s="5">
        <v>120</v>
      </c>
      <c r="P17" s="5">
        <v>130</v>
      </c>
      <c r="Q17" s="5">
        <v>96</v>
      </c>
      <c r="R17" s="5">
        <v>114</v>
      </c>
      <c r="S17" s="5">
        <v>119</v>
      </c>
      <c r="T17" s="5">
        <v>104</v>
      </c>
      <c r="U17" s="5">
        <v>82</v>
      </c>
      <c r="V17" s="5">
        <f>+R17*1.1</f>
        <v>125.4</v>
      </c>
      <c r="W17" s="5"/>
      <c r="X17" s="5"/>
      <c r="Y17" s="5"/>
      <c r="AB17" s="3">
        <v>648</v>
      </c>
      <c r="AC17" s="3">
        <v>507</v>
      </c>
      <c r="AD17" s="3">
        <f>SUM(G17:J17)</f>
        <v>555</v>
      </c>
      <c r="AE17" s="3">
        <f>SUM(K17:N17)</f>
        <v>532</v>
      </c>
      <c r="AF17" s="3">
        <f>SUM(O17:R17)</f>
        <v>460</v>
      </c>
      <c r="AG17" s="3">
        <f>SUM(S17:V17)</f>
        <v>430.4</v>
      </c>
      <c r="AH17" s="3">
        <f t="shared" ref="AH17:AM17" si="2">+AG17*1.1</f>
        <v>473.44</v>
      </c>
      <c r="AI17" s="3">
        <f t="shared" si="2"/>
        <v>520.78399999999999</v>
      </c>
      <c r="AJ17" s="3">
        <f t="shared" si="2"/>
        <v>572.86240000000009</v>
      </c>
      <c r="AK17" s="3">
        <f t="shared" si="2"/>
        <v>630.14864000000011</v>
      </c>
      <c r="AL17" s="3">
        <f t="shared" si="2"/>
        <v>693.16350400000022</v>
      </c>
      <c r="AM17" s="3">
        <f t="shared" si="2"/>
        <v>762.47985440000025</v>
      </c>
    </row>
    <row r="18" spans="2:133" s="3" customFormat="1" x14ac:dyDescent="0.2">
      <c r="B18" s="3" t="s">
        <v>19</v>
      </c>
      <c r="C18" s="5"/>
      <c r="D18" s="5"/>
      <c r="E18" s="5"/>
      <c r="F18" s="5">
        <v>182</v>
      </c>
      <c r="G18" s="5">
        <v>166</v>
      </c>
      <c r="H18" s="5">
        <v>162</v>
      </c>
      <c r="I18" s="5">
        <v>159</v>
      </c>
      <c r="J18" s="5">
        <v>170</v>
      </c>
      <c r="K18" s="5">
        <v>159</v>
      </c>
      <c r="L18" s="5">
        <v>170</v>
      </c>
      <c r="M18" s="5">
        <v>179</v>
      </c>
      <c r="N18" s="5">
        <v>178</v>
      </c>
      <c r="O18" s="5">
        <v>162</v>
      </c>
      <c r="P18" s="5">
        <v>169</v>
      </c>
      <c r="Q18" s="5">
        <v>163</v>
      </c>
      <c r="R18" s="5">
        <v>171</v>
      </c>
      <c r="S18" s="5">
        <v>147</v>
      </c>
      <c r="T18" s="5">
        <v>145</v>
      </c>
      <c r="U18" s="5">
        <v>146</v>
      </c>
      <c r="V18" s="5">
        <f>+R18*1.1</f>
        <v>188.10000000000002</v>
      </c>
      <c r="W18" s="5"/>
      <c r="X18" s="5"/>
      <c r="Y18" s="5"/>
      <c r="AB18" s="3">
        <v>889</v>
      </c>
      <c r="AC18" s="3">
        <v>735</v>
      </c>
      <c r="AD18" s="3">
        <f>SUM(G18:J18)</f>
        <v>657</v>
      </c>
      <c r="AE18" s="3">
        <f>SUM(K18:N18)</f>
        <v>686</v>
      </c>
      <c r="AF18" s="3">
        <f>SUM(O18:R18)</f>
        <v>665</v>
      </c>
      <c r="AG18" s="3">
        <f>SUM(S18:V18)</f>
        <v>626.1</v>
      </c>
      <c r="AH18" s="3">
        <f t="shared" ref="AH18:AM18" si="3">+AG18*1.1</f>
        <v>688.71</v>
      </c>
      <c r="AI18" s="3">
        <f t="shared" si="3"/>
        <v>757.58100000000013</v>
      </c>
      <c r="AJ18" s="3">
        <f t="shared" si="3"/>
        <v>833.33910000000026</v>
      </c>
      <c r="AK18" s="3">
        <f t="shared" si="3"/>
        <v>916.67301000000032</v>
      </c>
      <c r="AL18" s="3">
        <f t="shared" si="3"/>
        <v>1008.3403110000004</v>
      </c>
      <c r="AM18" s="3">
        <f t="shared" si="3"/>
        <v>1109.1743421000006</v>
      </c>
    </row>
    <row r="19" spans="2:133" s="6" customFormat="1" x14ac:dyDescent="0.2">
      <c r="B19" s="6" t="s">
        <v>20</v>
      </c>
      <c r="C19" s="7"/>
      <c r="D19" s="7"/>
      <c r="E19" s="7"/>
      <c r="F19" s="7">
        <f t="shared" ref="F19" si="4">SUM(F16:F18)</f>
        <v>3424</v>
      </c>
      <c r="G19" s="7">
        <f>SUM(G16:G18)</f>
        <v>3905</v>
      </c>
      <c r="H19" s="7">
        <f t="shared" ref="H19:M19" si="5">SUM(H16:H18)</f>
        <v>3835</v>
      </c>
      <c r="I19" s="7">
        <f t="shared" si="5"/>
        <v>3935</v>
      </c>
      <c r="J19" s="7">
        <f t="shared" si="5"/>
        <v>4110</v>
      </c>
      <c r="K19" s="7">
        <f t="shared" si="5"/>
        <v>4262</v>
      </c>
      <c r="L19" s="7">
        <f t="shared" si="5"/>
        <v>4386</v>
      </c>
      <c r="M19" s="7">
        <f t="shared" si="5"/>
        <v>4433</v>
      </c>
      <c r="N19" s="7">
        <f t="shared" ref="N19:U19" si="6">SUM(N16:N18)</f>
        <v>4525</v>
      </c>
      <c r="O19" s="7">
        <f t="shared" si="6"/>
        <v>4655</v>
      </c>
      <c r="P19" s="7">
        <f t="shared" si="6"/>
        <v>4816</v>
      </c>
      <c r="Q19" s="7">
        <f t="shared" si="6"/>
        <v>4890</v>
      </c>
      <c r="R19" s="7">
        <f t="shared" si="6"/>
        <v>5048</v>
      </c>
      <c r="S19" s="7">
        <f t="shared" si="6"/>
        <v>5182</v>
      </c>
      <c r="T19" s="7">
        <f t="shared" si="6"/>
        <v>5309</v>
      </c>
      <c r="U19" s="7">
        <f t="shared" si="6"/>
        <v>5408</v>
      </c>
      <c r="V19" s="7">
        <v>5525</v>
      </c>
      <c r="W19" s="7"/>
      <c r="X19" s="7"/>
      <c r="Y19" s="7"/>
      <c r="AB19" s="7">
        <f t="shared" ref="AB19:AM19" si="7">SUM(AB16:AB18)</f>
        <v>11171</v>
      </c>
      <c r="AC19" s="7">
        <f t="shared" si="7"/>
        <v>12868</v>
      </c>
      <c r="AD19" s="7">
        <f t="shared" si="7"/>
        <v>15785</v>
      </c>
      <c r="AE19" s="7">
        <f t="shared" si="7"/>
        <v>17606</v>
      </c>
      <c r="AF19" s="7">
        <f t="shared" si="7"/>
        <v>19409</v>
      </c>
      <c r="AG19" s="7">
        <f t="shared" si="7"/>
        <v>21451.8</v>
      </c>
      <c r="AH19" s="7">
        <f t="shared" si="7"/>
        <v>23596.98</v>
      </c>
      <c r="AI19" s="7">
        <f t="shared" si="7"/>
        <v>25956.678000000007</v>
      </c>
      <c r="AJ19" s="7">
        <f t="shared" si="7"/>
        <v>28552.34580000001</v>
      </c>
      <c r="AK19" s="7">
        <f t="shared" si="7"/>
        <v>31407.580380000007</v>
      </c>
      <c r="AL19" s="7">
        <f t="shared" si="7"/>
        <v>34548.338418000014</v>
      </c>
      <c r="AM19" s="7">
        <f t="shared" si="7"/>
        <v>38003.172259800012</v>
      </c>
    </row>
    <row r="20" spans="2:133" s="3" customFormat="1" x14ac:dyDescent="0.2">
      <c r="B20" s="3" t="s">
        <v>21</v>
      </c>
      <c r="C20" s="5"/>
      <c r="D20" s="5"/>
      <c r="E20" s="5"/>
      <c r="F20" s="5">
        <v>428</v>
      </c>
      <c r="G20" s="5">
        <v>447</v>
      </c>
      <c r="H20" s="5">
        <v>444</v>
      </c>
      <c r="I20" s="5">
        <v>467</v>
      </c>
      <c r="J20" s="5">
        <v>507</v>
      </c>
      <c r="K20" s="5">
        <v>512</v>
      </c>
      <c r="L20" s="5">
        <f>539</f>
        <v>539</v>
      </c>
      <c r="M20" s="5">
        <v>546</v>
      </c>
      <c r="N20" s="5">
        <v>568</v>
      </c>
      <c r="O20" s="5">
        <v>568</v>
      </c>
      <c r="P20" s="5">
        <v>572</v>
      </c>
      <c r="Q20" s="5">
        <v>580</v>
      </c>
      <c r="R20" s="5">
        <v>634</v>
      </c>
      <c r="S20" s="5">
        <v>590</v>
      </c>
      <c r="T20" s="5">
        <v>598</v>
      </c>
      <c r="U20" s="5">
        <f>413+6+135</f>
        <v>554</v>
      </c>
      <c r="V20" s="5">
        <f>+V19-V21</f>
        <v>552.5</v>
      </c>
      <c r="W20" s="5"/>
      <c r="X20" s="5"/>
      <c r="Y20" s="5"/>
      <c r="AB20" s="3">
        <v>1673</v>
      </c>
      <c r="AC20" s="3">
        <v>1722</v>
      </c>
      <c r="AD20" s="3">
        <f>SUM(G20:J20)</f>
        <v>1865</v>
      </c>
      <c r="AE20" s="3">
        <f>SUM(K20:O20)</f>
        <v>2733</v>
      </c>
      <c r="AF20" s="3">
        <f>SUM(O20:R20)</f>
        <v>2354</v>
      </c>
      <c r="AG20" s="3">
        <f>SUM(S20:V20)</f>
        <v>2294.5</v>
      </c>
      <c r="AH20" s="3">
        <f t="shared" ref="AH20:AL20" si="8">+AH19-AH21</f>
        <v>2359.6980000000003</v>
      </c>
      <c r="AI20" s="3">
        <f t="shared" si="8"/>
        <v>2595.6677999999993</v>
      </c>
      <c r="AJ20" s="3">
        <f t="shared" si="8"/>
        <v>2855.2345800000003</v>
      </c>
      <c r="AK20" s="3">
        <f t="shared" si="8"/>
        <v>3140.7580379999999</v>
      </c>
      <c r="AL20" s="3">
        <f t="shared" si="8"/>
        <v>3454.8338418000021</v>
      </c>
      <c r="AM20" s="3">
        <f>+AM19-AM21</f>
        <v>3800.3172259799976</v>
      </c>
    </row>
    <row r="21" spans="2:133" s="3" customFormat="1" x14ac:dyDescent="0.2">
      <c r="B21" s="3" t="s">
        <v>22</v>
      </c>
      <c r="C21" s="5"/>
      <c r="D21" s="5"/>
      <c r="E21" s="5"/>
      <c r="F21" s="5">
        <f>F19-F20</f>
        <v>2996</v>
      </c>
      <c r="G21" s="5">
        <f>G19-G20</f>
        <v>3458</v>
      </c>
      <c r="H21" s="5">
        <f t="shared" ref="H21:K21" si="9">H19-H20</f>
        <v>3391</v>
      </c>
      <c r="I21" s="5">
        <f t="shared" si="9"/>
        <v>3468</v>
      </c>
      <c r="J21" s="5">
        <f t="shared" si="9"/>
        <v>3603</v>
      </c>
      <c r="K21" s="5">
        <f t="shared" si="9"/>
        <v>3750</v>
      </c>
      <c r="L21" s="5">
        <f>L19-L20</f>
        <v>3847</v>
      </c>
      <c r="M21" s="5">
        <f t="shared" ref="M21:U21" si="10">+M19-M20</f>
        <v>3887</v>
      </c>
      <c r="N21" s="5">
        <f t="shared" si="10"/>
        <v>3957</v>
      </c>
      <c r="O21" s="5">
        <f t="shared" si="10"/>
        <v>4087</v>
      </c>
      <c r="P21" s="5">
        <f t="shared" si="10"/>
        <v>4244</v>
      </c>
      <c r="Q21" s="5">
        <f t="shared" si="10"/>
        <v>4310</v>
      </c>
      <c r="R21" s="5">
        <f t="shared" si="10"/>
        <v>4414</v>
      </c>
      <c r="S21" s="5">
        <f t="shared" si="10"/>
        <v>4592</v>
      </c>
      <c r="T21" s="5">
        <f t="shared" si="10"/>
        <v>4711</v>
      </c>
      <c r="U21" s="5">
        <f t="shared" si="10"/>
        <v>4854</v>
      </c>
      <c r="V21" s="5">
        <f>+V19*0.9</f>
        <v>4972.5</v>
      </c>
      <c r="W21" s="5"/>
      <c r="X21" s="5"/>
      <c r="Y21" s="5"/>
      <c r="AB21" s="3">
        <f t="shared" ref="AB21:AG21" si="11">+AB19-AB20</f>
        <v>9498</v>
      </c>
      <c r="AC21" s="3">
        <f t="shared" si="11"/>
        <v>11146</v>
      </c>
      <c r="AD21" s="3">
        <f t="shared" si="11"/>
        <v>13920</v>
      </c>
      <c r="AE21" s="3">
        <f t="shared" si="11"/>
        <v>14873</v>
      </c>
      <c r="AF21" s="3">
        <f t="shared" si="11"/>
        <v>17055</v>
      </c>
      <c r="AG21" s="3">
        <f t="shared" si="11"/>
        <v>19157.3</v>
      </c>
      <c r="AH21" s="3">
        <f t="shared" ref="AH21:AM21" si="12">+AH19*0.9</f>
        <v>21237.281999999999</v>
      </c>
      <c r="AI21" s="3">
        <f t="shared" si="12"/>
        <v>23361.010200000008</v>
      </c>
      <c r="AJ21" s="3">
        <f t="shared" si="12"/>
        <v>25697.11122000001</v>
      </c>
      <c r="AK21" s="3">
        <f t="shared" si="12"/>
        <v>28266.822342000007</v>
      </c>
      <c r="AL21" s="3">
        <f t="shared" si="12"/>
        <v>31093.504576200012</v>
      </c>
      <c r="AM21" s="3">
        <f t="shared" si="12"/>
        <v>34202.855033820015</v>
      </c>
    </row>
    <row r="22" spans="2:133" s="3" customFormat="1" x14ac:dyDescent="0.2">
      <c r="B22" s="3" t="s">
        <v>23</v>
      </c>
      <c r="C22" s="5"/>
      <c r="D22" s="5"/>
      <c r="E22" s="5"/>
      <c r="F22" s="5">
        <v>558</v>
      </c>
      <c r="G22" s="5">
        <v>620</v>
      </c>
      <c r="H22" s="5">
        <v>612</v>
      </c>
      <c r="I22" s="5">
        <v>651</v>
      </c>
      <c r="J22" s="5">
        <v>657</v>
      </c>
      <c r="K22" s="5">
        <v>701</v>
      </c>
      <c r="L22" s="5">
        <v>738</v>
      </c>
      <c r="M22" s="5">
        <v>775</v>
      </c>
      <c r="N22" s="5">
        <v>773</v>
      </c>
      <c r="O22" s="5">
        <v>827</v>
      </c>
      <c r="P22" s="5">
        <v>876</v>
      </c>
      <c r="Q22" s="5">
        <v>881</v>
      </c>
      <c r="R22" s="5">
        <v>889</v>
      </c>
      <c r="S22" s="5">
        <v>939</v>
      </c>
      <c r="T22" s="5">
        <v>984</v>
      </c>
      <c r="U22" s="5">
        <v>1022</v>
      </c>
      <c r="V22" s="5">
        <f>+R22</f>
        <v>889</v>
      </c>
      <c r="W22" s="5"/>
      <c r="X22" s="5"/>
      <c r="Y22" s="5"/>
      <c r="AB22" s="3">
        <v>1930</v>
      </c>
      <c r="AC22" s="3">
        <v>2188</v>
      </c>
      <c r="AD22" s="3">
        <f>SUM(G22:J22)</f>
        <v>2540</v>
      </c>
      <c r="AE22" s="3">
        <f>SUM(K22:O22)</f>
        <v>3814</v>
      </c>
      <c r="AF22" s="3">
        <f>SUM(O22:R22)</f>
        <v>3473</v>
      </c>
      <c r="AG22" s="3">
        <f>SUM(S22:V22)</f>
        <v>3834</v>
      </c>
      <c r="AH22" s="3">
        <f>+AG22*1.03</f>
        <v>3949.02</v>
      </c>
      <c r="AI22" s="3">
        <f t="shared" ref="AI22:AM22" si="13">+AH22*1.03</f>
        <v>4067.4906000000001</v>
      </c>
      <c r="AJ22" s="3">
        <f t="shared" si="13"/>
        <v>4189.5153179999998</v>
      </c>
      <c r="AK22" s="3">
        <f t="shared" si="13"/>
        <v>4315.2007775399998</v>
      </c>
      <c r="AL22" s="3">
        <f t="shared" si="13"/>
        <v>4444.6568008661998</v>
      </c>
      <c r="AM22" s="3">
        <f t="shared" si="13"/>
        <v>4577.9965048921858</v>
      </c>
    </row>
    <row r="23" spans="2:133" s="3" customFormat="1" x14ac:dyDescent="0.2">
      <c r="B23" s="3" t="s">
        <v>24</v>
      </c>
      <c r="C23" s="5"/>
      <c r="D23" s="5"/>
      <c r="E23" s="5"/>
      <c r="F23" s="5">
        <v>941</v>
      </c>
      <c r="G23" s="5">
        <v>1049</v>
      </c>
      <c r="H23" s="5">
        <v>1073</v>
      </c>
      <c r="I23" s="5">
        <v>1068</v>
      </c>
      <c r="J23" s="5">
        <v>1131</v>
      </c>
      <c r="K23" s="5">
        <v>1158</v>
      </c>
      <c r="L23" s="5">
        <v>1247</v>
      </c>
      <c r="M23" s="5">
        <v>1266</v>
      </c>
      <c r="N23" s="5">
        <v>1297</v>
      </c>
      <c r="O23" s="5">
        <v>1301</v>
      </c>
      <c r="P23" s="5">
        <v>1345</v>
      </c>
      <c r="Q23" s="5">
        <v>1337</v>
      </c>
      <c r="R23" s="5">
        <v>1368</v>
      </c>
      <c r="S23" s="5">
        <v>1352</v>
      </c>
      <c r="T23" s="5">
        <v>1445</v>
      </c>
      <c r="U23" s="5">
        <v>1431</v>
      </c>
      <c r="V23" s="5">
        <v>1431</v>
      </c>
      <c r="W23" s="5"/>
      <c r="X23" s="5"/>
      <c r="Y23" s="5"/>
      <c r="AB23" s="3">
        <v>3244</v>
      </c>
      <c r="AC23" s="3">
        <v>3591</v>
      </c>
      <c r="AD23" s="3">
        <f>SUM(G23:J23)</f>
        <v>4321</v>
      </c>
      <c r="AE23" s="3">
        <f>SUM(K23:O23)</f>
        <v>6269</v>
      </c>
      <c r="AF23" s="3">
        <f>SUM(O23:R23)</f>
        <v>5351</v>
      </c>
      <c r="AG23" s="3">
        <f>SUM(S23:V23)</f>
        <v>5659</v>
      </c>
      <c r="AH23" s="3">
        <f>+AG23*1.03</f>
        <v>5828.77</v>
      </c>
      <c r="AI23" s="3">
        <f t="shared" ref="AI23:AM23" si="14">+AH23*1.03</f>
        <v>6003.6331000000009</v>
      </c>
      <c r="AJ23" s="3">
        <f t="shared" si="14"/>
        <v>6183.7420930000008</v>
      </c>
      <c r="AK23" s="3">
        <f t="shared" si="14"/>
        <v>6369.2543557900008</v>
      </c>
      <c r="AL23" s="3">
        <f t="shared" si="14"/>
        <v>6560.3319864637006</v>
      </c>
      <c r="AM23" s="3">
        <f t="shared" si="14"/>
        <v>6757.1419460576117</v>
      </c>
    </row>
    <row r="24" spans="2:133" s="3" customFormat="1" x14ac:dyDescent="0.2">
      <c r="B24" s="3" t="s">
        <v>25</v>
      </c>
      <c r="C24" s="5"/>
      <c r="D24" s="5"/>
      <c r="E24" s="5"/>
      <c r="F24" s="5">
        <v>243</v>
      </c>
      <c r="G24" s="5">
        <v>290</v>
      </c>
      <c r="H24" s="5">
        <v>256</v>
      </c>
      <c r="I24" s="5">
        <v>265</v>
      </c>
      <c r="J24" s="5">
        <v>274</v>
      </c>
      <c r="K24" s="5">
        <v>269</v>
      </c>
      <c r="L24" s="5">
        <v>291</v>
      </c>
      <c r="M24" s="5">
        <v>319</v>
      </c>
      <c r="N24" s="5">
        <v>340</v>
      </c>
      <c r="O24" s="5">
        <v>331</v>
      </c>
      <c r="P24" s="5">
        <v>357</v>
      </c>
      <c r="Q24" s="5">
        <v>353</v>
      </c>
      <c r="R24" s="5">
        <v>372</v>
      </c>
      <c r="S24" s="5">
        <v>352</v>
      </c>
      <c r="T24" s="5">
        <v>355</v>
      </c>
      <c r="U24" s="5">
        <v>366</v>
      </c>
      <c r="V24" s="5">
        <v>366</v>
      </c>
      <c r="W24" s="5"/>
      <c r="X24" s="5"/>
      <c r="Y24" s="5"/>
      <c r="AB24" s="3">
        <v>881</v>
      </c>
      <c r="AC24" s="3">
        <v>968</v>
      </c>
      <c r="AD24" s="3">
        <f>SUM(G24:J24)</f>
        <v>1085</v>
      </c>
      <c r="AE24" s="3">
        <f>SUM(K24:O24)</f>
        <v>1550</v>
      </c>
      <c r="AF24" s="3">
        <f>SUM(O24:R24)</f>
        <v>1413</v>
      </c>
      <c r="AG24" s="3">
        <f>SUM(S24:V24)</f>
        <v>1439</v>
      </c>
      <c r="AH24" s="3">
        <f>+AG24*1.03</f>
        <v>1482.17</v>
      </c>
      <c r="AI24" s="3">
        <f t="shared" ref="AI24:AM24" si="15">+AH24*1.03</f>
        <v>1526.6351000000002</v>
      </c>
      <c r="AJ24" s="3">
        <f t="shared" si="15"/>
        <v>1572.4341530000002</v>
      </c>
      <c r="AK24" s="3">
        <f t="shared" si="15"/>
        <v>1619.6071775900002</v>
      </c>
      <c r="AL24" s="3">
        <f t="shared" si="15"/>
        <v>1668.1953929177002</v>
      </c>
      <c r="AM24" s="3">
        <f t="shared" si="15"/>
        <v>1718.2412547052313</v>
      </c>
    </row>
    <row r="25" spans="2:133" s="3" customFormat="1" x14ac:dyDescent="0.2">
      <c r="B25" s="3" t="s">
        <v>26</v>
      </c>
      <c r="C25" s="5"/>
      <c r="D25" s="5"/>
      <c r="E25" s="5"/>
      <c r="F25" s="5">
        <f t="shared" ref="F25" si="16">SUM(F22:F24)</f>
        <v>1742</v>
      </c>
      <c r="G25" s="5">
        <f t="shared" ref="G25:J25" si="17">SUM(G22:G24)</f>
        <v>1959</v>
      </c>
      <c r="H25" s="5">
        <f t="shared" si="17"/>
        <v>1941</v>
      </c>
      <c r="I25" s="5">
        <f t="shared" si="17"/>
        <v>1984</v>
      </c>
      <c r="J25" s="5">
        <f t="shared" si="17"/>
        <v>2062</v>
      </c>
      <c r="K25" s="5">
        <f>SUM(K22:K24)</f>
        <v>2128</v>
      </c>
      <c r="L25" s="5">
        <f t="shared" ref="L25:M25" si="18">SUM(L22:L24)</f>
        <v>2276</v>
      </c>
      <c r="M25" s="5">
        <f t="shared" si="18"/>
        <v>2360</v>
      </c>
      <c r="N25" s="5">
        <f t="shared" ref="N25:O25" si="19">SUM(N22:N24)</f>
        <v>2410</v>
      </c>
      <c r="O25" s="5">
        <f t="shared" si="19"/>
        <v>2459</v>
      </c>
      <c r="P25" s="5">
        <f t="shared" ref="P25:V25" si="20">SUM(P22:P24)</f>
        <v>2578</v>
      </c>
      <c r="Q25" s="5">
        <f t="shared" si="20"/>
        <v>2571</v>
      </c>
      <c r="R25" s="5">
        <f t="shared" si="20"/>
        <v>2629</v>
      </c>
      <c r="S25" s="5">
        <f t="shared" si="20"/>
        <v>2643</v>
      </c>
      <c r="T25" s="5">
        <f t="shared" si="20"/>
        <v>2784</v>
      </c>
      <c r="U25" s="5">
        <f t="shared" si="20"/>
        <v>2819</v>
      </c>
      <c r="V25" s="5">
        <f t="shared" si="20"/>
        <v>2686</v>
      </c>
      <c r="W25" s="5"/>
      <c r="X25" s="5"/>
      <c r="Y25" s="5"/>
      <c r="AB25" s="5">
        <f t="shared" ref="AB25:AD25" si="21">SUM(AB22:AB24)</f>
        <v>6055</v>
      </c>
      <c r="AC25" s="5">
        <f t="shared" si="21"/>
        <v>6747</v>
      </c>
      <c r="AD25" s="5">
        <f t="shared" si="21"/>
        <v>7946</v>
      </c>
      <c r="AE25" s="5">
        <f t="shared" ref="AE25:AG25" si="22">SUM(AE22:AE24)</f>
        <v>11633</v>
      </c>
      <c r="AF25" s="5">
        <f t="shared" si="22"/>
        <v>10237</v>
      </c>
      <c r="AG25" s="5">
        <f t="shared" si="22"/>
        <v>10932</v>
      </c>
      <c r="AH25" s="5">
        <f t="shared" ref="AH25:AM25" si="23">SUM(AH22:AH24)</f>
        <v>11259.960000000001</v>
      </c>
      <c r="AI25" s="5">
        <f t="shared" si="23"/>
        <v>11597.7588</v>
      </c>
      <c r="AJ25" s="5">
        <f t="shared" si="23"/>
        <v>11945.691564000001</v>
      </c>
      <c r="AK25" s="5">
        <f t="shared" si="23"/>
        <v>12304.062310920001</v>
      </c>
      <c r="AL25" s="5">
        <f t="shared" si="23"/>
        <v>12673.184180247601</v>
      </c>
      <c r="AM25" s="5">
        <f t="shared" si="23"/>
        <v>13053.37970565503</v>
      </c>
    </row>
    <row r="26" spans="2:133" s="3" customFormat="1" x14ac:dyDescent="0.2">
      <c r="B26" s="3" t="s">
        <v>27</v>
      </c>
      <c r="C26" s="5"/>
      <c r="D26" s="5"/>
      <c r="E26" s="5"/>
      <c r="F26" s="5">
        <f t="shared" ref="F26" si="24">F21-F25</f>
        <v>1254</v>
      </c>
      <c r="G26" s="5">
        <f t="shared" ref="G26:J26" si="25">G21-G25</f>
        <v>1499</v>
      </c>
      <c r="H26" s="5">
        <f t="shared" si="25"/>
        <v>1450</v>
      </c>
      <c r="I26" s="5">
        <f t="shared" si="25"/>
        <v>1484</v>
      </c>
      <c r="J26" s="5">
        <f t="shared" si="25"/>
        <v>1541</v>
      </c>
      <c r="K26" s="5">
        <f>K21-K25</f>
        <v>1622</v>
      </c>
      <c r="L26" s="5">
        <f t="shared" ref="L26:M26" si="26">L21-L25</f>
        <v>1571</v>
      </c>
      <c r="M26" s="5">
        <f t="shared" si="26"/>
        <v>1527</v>
      </c>
      <c r="N26" s="5">
        <f t="shared" ref="N26:O26" si="27">N21-N25</f>
        <v>1547</v>
      </c>
      <c r="O26" s="5">
        <f t="shared" si="27"/>
        <v>1628</v>
      </c>
      <c r="P26" s="5">
        <f t="shared" ref="P26:V26" si="28">P21-P25</f>
        <v>1666</v>
      </c>
      <c r="Q26" s="5">
        <f t="shared" si="28"/>
        <v>1739</v>
      </c>
      <c r="R26" s="5">
        <f t="shared" si="28"/>
        <v>1785</v>
      </c>
      <c r="S26" s="5">
        <f t="shared" si="28"/>
        <v>1949</v>
      </c>
      <c r="T26" s="5">
        <f t="shared" si="28"/>
        <v>1927</v>
      </c>
      <c r="U26" s="5">
        <f t="shared" si="28"/>
        <v>2035</v>
      </c>
      <c r="V26" s="5">
        <f t="shared" si="28"/>
        <v>2286.5</v>
      </c>
      <c r="W26" s="5"/>
      <c r="X26" s="5"/>
      <c r="Y26" s="5"/>
      <c r="AB26" s="5">
        <f t="shared" ref="AB26:AD26" si="29">AB21-AB25</f>
        <v>3443</v>
      </c>
      <c r="AC26" s="5">
        <f t="shared" si="29"/>
        <v>4399</v>
      </c>
      <c r="AD26" s="5">
        <f t="shared" si="29"/>
        <v>5974</v>
      </c>
      <c r="AE26" s="5">
        <f t="shared" ref="AE26:AG26" si="30">AE21-AE25</f>
        <v>3240</v>
      </c>
      <c r="AF26" s="5">
        <f t="shared" si="30"/>
        <v>6818</v>
      </c>
      <c r="AG26" s="5">
        <f t="shared" si="30"/>
        <v>8225.2999999999993</v>
      </c>
      <c r="AH26" s="5">
        <f t="shared" ref="AH26:AM26" si="31">AH21-AH25</f>
        <v>9977.3219999999983</v>
      </c>
      <c r="AI26" s="5">
        <f t="shared" si="31"/>
        <v>11763.251400000008</v>
      </c>
      <c r="AJ26" s="5">
        <f t="shared" si="31"/>
        <v>13751.419656000009</v>
      </c>
      <c r="AK26" s="5">
        <f t="shared" si="31"/>
        <v>15962.760031080006</v>
      </c>
      <c r="AL26" s="5">
        <f t="shared" si="31"/>
        <v>18420.320395952411</v>
      </c>
      <c r="AM26" s="5">
        <f t="shared" si="31"/>
        <v>21149.475328164983</v>
      </c>
    </row>
    <row r="27" spans="2:133" x14ac:dyDescent="0.2">
      <c r="B27" s="3" t="s">
        <v>28</v>
      </c>
      <c r="F27" s="4">
        <v>-27</v>
      </c>
      <c r="G27" s="4">
        <v>-30</v>
      </c>
      <c r="H27" s="4">
        <v>-28</v>
      </c>
      <c r="I27" s="4">
        <v>-23</v>
      </c>
      <c r="J27" s="4">
        <v>-28</v>
      </c>
      <c r="K27" s="4">
        <v>-28</v>
      </c>
      <c r="L27" s="4">
        <f>-28-1</f>
        <v>-29</v>
      </c>
      <c r="M27" s="4">
        <v>-28</v>
      </c>
      <c r="N27" s="4">
        <v>12</v>
      </c>
      <c r="O27" s="4">
        <v>12</v>
      </c>
      <c r="P27" s="4">
        <v>26</v>
      </c>
      <c r="Q27" s="4">
        <v>46</v>
      </c>
      <c r="R27" s="4">
        <v>65</v>
      </c>
      <c r="S27" s="4">
        <v>61</v>
      </c>
      <c r="T27" s="4">
        <v>45</v>
      </c>
      <c r="U27" s="4">
        <f>-51+12+89</f>
        <v>50</v>
      </c>
      <c r="V27" s="4">
        <f>-51+12+89</f>
        <v>50</v>
      </c>
      <c r="AB27" s="3">
        <v>-157</v>
      </c>
      <c r="AC27" s="3">
        <v>-116</v>
      </c>
      <c r="AD27" s="3">
        <f>SUM(G27:J27)</f>
        <v>-109</v>
      </c>
      <c r="AE27" s="3">
        <f>SUM(K27:O27)</f>
        <v>-61</v>
      </c>
      <c r="AF27" s="3">
        <f>SUM(O27:R27)</f>
        <v>149</v>
      </c>
      <c r="AG27" s="3">
        <f>SUM(S27:V27)</f>
        <v>206</v>
      </c>
      <c r="AH27" s="3">
        <f>+AG40*$AP$35</f>
        <v>109.21124999999999</v>
      </c>
      <c r="AI27" s="3">
        <f t="shared" ref="AI27:AM27" si="32">+AH40*$AP$35</f>
        <v>351.28804799999995</v>
      </c>
      <c r="AJ27" s="3">
        <f t="shared" si="32"/>
        <v>642.03699475200017</v>
      </c>
      <c r="AK27" s="3">
        <f t="shared" si="32"/>
        <v>987.47995437004852</v>
      </c>
      <c r="AL27" s="3">
        <f t="shared" si="32"/>
        <v>1394.2857140208498</v>
      </c>
      <c r="AM27" s="3">
        <f t="shared" si="32"/>
        <v>1869.8362606602079</v>
      </c>
    </row>
    <row r="28" spans="2:133" x14ac:dyDescent="0.2">
      <c r="B28" s="3" t="s">
        <v>29</v>
      </c>
      <c r="F28" s="5">
        <f>+F26+F27</f>
        <v>1227</v>
      </c>
      <c r="G28" s="5">
        <f>+G26+G27</f>
        <v>1469</v>
      </c>
      <c r="H28" s="5">
        <f t="shared" ref="H28:O28" si="33">+H26+H27</f>
        <v>1422</v>
      </c>
      <c r="I28" s="5">
        <f t="shared" si="33"/>
        <v>1461</v>
      </c>
      <c r="J28" s="5">
        <f t="shared" si="33"/>
        <v>1513</v>
      </c>
      <c r="K28" s="5">
        <f t="shared" si="33"/>
        <v>1594</v>
      </c>
      <c r="L28" s="5">
        <f t="shared" si="33"/>
        <v>1542</v>
      </c>
      <c r="M28" s="5">
        <f t="shared" si="33"/>
        <v>1499</v>
      </c>
      <c r="N28" s="5">
        <f t="shared" ref="N28" si="34">+N26+N27</f>
        <v>1559</v>
      </c>
      <c r="O28" s="5">
        <f t="shared" si="33"/>
        <v>1640</v>
      </c>
      <c r="P28" s="5">
        <f t="shared" ref="P28:V28" si="35">+P26+P27</f>
        <v>1692</v>
      </c>
      <c r="Q28" s="5">
        <f t="shared" si="35"/>
        <v>1785</v>
      </c>
      <c r="R28" s="5">
        <f t="shared" si="35"/>
        <v>1850</v>
      </c>
      <c r="S28" s="5">
        <f t="shared" si="35"/>
        <v>2010</v>
      </c>
      <c r="T28" s="5">
        <f t="shared" si="35"/>
        <v>1972</v>
      </c>
      <c r="U28" s="5">
        <f t="shared" si="35"/>
        <v>2085</v>
      </c>
      <c r="V28" s="5">
        <f t="shared" si="35"/>
        <v>2336.5</v>
      </c>
      <c r="W28" s="5"/>
      <c r="X28" s="5"/>
      <c r="Y28" s="5"/>
      <c r="AB28" s="5">
        <f t="shared" ref="AB28:AM28" si="36">+AB26+AB27</f>
        <v>3286</v>
      </c>
      <c r="AC28" s="5">
        <f t="shared" si="36"/>
        <v>4283</v>
      </c>
      <c r="AD28" s="5">
        <f t="shared" si="36"/>
        <v>5865</v>
      </c>
      <c r="AE28" s="5">
        <f t="shared" si="36"/>
        <v>3179</v>
      </c>
      <c r="AF28" s="5">
        <f t="shared" si="36"/>
        <v>6967</v>
      </c>
      <c r="AG28" s="5">
        <f t="shared" si="36"/>
        <v>8431.2999999999993</v>
      </c>
      <c r="AH28" s="5">
        <f t="shared" si="36"/>
        <v>10086.533249999999</v>
      </c>
      <c r="AI28" s="5">
        <f t="shared" si="36"/>
        <v>12114.539448000009</v>
      </c>
      <c r="AJ28" s="5">
        <f t="shared" si="36"/>
        <v>14393.456650752008</v>
      </c>
      <c r="AK28" s="5">
        <f t="shared" si="36"/>
        <v>16950.239985450055</v>
      </c>
      <c r="AL28" s="5">
        <f t="shared" si="36"/>
        <v>19814.606109973261</v>
      </c>
      <c r="AM28" s="5">
        <f t="shared" si="36"/>
        <v>23019.311588825192</v>
      </c>
    </row>
    <row r="29" spans="2:133" s="3" customFormat="1" x14ac:dyDescent="0.2">
      <c r="B29" s="3" t="s">
        <v>30</v>
      </c>
      <c r="C29" s="5"/>
      <c r="D29" s="5"/>
      <c r="E29" s="5"/>
      <c r="F29" s="5">
        <v>0</v>
      </c>
      <c r="G29" s="5">
        <v>172</v>
      </c>
      <c r="H29" s="5">
        <v>270</v>
      </c>
      <c r="I29" s="5">
        <v>206</v>
      </c>
      <c r="J29" s="5">
        <v>235</v>
      </c>
      <c r="K29" s="5">
        <v>277</v>
      </c>
      <c r="L29" s="5">
        <v>314</v>
      </c>
      <c r="M29" s="5">
        <v>320</v>
      </c>
      <c r="N29" s="5">
        <v>341</v>
      </c>
      <c r="O29" s="5">
        <v>351</v>
      </c>
      <c r="P29" s="5">
        <v>355</v>
      </c>
      <c r="Q29" s="5">
        <v>340</v>
      </c>
      <c r="R29" s="5">
        <v>325</v>
      </c>
      <c r="S29" s="5">
        <v>348</v>
      </c>
      <c r="T29" s="5">
        <v>357</v>
      </c>
      <c r="U29" s="5">
        <v>358</v>
      </c>
      <c r="V29" s="5">
        <f>+V28*0.25</f>
        <v>584.125</v>
      </c>
      <c r="W29" s="5"/>
      <c r="X29" s="5"/>
      <c r="Y29" s="5"/>
      <c r="AB29" s="3">
        <v>254</v>
      </c>
      <c r="AC29" s="3">
        <v>-1084</v>
      </c>
      <c r="AD29" s="3">
        <f>SUM(G29:J29)</f>
        <v>883</v>
      </c>
      <c r="AE29" s="3">
        <f>SUM(K29:O29)</f>
        <v>1603</v>
      </c>
      <c r="AF29" s="3">
        <f>SUM(O29:R29)</f>
        <v>1371</v>
      </c>
      <c r="AG29" s="3">
        <f>SUM(S29:V29)</f>
        <v>1647.125</v>
      </c>
      <c r="AH29" s="3">
        <f>+AH28*0.2</f>
        <v>2017.3066499999998</v>
      </c>
      <c r="AI29" s="3">
        <f t="shared" ref="AI29:AM29" si="37">+AI28*0.2</f>
        <v>2422.9078896000019</v>
      </c>
      <c r="AJ29" s="3">
        <f t="shared" si="37"/>
        <v>2878.6913301504019</v>
      </c>
      <c r="AK29" s="3">
        <f t="shared" si="37"/>
        <v>3390.047997090011</v>
      </c>
      <c r="AL29" s="3">
        <f t="shared" si="37"/>
        <v>3962.9212219946526</v>
      </c>
      <c r="AM29" s="3">
        <f t="shared" si="37"/>
        <v>4603.8623177650388</v>
      </c>
    </row>
    <row r="30" spans="2:133" x14ac:dyDescent="0.2">
      <c r="B30" s="3" t="s">
        <v>31</v>
      </c>
      <c r="F30" s="5">
        <f>+F28-F29</f>
        <v>1227</v>
      </c>
      <c r="G30" s="5">
        <f>+G28-G29</f>
        <v>1297</v>
      </c>
      <c r="H30" s="5">
        <f t="shared" ref="H30:O30" si="38">+H28-H29</f>
        <v>1152</v>
      </c>
      <c r="I30" s="5">
        <f t="shared" si="38"/>
        <v>1255</v>
      </c>
      <c r="J30" s="5">
        <f t="shared" si="38"/>
        <v>1278</v>
      </c>
      <c r="K30" s="5">
        <f t="shared" si="38"/>
        <v>1317</v>
      </c>
      <c r="L30" s="5">
        <f t="shared" si="38"/>
        <v>1228</v>
      </c>
      <c r="M30" s="5">
        <f t="shared" si="38"/>
        <v>1179</v>
      </c>
      <c r="N30" s="5">
        <f t="shared" ref="N30" si="39">+N28-N29</f>
        <v>1218</v>
      </c>
      <c r="O30" s="5">
        <f t="shared" si="38"/>
        <v>1289</v>
      </c>
      <c r="P30" s="5">
        <f t="shared" ref="P30:V30" si="40">+P28-P29</f>
        <v>1337</v>
      </c>
      <c r="Q30" s="5">
        <f t="shared" si="40"/>
        <v>1445</v>
      </c>
      <c r="R30" s="5">
        <f t="shared" si="40"/>
        <v>1525</v>
      </c>
      <c r="S30" s="5">
        <f t="shared" si="40"/>
        <v>1662</v>
      </c>
      <c r="T30" s="5">
        <f t="shared" si="40"/>
        <v>1615</v>
      </c>
      <c r="U30" s="5">
        <f t="shared" si="40"/>
        <v>1727</v>
      </c>
      <c r="V30" s="5">
        <f t="shared" si="40"/>
        <v>1752.375</v>
      </c>
      <c r="W30" s="5"/>
      <c r="X30" s="5"/>
      <c r="Y30" s="5"/>
      <c r="AB30" s="3">
        <f t="shared" ref="AB30:AC30" si="41">+AB28-AB29</f>
        <v>3032</v>
      </c>
      <c r="AC30" s="3">
        <f t="shared" si="41"/>
        <v>5367</v>
      </c>
      <c r="AD30" s="3">
        <f t="shared" ref="AD30:AM30" si="42">+AD28-AD29</f>
        <v>4982</v>
      </c>
      <c r="AE30" s="3">
        <f t="shared" si="42"/>
        <v>1576</v>
      </c>
      <c r="AF30" s="3">
        <f t="shared" si="42"/>
        <v>5596</v>
      </c>
      <c r="AG30" s="3">
        <f t="shared" si="42"/>
        <v>6784.1749999999993</v>
      </c>
      <c r="AH30" s="3">
        <f t="shared" si="42"/>
        <v>8069.2265999999991</v>
      </c>
      <c r="AI30" s="3">
        <f t="shared" si="42"/>
        <v>9691.6315584000076</v>
      </c>
      <c r="AJ30" s="3">
        <f t="shared" si="42"/>
        <v>11514.765320601608</v>
      </c>
      <c r="AK30" s="3">
        <f t="shared" si="42"/>
        <v>13560.191988360044</v>
      </c>
      <c r="AL30" s="3">
        <f t="shared" si="42"/>
        <v>15851.684887978608</v>
      </c>
      <c r="AM30" s="3">
        <f t="shared" si="42"/>
        <v>18415.449271060155</v>
      </c>
      <c r="AN30" s="3">
        <f>+AM30*(1+$AP$34)</f>
        <v>18599.603763770756</v>
      </c>
      <c r="AO30" s="3">
        <f t="shared" ref="AO30:CZ30" si="43">+AN30*(1+$AP$34)</f>
        <v>18785.599801408465</v>
      </c>
      <c r="AP30" s="3">
        <f t="shared" si="43"/>
        <v>18973.455799422551</v>
      </c>
      <c r="AQ30" s="3">
        <f t="shared" si="43"/>
        <v>19163.190357416777</v>
      </c>
      <c r="AR30" s="3">
        <f t="shared" si="43"/>
        <v>19354.822260990946</v>
      </c>
      <c r="AS30" s="3">
        <f t="shared" si="43"/>
        <v>19548.370483600855</v>
      </c>
      <c r="AT30" s="3">
        <f t="shared" si="43"/>
        <v>19743.854188436864</v>
      </c>
      <c r="AU30" s="3">
        <f t="shared" si="43"/>
        <v>19941.292730321235</v>
      </c>
      <c r="AV30" s="3">
        <f t="shared" si="43"/>
        <v>20140.705657624447</v>
      </c>
      <c r="AW30" s="3">
        <f t="shared" si="43"/>
        <v>20342.112714200692</v>
      </c>
      <c r="AX30" s="3">
        <f t="shared" si="43"/>
        <v>20545.533841342698</v>
      </c>
      <c r="AY30" s="3">
        <f t="shared" si="43"/>
        <v>20750.989179756125</v>
      </c>
      <c r="AZ30" s="3">
        <f t="shared" si="43"/>
        <v>20958.499071553688</v>
      </c>
      <c r="BA30" s="3">
        <f t="shared" si="43"/>
        <v>21168.084062269227</v>
      </c>
      <c r="BB30" s="3">
        <f t="shared" si="43"/>
        <v>21379.764902891919</v>
      </c>
      <c r="BC30" s="3">
        <f t="shared" si="43"/>
        <v>21593.562551920837</v>
      </c>
      <c r="BD30" s="3">
        <f t="shared" si="43"/>
        <v>21809.498177440044</v>
      </c>
      <c r="BE30" s="3">
        <f t="shared" si="43"/>
        <v>22027.593159214444</v>
      </c>
      <c r="BF30" s="3">
        <f t="shared" si="43"/>
        <v>22247.869090806587</v>
      </c>
      <c r="BG30" s="3">
        <f t="shared" si="43"/>
        <v>22470.347781714652</v>
      </c>
      <c r="BH30" s="3">
        <f t="shared" si="43"/>
        <v>22695.0512595318</v>
      </c>
      <c r="BI30" s="3">
        <f t="shared" si="43"/>
        <v>22922.001772127118</v>
      </c>
      <c r="BJ30" s="3">
        <f t="shared" si="43"/>
        <v>23151.22178984839</v>
      </c>
      <c r="BK30" s="3">
        <f t="shared" si="43"/>
        <v>23382.734007746876</v>
      </c>
      <c r="BL30" s="3">
        <f t="shared" si="43"/>
        <v>23616.561347824347</v>
      </c>
      <c r="BM30" s="3">
        <f t="shared" si="43"/>
        <v>23852.726961302589</v>
      </c>
      <c r="BN30" s="3">
        <f t="shared" si="43"/>
        <v>24091.254230915616</v>
      </c>
      <c r="BO30" s="3">
        <f t="shared" si="43"/>
        <v>24332.166773224773</v>
      </c>
      <c r="BP30" s="3">
        <f t="shared" si="43"/>
        <v>24575.488440957022</v>
      </c>
      <c r="BQ30" s="3">
        <f t="shared" si="43"/>
        <v>24821.243325366591</v>
      </c>
      <c r="BR30" s="3">
        <f t="shared" si="43"/>
        <v>25069.455758620257</v>
      </c>
      <c r="BS30" s="3">
        <f t="shared" si="43"/>
        <v>25320.150316206462</v>
      </c>
      <c r="BT30" s="3">
        <f t="shared" si="43"/>
        <v>25573.351819368527</v>
      </c>
      <c r="BU30" s="3">
        <f t="shared" si="43"/>
        <v>25829.085337562214</v>
      </c>
      <c r="BV30" s="3">
        <f t="shared" si="43"/>
        <v>26087.376190937837</v>
      </c>
      <c r="BW30" s="3">
        <f t="shared" si="43"/>
        <v>26348.249952847214</v>
      </c>
      <c r="BX30" s="3">
        <f t="shared" si="43"/>
        <v>26611.732452375687</v>
      </c>
      <c r="BY30" s="3">
        <f t="shared" si="43"/>
        <v>26877.849776899446</v>
      </c>
      <c r="BZ30" s="3">
        <f t="shared" si="43"/>
        <v>27146.628274668441</v>
      </c>
      <c r="CA30" s="3">
        <f t="shared" si="43"/>
        <v>27418.094557415126</v>
      </c>
      <c r="CB30" s="3">
        <f t="shared" si="43"/>
        <v>27692.27550298928</v>
      </c>
      <c r="CC30" s="3">
        <f t="shared" si="43"/>
        <v>27969.198258019172</v>
      </c>
      <c r="CD30" s="3">
        <f t="shared" si="43"/>
        <v>28248.890240599365</v>
      </c>
      <c r="CE30" s="3">
        <f t="shared" si="43"/>
        <v>28531.379143005357</v>
      </c>
      <c r="CF30" s="3">
        <f t="shared" si="43"/>
        <v>28816.69293443541</v>
      </c>
      <c r="CG30" s="3">
        <f t="shared" si="43"/>
        <v>29104.859863779766</v>
      </c>
      <c r="CH30" s="3">
        <f t="shared" si="43"/>
        <v>29395.908462417563</v>
      </c>
      <c r="CI30" s="3">
        <f t="shared" si="43"/>
        <v>29689.86754704174</v>
      </c>
      <c r="CJ30" s="3">
        <f t="shared" si="43"/>
        <v>29986.766222512157</v>
      </c>
      <c r="CK30" s="3">
        <f t="shared" si="43"/>
        <v>30286.633884737279</v>
      </c>
      <c r="CL30" s="3">
        <f t="shared" si="43"/>
        <v>30589.500223584651</v>
      </c>
      <c r="CM30" s="3">
        <f t="shared" si="43"/>
        <v>30895.395225820499</v>
      </c>
      <c r="CN30" s="3">
        <f t="shared" si="43"/>
        <v>31204.349178078704</v>
      </c>
      <c r="CO30" s="3">
        <f t="shared" si="43"/>
        <v>31516.392669859491</v>
      </c>
      <c r="CP30" s="3">
        <f t="shared" si="43"/>
        <v>31831.556596558086</v>
      </c>
      <c r="CQ30" s="3">
        <f t="shared" si="43"/>
        <v>32149.872162523669</v>
      </c>
      <c r="CR30" s="3">
        <f t="shared" si="43"/>
        <v>32471.370884148906</v>
      </c>
      <c r="CS30" s="3">
        <f t="shared" si="43"/>
        <v>32796.084592990395</v>
      </c>
      <c r="CT30" s="3">
        <f t="shared" si="43"/>
        <v>33124.045438920301</v>
      </c>
      <c r="CU30" s="3">
        <f t="shared" si="43"/>
        <v>33455.285893309505</v>
      </c>
      <c r="CV30" s="3">
        <f t="shared" si="43"/>
        <v>33789.838752242598</v>
      </c>
      <c r="CW30" s="3">
        <f t="shared" si="43"/>
        <v>34127.737139765028</v>
      </c>
      <c r="CX30" s="3">
        <f t="shared" si="43"/>
        <v>34469.014511162677</v>
      </c>
      <c r="CY30" s="3">
        <f t="shared" si="43"/>
        <v>34813.704656274305</v>
      </c>
      <c r="CZ30" s="3">
        <f t="shared" si="43"/>
        <v>35161.841702837046</v>
      </c>
      <c r="DA30" s="3">
        <f t="shared" ref="DA30:EC30" si="44">+CZ30*(1+$AP$34)</f>
        <v>35513.46011986542</v>
      </c>
      <c r="DB30" s="3">
        <f t="shared" si="44"/>
        <v>35868.594721064073</v>
      </c>
      <c r="DC30" s="3">
        <f t="shared" si="44"/>
        <v>36227.280668274718</v>
      </c>
      <c r="DD30" s="3">
        <f t="shared" si="44"/>
        <v>36589.553474957465</v>
      </c>
      <c r="DE30" s="3">
        <f t="shared" si="44"/>
        <v>36955.449009707037</v>
      </c>
      <c r="DF30" s="3">
        <f t="shared" si="44"/>
        <v>37325.003499804108</v>
      </c>
      <c r="DG30" s="3">
        <f t="shared" si="44"/>
        <v>37698.253534802148</v>
      </c>
      <c r="DH30" s="3">
        <f t="shared" si="44"/>
        <v>38075.236070150168</v>
      </c>
      <c r="DI30" s="3">
        <f t="shared" si="44"/>
        <v>38455.98843085167</v>
      </c>
      <c r="DJ30" s="3">
        <f t="shared" si="44"/>
        <v>38840.548315160187</v>
      </c>
      <c r="DK30" s="3">
        <f t="shared" si="44"/>
        <v>39228.953798311792</v>
      </c>
      <c r="DL30" s="3">
        <f t="shared" si="44"/>
        <v>39621.243336294909</v>
      </c>
      <c r="DM30" s="3">
        <f t="shared" si="44"/>
        <v>40017.455769657856</v>
      </c>
      <c r="DN30" s="3">
        <f t="shared" si="44"/>
        <v>40417.630327354433</v>
      </c>
      <c r="DO30" s="3">
        <f t="shared" si="44"/>
        <v>40821.80663062798</v>
      </c>
      <c r="DP30" s="3">
        <f t="shared" si="44"/>
        <v>41230.024696934262</v>
      </c>
      <c r="DQ30" s="3">
        <f t="shared" si="44"/>
        <v>41642.324943903608</v>
      </c>
      <c r="DR30" s="3">
        <f t="shared" si="44"/>
        <v>42058.748193342646</v>
      </c>
      <c r="DS30" s="3">
        <f t="shared" si="44"/>
        <v>42479.335675276074</v>
      </c>
      <c r="DT30" s="3">
        <f t="shared" si="44"/>
        <v>42904.129032028832</v>
      </c>
      <c r="DU30" s="3">
        <f t="shared" si="44"/>
        <v>43333.17032234912</v>
      </c>
      <c r="DV30" s="3">
        <f t="shared" si="44"/>
        <v>43766.502025572612</v>
      </c>
      <c r="DW30" s="3">
        <f t="shared" si="44"/>
        <v>44204.167045828341</v>
      </c>
      <c r="DX30" s="3">
        <f t="shared" si="44"/>
        <v>44646.208716286623</v>
      </c>
      <c r="DY30" s="3">
        <f t="shared" si="44"/>
        <v>45092.670803449488</v>
      </c>
      <c r="DZ30" s="3">
        <f t="shared" si="44"/>
        <v>45543.597511483982</v>
      </c>
      <c r="EA30" s="3">
        <f t="shared" si="44"/>
        <v>45999.033486598819</v>
      </c>
      <c r="EB30" s="3">
        <f t="shared" si="44"/>
        <v>46459.023821464805</v>
      </c>
      <c r="EC30" s="3">
        <f t="shared" si="44"/>
        <v>46923.61405967945</v>
      </c>
    </row>
    <row r="31" spans="2:133" x14ac:dyDescent="0.2">
      <c r="B31" s="3" t="s">
        <v>32</v>
      </c>
      <c r="F31" s="8">
        <f t="shared" ref="F31" si="45">+F30/F32</f>
        <v>2.5351239669421486</v>
      </c>
      <c r="G31" s="8">
        <f>+G30/G32</f>
        <v>2.6853002070393375</v>
      </c>
      <c r="H31" s="8">
        <f t="shared" ref="H31:O31" si="46">+H30/H32</f>
        <v>2.3950103950103951</v>
      </c>
      <c r="I31" s="8">
        <f t="shared" si="46"/>
        <v>2.6091476091476093</v>
      </c>
      <c r="J31" s="8">
        <f t="shared" si="46"/>
        <v>2.6625000000000001</v>
      </c>
      <c r="K31" s="8">
        <f t="shared" si="46"/>
        <v>2.7726315789473683</v>
      </c>
      <c r="L31" s="8">
        <f t="shared" si="46"/>
        <v>2.5961945031712474</v>
      </c>
      <c r="M31" s="8">
        <f t="shared" si="46"/>
        <v>2.5138592750533051</v>
      </c>
      <c r="N31" s="8">
        <f t="shared" ref="N31" si="47">+N30/N32</f>
        <v>2.6137339055793993</v>
      </c>
      <c r="O31" s="8">
        <f t="shared" si="46"/>
        <v>2.8021739130434784</v>
      </c>
      <c r="P31" s="8">
        <f t="shared" ref="P31:V31" si="48">+P30/P32</f>
        <v>2.9128540305010895</v>
      </c>
      <c r="Q31" s="8">
        <f t="shared" si="48"/>
        <v>3.1481481481481484</v>
      </c>
      <c r="R31" s="8">
        <f t="shared" si="48"/>
        <v>3.3224400871459694</v>
      </c>
      <c r="S31" s="8">
        <f t="shared" si="48"/>
        <v>3.6447368421052633</v>
      </c>
      <c r="T31" s="8">
        <f t="shared" si="48"/>
        <v>3.5809312638580932</v>
      </c>
      <c r="U31" s="8">
        <f t="shared" si="48"/>
        <v>3.8549107142857144</v>
      </c>
      <c r="V31" s="8">
        <f t="shared" si="48"/>
        <v>3.9115513392857144</v>
      </c>
      <c r="W31" s="8"/>
      <c r="X31" s="8"/>
      <c r="Y31" s="8"/>
      <c r="AB31" s="1">
        <f t="shared" ref="AB31:AC31" si="49">+AB30/AB32</f>
        <v>6.1626016260162606</v>
      </c>
      <c r="AC31" s="1">
        <f t="shared" si="49"/>
        <v>11.065979381443299</v>
      </c>
      <c r="AD31" s="1">
        <f>+AD30/AD32</f>
        <v>10.352207792207793</v>
      </c>
      <c r="AE31" s="1">
        <f>+AE30/AE32</f>
        <v>3.3632095603926588</v>
      </c>
      <c r="AF31" s="1">
        <f>+AF30/AF32</f>
        <v>12.185084376701143</v>
      </c>
      <c r="AG31" s="1">
        <f>+AG30/AG32</f>
        <v>15.05085967831392</v>
      </c>
      <c r="AH31" s="1">
        <f t="shared" ref="AH31:AM31" si="50">+AH30/AH32</f>
        <v>17.901778369384356</v>
      </c>
      <c r="AI31" s="1">
        <f t="shared" si="50"/>
        <v>21.50112381231283</v>
      </c>
      <c r="AJ31" s="1">
        <f t="shared" si="50"/>
        <v>25.545791060680216</v>
      </c>
      <c r="AK31" s="1">
        <f t="shared" si="50"/>
        <v>30.083620606456005</v>
      </c>
      <c r="AL31" s="1">
        <f t="shared" si="50"/>
        <v>35.167354160795583</v>
      </c>
      <c r="AM31" s="1">
        <f t="shared" si="50"/>
        <v>40.855128721153974</v>
      </c>
    </row>
    <row r="32" spans="2:133" s="3" customFormat="1" x14ac:dyDescent="0.2">
      <c r="B32" s="3" t="s">
        <v>1</v>
      </c>
      <c r="C32" s="5"/>
      <c r="D32" s="5"/>
      <c r="E32" s="5"/>
      <c r="F32" s="5">
        <v>484</v>
      </c>
      <c r="G32" s="5">
        <v>483</v>
      </c>
      <c r="H32" s="5">
        <v>481</v>
      </c>
      <c r="I32" s="5">
        <v>481</v>
      </c>
      <c r="J32" s="5">
        <v>480</v>
      </c>
      <c r="K32" s="5">
        <v>475</v>
      </c>
      <c r="L32" s="5">
        <v>473</v>
      </c>
      <c r="M32" s="5">
        <v>469</v>
      </c>
      <c r="N32" s="5">
        <v>466</v>
      </c>
      <c r="O32" s="5">
        <v>460</v>
      </c>
      <c r="P32" s="5">
        <v>459</v>
      </c>
      <c r="Q32" s="5">
        <v>459</v>
      </c>
      <c r="R32" s="5">
        <v>459</v>
      </c>
      <c r="S32" s="5">
        <v>456</v>
      </c>
      <c r="T32" s="5">
        <v>451</v>
      </c>
      <c r="U32" s="5">
        <v>448</v>
      </c>
      <c r="V32" s="5">
        <f>+U32</f>
        <v>448</v>
      </c>
      <c r="W32" s="5"/>
      <c r="X32" s="5"/>
      <c r="Y32" s="5"/>
      <c r="AB32" s="3">
        <v>492</v>
      </c>
      <c r="AC32" s="3">
        <v>485</v>
      </c>
      <c r="AD32" s="3">
        <f>AVERAGE(G32:J32)</f>
        <v>481.25</v>
      </c>
      <c r="AE32" s="3">
        <f>AVERAGE(K32:O32)</f>
        <v>468.6</v>
      </c>
      <c r="AF32" s="3">
        <f>AVERAGE(O32:R32)</f>
        <v>459.25</v>
      </c>
      <c r="AG32" s="3">
        <f>AVERAGE(S32:V32)</f>
        <v>450.75</v>
      </c>
      <c r="AH32" s="3">
        <f t="shared" ref="AH32:AM32" si="51">+AG32</f>
        <v>450.75</v>
      </c>
      <c r="AI32" s="3">
        <f t="shared" si="51"/>
        <v>450.75</v>
      </c>
      <c r="AJ32" s="3">
        <f t="shared" si="51"/>
        <v>450.75</v>
      </c>
      <c r="AK32" s="3">
        <f t="shared" si="51"/>
        <v>450.75</v>
      </c>
      <c r="AL32" s="3">
        <f t="shared" si="51"/>
        <v>450.75</v>
      </c>
      <c r="AM32" s="3">
        <f t="shared" si="51"/>
        <v>450.75</v>
      </c>
    </row>
    <row r="34" spans="2:42" s="16" customFormat="1" x14ac:dyDescent="0.2">
      <c r="B34" s="6" t="s">
        <v>51</v>
      </c>
      <c r="C34" s="14"/>
      <c r="D34" s="14"/>
      <c r="E34" s="14"/>
      <c r="F34" s="14"/>
      <c r="G34" s="14"/>
      <c r="H34" s="14"/>
      <c r="I34" s="14"/>
      <c r="J34" s="15">
        <f t="shared" ref="J34" si="52">J19/F19-1</f>
        <v>0.20035046728971961</v>
      </c>
      <c r="K34" s="15">
        <f>K19/G19-1</f>
        <v>9.1421254801536511E-2</v>
      </c>
      <c r="L34" s="15">
        <f t="shared" ref="L34:M34" si="53">L19/H19-1</f>
        <v>0.14367666232073018</v>
      </c>
      <c r="M34" s="15">
        <f t="shared" si="53"/>
        <v>0.12655654383735704</v>
      </c>
      <c r="N34" s="15">
        <f>N19/I19-1</f>
        <v>0.14993646759847512</v>
      </c>
      <c r="O34" s="15">
        <f>O19/J19-1</f>
        <v>0.13260340632603396</v>
      </c>
      <c r="P34" s="15">
        <f t="shared" ref="P34" si="54">P19/K19-1</f>
        <v>0.12998592210229942</v>
      </c>
      <c r="Q34" s="15">
        <f t="shared" ref="Q34" si="55">Q19/L19-1</f>
        <v>0.11491108071135425</v>
      </c>
      <c r="R34" s="15">
        <f t="shared" ref="R34" si="56">R19/M19-1</f>
        <v>0.1387322355064291</v>
      </c>
      <c r="S34" s="15">
        <f t="shared" ref="S34" si="57">S19/O19-1</f>
        <v>0.11321160042964551</v>
      </c>
      <c r="T34" s="15">
        <f>T19/P19-1</f>
        <v>0.10236710963455153</v>
      </c>
      <c r="U34" s="15">
        <f t="shared" ref="U34:V34" si="58">U19/Q19-1</f>
        <v>0.10593047034764824</v>
      </c>
      <c r="V34" s="15">
        <f t="shared" si="58"/>
        <v>9.4492868462757507E-2</v>
      </c>
      <c r="W34" s="15"/>
      <c r="X34" s="15"/>
      <c r="Y34" s="15"/>
      <c r="AC34" s="17">
        <f t="shared" ref="AC34:AD34" si="59">+AC19/AB19-1</f>
        <v>0.151911198639334</v>
      </c>
      <c r="AD34" s="17">
        <f t="shared" si="59"/>
        <v>0.22668635374572577</v>
      </c>
      <c r="AE34" s="17">
        <f>+AE19/AD19-1</f>
        <v>0.11536268609439349</v>
      </c>
      <c r="AF34" s="17">
        <f>+AF19/AE19-1</f>
        <v>0.10240826990798602</v>
      </c>
      <c r="AG34" s="17">
        <f t="shared" ref="AG34" si="60">+AG19/AF19-1</f>
        <v>0.10525014168684632</v>
      </c>
      <c r="AH34" s="17">
        <f>+AH19/AG19-1</f>
        <v>0.10000000000000009</v>
      </c>
      <c r="AI34" s="17">
        <f t="shared" ref="AI34:AM34" si="61">+AI19/AH19-1</f>
        <v>0.10000000000000031</v>
      </c>
      <c r="AJ34" s="17">
        <f t="shared" si="61"/>
        <v>0.10000000000000009</v>
      </c>
      <c r="AK34" s="17">
        <f t="shared" si="61"/>
        <v>9.9999999999999867E-2</v>
      </c>
      <c r="AL34" s="17">
        <f t="shared" si="61"/>
        <v>0.10000000000000031</v>
      </c>
      <c r="AM34" s="17">
        <f t="shared" si="61"/>
        <v>9.9999999999999867E-2</v>
      </c>
      <c r="AO34" s="16" t="s">
        <v>121</v>
      </c>
      <c r="AP34" s="17">
        <v>0.01</v>
      </c>
    </row>
    <row r="35" spans="2:42" x14ac:dyDescent="0.2">
      <c r="B35" s="3" t="s">
        <v>101</v>
      </c>
      <c r="J35" s="9"/>
      <c r="K35" s="9"/>
      <c r="L35" s="9"/>
      <c r="M35" s="9">
        <v>0.15</v>
      </c>
      <c r="N35" s="9"/>
      <c r="AO35" t="s">
        <v>128</v>
      </c>
      <c r="AP35" s="13">
        <v>0.03</v>
      </c>
    </row>
    <row r="36" spans="2:42" s="16" customFormat="1" x14ac:dyDescent="0.2">
      <c r="B36" s="6" t="s">
        <v>102</v>
      </c>
      <c r="C36" s="14"/>
      <c r="D36" s="14"/>
      <c r="E36" s="14"/>
      <c r="F36" s="14"/>
      <c r="G36" s="14"/>
      <c r="H36" s="14"/>
      <c r="I36" s="14"/>
      <c r="J36" s="15"/>
      <c r="K36" s="15">
        <f>K4/G4-1</f>
        <v>0.19121447028423777</v>
      </c>
      <c r="L36" s="15">
        <f>L4/H4-1</f>
        <v>0.13000817661488151</v>
      </c>
      <c r="M36" s="15">
        <f>M4/I4-1</f>
        <v>0.11718131433095813</v>
      </c>
      <c r="N36" s="15">
        <f t="shared" ref="N36:U36" si="62">N4/J4-1</f>
        <v>8.5775553967119444E-2</v>
      </c>
      <c r="O36" s="15">
        <f t="shared" si="62"/>
        <v>9.9783080260303691E-2</v>
      </c>
      <c r="P36" s="15">
        <f t="shared" si="62"/>
        <v>0.10130246020260492</v>
      </c>
      <c r="Q36" s="15">
        <f t="shared" si="62"/>
        <v>0.11410347271438703</v>
      </c>
      <c r="R36" s="15">
        <f t="shared" si="62"/>
        <v>0.13364055299539168</v>
      </c>
      <c r="S36" s="15">
        <f t="shared" si="62"/>
        <v>0.15581854043392496</v>
      </c>
      <c r="T36" s="15">
        <f t="shared" si="62"/>
        <v>0.17345597897503295</v>
      </c>
      <c r="U36" s="15">
        <f t="shared" si="62"/>
        <v>0.15394402035623411</v>
      </c>
      <c r="V36" s="15">
        <f>V4/R4-1</f>
        <v>-1</v>
      </c>
      <c r="W36" s="14"/>
      <c r="X36" s="14"/>
      <c r="Y36" s="14"/>
      <c r="AO36" t="s">
        <v>122</v>
      </c>
      <c r="AP36" s="18">
        <v>0.08</v>
      </c>
    </row>
    <row r="37" spans="2:42" x14ac:dyDescent="0.2">
      <c r="B37" s="3" t="s">
        <v>68</v>
      </c>
      <c r="J37" s="9">
        <f t="shared" ref="J37" si="63">J21/J19</f>
        <v>0.87664233576642336</v>
      </c>
      <c r="K37" s="9">
        <f>K21/K19</f>
        <v>0.87986860628812769</v>
      </c>
      <c r="L37" s="9">
        <f t="shared" ref="L37:V37" si="64">L21/L19</f>
        <v>0.87710898312813501</v>
      </c>
      <c r="M37" s="9">
        <f t="shared" si="64"/>
        <v>0.87683284457478006</v>
      </c>
      <c r="N37" s="9">
        <f t="shared" si="64"/>
        <v>0.87447513812154698</v>
      </c>
      <c r="O37" s="9">
        <f t="shared" si="64"/>
        <v>0.87798066595059077</v>
      </c>
      <c r="P37" s="9">
        <f t="shared" si="64"/>
        <v>0.8812292358803987</v>
      </c>
      <c r="Q37" s="9">
        <f t="shared" si="64"/>
        <v>0.88139059304703471</v>
      </c>
      <c r="R37" s="9">
        <f t="shared" si="64"/>
        <v>0.87440570522979399</v>
      </c>
      <c r="S37" s="9">
        <f t="shared" si="64"/>
        <v>0.88614434581242763</v>
      </c>
      <c r="T37" s="9">
        <f t="shared" si="64"/>
        <v>0.88736108495008481</v>
      </c>
      <c r="U37" s="9">
        <f t="shared" si="64"/>
        <v>0.8975591715976331</v>
      </c>
      <c r="V37" s="9">
        <f t="shared" si="64"/>
        <v>0.9</v>
      </c>
      <c r="W37" s="9"/>
      <c r="X37" s="9"/>
      <c r="Y37" s="9"/>
      <c r="AB37" s="9">
        <f t="shared" ref="AB37:AG37" si="65">AB21/AB19</f>
        <v>0.85023722137677915</v>
      </c>
      <c r="AC37" s="9">
        <f t="shared" si="65"/>
        <v>0.86617967050046629</v>
      </c>
      <c r="AD37" s="9">
        <f t="shared" si="65"/>
        <v>0.88184985745961353</v>
      </c>
      <c r="AE37" s="9">
        <f t="shared" si="65"/>
        <v>0.84476882880836079</v>
      </c>
      <c r="AF37" s="9">
        <f t="shared" si="65"/>
        <v>0.87871605955999799</v>
      </c>
      <c r="AG37" s="9">
        <f t="shared" si="65"/>
        <v>0.89303927875516276</v>
      </c>
      <c r="AH37" s="9">
        <f t="shared" ref="AH37:AM37" si="66">AH21/AH19</f>
        <v>0.9</v>
      </c>
      <c r="AI37" s="9">
        <f t="shared" si="66"/>
        <v>0.9</v>
      </c>
      <c r="AJ37" s="9">
        <f t="shared" si="66"/>
        <v>0.9</v>
      </c>
      <c r="AK37" s="9">
        <f t="shared" si="66"/>
        <v>0.9</v>
      </c>
      <c r="AL37" s="9">
        <f t="shared" si="66"/>
        <v>0.9</v>
      </c>
      <c r="AM37" s="9">
        <f t="shared" si="66"/>
        <v>0.90000000000000013</v>
      </c>
      <c r="AO37" s="16" t="s">
        <v>123</v>
      </c>
      <c r="AP37" s="6">
        <f>NPV(AP36,AH30:EC30)</f>
        <v>224415.4291531932</v>
      </c>
    </row>
    <row r="38" spans="2:42" x14ac:dyDescent="0.2">
      <c r="B38" s="3" t="s">
        <v>105</v>
      </c>
      <c r="J38" s="9">
        <f>+J29/J28</f>
        <v>0.15532055518836749</v>
      </c>
      <c r="K38" s="9">
        <f t="shared" ref="K38:V38" si="67">+K29/K28</f>
        <v>0.1737766624843162</v>
      </c>
      <c r="L38" s="9">
        <f t="shared" si="67"/>
        <v>0.20363164721141375</v>
      </c>
      <c r="M38" s="9">
        <f t="shared" si="67"/>
        <v>0.2134756504336224</v>
      </c>
      <c r="N38" s="9">
        <f t="shared" si="67"/>
        <v>0.2187299550994227</v>
      </c>
      <c r="O38" s="9">
        <f t="shared" si="67"/>
        <v>0.21402439024390243</v>
      </c>
      <c r="P38" s="9">
        <f t="shared" si="67"/>
        <v>0.20981087470449172</v>
      </c>
      <c r="Q38" s="9">
        <f t="shared" si="67"/>
        <v>0.19047619047619047</v>
      </c>
      <c r="R38" s="9">
        <f t="shared" si="67"/>
        <v>0.17567567567567569</v>
      </c>
      <c r="S38" s="9">
        <f t="shared" si="67"/>
        <v>0.17313432835820897</v>
      </c>
      <c r="T38" s="9">
        <f t="shared" si="67"/>
        <v>0.18103448275862069</v>
      </c>
      <c r="U38" s="9">
        <f t="shared" si="67"/>
        <v>0.17170263788968826</v>
      </c>
      <c r="V38" s="9">
        <f t="shared" si="67"/>
        <v>0.25</v>
      </c>
      <c r="W38" s="9"/>
      <c r="X38" s="9"/>
      <c r="Y38" s="9"/>
      <c r="AB38" s="9">
        <f t="shared" ref="AB38:AG38" si="68">+AB29/AB28</f>
        <v>7.7297626293365798E-2</v>
      </c>
      <c r="AC38" s="9">
        <f t="shared" si="68"/>
        <v>-0.25309362596310997</v>
      </c>
      <c r="AD38" s="9">
        <f t="shared" si="68"/>
        <v>0.15055413469735721</v>
      </c>
      <c r="AE38" s="9">
        <f t="shared" si="68"/>
        <v>0.50424661843346963</v>
      </c>
      <c r="AF38" s="9">
        <f t="shared" si="68"/>
        <v>0.19678484283048658</v>
      </c>
      <c r="AG38" s="9">
        <f t="shared" si="68"/>
        <v>0.19535836703711174</v>
      </c>
      <c r="AH38" s="9">
        <f t="shared" ref="AH38:AM38" si="69">+AH29/AH28</f>
        <v>0.2</v>
      </c>
      <c r="AI38" s="9">
        <f t="shared" si="69"/>
        <v>0.2</v>
      </c>
      <c r="AJ38" s="9">
        <f t="shared" si="69"/>
        <v>0.2</v>
      </c>
      <c r="AK38" s="9">
        <f t="shared" si="69"/>
        <v>0.2</v>
      </c>
      <c r="AL38" s="9">
        <f t="shared" si="69"/>
        <v>0.2</v>
      </c>
      <c r="AM38" s="9">
        <f t="shared" si="69"/>
        <v>0.2</v>
      </c>
    </row>
    <row r="40" spans="2:42" s="3" customFormat="1" x14ac:dyDescent="0.2">
      <c r="B40" s="3" t="s">
        <v>50</v>
      </c>
      <c r="C40" s="5"/>
      <c r="D40" s="5"/>
      <c r="E40" s="5"/>
      <c r="F40" s="5"/>
      <c r="G40" s="5">
        <f t="shared" ref="G40" si="70">+G41-G53</f>
        <v>844</v>
      </c>
      <c r="H40" s="5">
        <f t="shared" ref="H40:I40" si="71">+H41-H53</f>
        <v>1648</v>
      </c>
      <c r="I40" s="5">
        <f t="shared" si="71"/>
        <v>2042</v>
      </c>
      <c r="J40" s="5">
        <f t="shared" ref="J40" si="72">+J41-J53</f>
        <v>1675</v>
      </c>
      <c r="K40" s="5">
        <f>+K41-K53</f>
        <v>576</v>
      </c>
      <c r="L40" s="5">
        <f t="shared" ref="L40:M40" si="73">+L41-L53</f>
        <v>1173</v>
      </c>
      <c r="M40" s="5">
        <f t="shared" si="73"/>
        <v>1637</v>
      </c>
      <c r="N40" s="5"/>
      <c r="O40" s="5"/>
      <c r="P40" s="5"/>
      <c r="Q40" s="5"/>
      <c r="R40" s="5"/>
      <c r="S40" s="5"/>
      <c r="T40" s="5"/>
      <c r="U40" s="5">
        <f t="shared" ref="U40" si="74">+U41-U53</f>
        <v>1888</v>
      </c>
      <c r="V40" s="5">
        <f>+U40+V30</f>
        <v>3640.375</v>
      </c>
      <c r="W40" s="5"/>
      <c r="X40" s="5"/>
      <c r="Y40" s="5"/>
      <c r="AG40" s="3">
        <f>+V40</f>
        <v>3640.375</v>
      </c>
      <c r="AH40" s="3">
        <f t="shared" ref="AH40:AM40" si="75">+AG40+AH30</f>
        <v>11709.601599999998</v>
      </c>
      <c r="AI40" s="3">
        <f t="shared" si="75"/>
        <v>21401.233158400006</v>
      </c>
      <c r="AJ40" s="3">
        <f t="shared" si="75"/>
        <v>32915.998479001617</v>
      </c>
      <c r="AK40" s="3">
        <f t="shared" si="75"/>
        <v>46476.190467361659</v>
      </c>
      <c r="AL40" s="3">
        <f t="shared" si="75"/>
        <v>62327.875355340264</v>
      </c>
      <c r="AM40" s="3">
        <f t="shared" si="75"/>
        <v>80743.324626400426</v>
      </c>
    </row>
    <row r="41" spans="2:42" s="3" customFormat="1" x14ac:dyDescent="0.2">
      <c r="B41" s="3" t="s">
        <v>3</v>
      </c>
      <c r="C41" s="5"/>
      <c r="D41" s="5"/>
      <c r="E41" s="5"/>
      <c r="F41" s="5"/>
      <c r="G41" s="5">
        <f>3452+1511</f>
        <v>4963</v>
      </c>
      <c r="H41" s="5">
        <f>4250+1518</f>
        <v>5768</v>
      </c>
      <c r="I41" s="5">
        <f>4623+1541</f>
        <v>6164</v>
      </c>
      <c r="J41" s="5">
        <f>3844+1954</f>
        <v>5798</v>
      </c>
      <c r="K41" s="5">
        <f>2739+1962</f>
        <v>4701</v>
      </c>
      <c r="L41" s="5">
        <f>3365+1934</f>
        <v>5299</v>
      </c>
      <c r="M41" s="5">
        <f>3870+1894</f>
        <v>5764</v>
      </c>
      <c r="N41" s="5"/>
      <c r="O41" s="5"/>
      <c r="P41" s="5"/>
      <c r="Q41" s="5"/>
      <c r="R41" s="5"/>
      <c r="S41" s="5"/>
      <c r="T41" s="5"/>
      <c r="U41" s="5">
        <f>7193+322</f>
        <v>7515</v>
      </c>
      <c r="V41" s="5"/>
      <c r="W41" s="5"/>
      <c r="X41" s="5"/>
      <c r="Y41" s="5"/>
    </row>
    <row r="42" spans="2:42" s="3" customFormat="1" x14ac:dyDescent="0.2">
      <c r="B42" s="3" t="s">
        <v>34</v>
      </c>
      <c r="C42" s="5"/>
      <c r="D42" s="5"/>
      <c r="E42" s="5"/>
      <c r="F42" s="5"/>
      <c r="G42" s="5">
        <v>1520</v>
      </c>
      <c r="H42" s="5">
        <v>1477</v>
      </c>
      <c r="I42" s="5">
        <v>1545</v>
      </c>
      <c r="J42" s="5">
        <v>1878</v>
      </c>
      <c r="K42" s="5">
        <v>1685</v>
      </c>
      <c r="L42" s="5">
        <v>1588</v>
      </c>
      <c r="M42" s="5">
        <v>1723</v>
      </c>
      <c r="N42" s="5"/>
      <c r="O42" s="5"/>
      <c r="P42" s="5"/>
      <c r="Q42" s="5"/>
      <c r="R42" s="5"/>
      <c r="S42" s="5"/>
      <c r="T42" s="5"/>
      <c r="U42" s="5">
        <v>1802</v>
      </c>
      <c r="V42" s="5"/>
      <c r="W42" s="5"/>
      <c r="X42" s="5"/>
      <c r="Y42" s="5"/>
    </row>
    <row r="43" spans="2:42" s="3" customFormat="1" x14ac:dyDescent="0.2">
      <c r="B43" s="3" t="s">
        <v>35</v>
      </c>
      <c r="C43" s="5"/>
      <c r="D43" s="5"/>
      <c r="E43" s="5"/>
      <c r="F43" s="5"/>
      <c r="G43" s="5">
        <v>901</v>
      </c>
      <c r="H43" s="5">
        <v>833</v>
      </c>
      <c r="I43" s="5">
        <v>910</v>
      </c>
      <c r="J43" s="5">
        <v>993</v>
      </c>
      <c r="K43" s="5">
        <v>1090</v>
      </c>
      <c r="L43" s="5">
        <v>1021</v>
      </c>
      <c r="M43" s="5">
        <v>1002</v>
      </c>
      <c r="N43" s="5"/>
      <c r="O43" s="5"/>
      <c r="P43" s="5"/>
      <c r="Q43" s="5"/>
      <c r="R43" s="5"/>
      <c r="S43" s="5"/>
      <c r="T43" s="5"/>
      <c r="U43" s="5">
        <v>1399</v>
      </c>
      <c r="V43" s="5"/>
      <c r="W43" s="5"/>
      <c r="X43" s="5"/>
      <c r="Y43" s="5"/>
    </row>
    <row r="44" spans="2:42" s="3" customFormat="1" x14ac:dyDescent="0.2">
      <c r="B44" s="3" t="s">
        <v>36</v>
      </c>
      <c r="C44" s="5"/>
      <c r="D44" s="5"/>
      <c r="E44" s="5"/>
      <c r="F44" s="5"/>
      <c r="G44" s="5">
        <v>1530</v>
      </c>
      <c r="H44" s="5">
        <v>1573</v>
      </c>
      <c r="I44" s="5">
        <v>1629</v>
      </c>
      <c r="J44" s="5">
        <v>1673</v>
      </c>
      <c r="K44" s="5">
        <v>1703</v>
      </c>
      <c r="L44" s="5">
        <v>1790</v>
      </c>
      <c r="M44" s="5">
        <v>1858</v>
      </c>
      <c r="N44" s="5"/>
      <c r="O44" s="5"/>
      <c r="P44" s="5"/>
      <c r="Q44" s="5"/>
      <c r="R44" s="5"/>
      <c r="S44" s="5"/>
      <c r="T44" s="5"/>
      <c r="U44" s="5">
        <v>1969</v>
      </c>
      <c r="V44" s="5"/>
      <c r="W44" s="5"/>
      <c r="X44" s="5"/>
      <c r="Y44" s="5"/>
    </row>
    <row r="45" spans="2:42" s="3" customFormat="1" x14ac:dyDescent="0.2">
      <c r="B45" s="3" t="s">
        <v>37</v>
      </c>
      <c r="C45" s="5"/>
      <c r="D45" s="5"/>
      <c r="E45" s="5"/>
      <c r="F45" s="5"/>
      <c r="G45" s="5">
        <v>477</v>
      </c>
      <c r="H45" s="5">
        <v>458</v>
      </c>
      <c r="I45" s="5">
        <v>452</v>
      </c>
      <c r="J45" s="5">
        <v>443</v>
      </c>
      <c r="K45" s="5">
        <v>435</v>
      </c>
      <c r="L45" s="5">
        <v>430</v>
      </c>
      <c r="M45" s="5">
        <v>414</v>
      </c>
      <c r="N45" s="5"/>
      <c r="O45" s="5"/>
      <c r="P45" s="5"/>
      <c r="Q45" s="5"/>
      <c r="R45" s="5"/>
      <c r="S45" s="5"/>
      <c r="T45" s="5"/>
      <c r="U45" s="5">
        <v>368</v>
      </c>
      <c r="V45" s="5"/>
      <c r="W45" s="5"/>
      <c r="X45" s="5"/>
      <c r="Y45" s="5"/>
    </row>
    <row r="46" spans="2:42" s="3" customFormat="1" x14ac:dyDescent="0.2">
      <c r="B46" s="3" t="s">
        <v>38</v>
      </c>
      <c r="C46" s="5"/>
      <c r="D46" s="5"/>
      <c r="E46" s="5"/>
      <c r="F46" s="5"/>
      <c r="G46" s="5">
        <f>11845+1729</f>
        <v>13574</v>
      </c>
      <c r="H46" s="5">
        <f>11859+1641</f>
        <v>13500</v>
      </c>
      <c r="I46" s="5">
        <f>11838+1557</f>
        <v>13395</v>
      </c>
      <c r="J46" s="5">
        <f>12668+1820</f>
        <v>14488</v>
      </c>
      <c r="K46" s="5">
        <f>12795+1743</f>
        <v>14538</v>
      </c>
      <c r="L46" s="5">
        <f>12801+1650</f>
        <v>14451</v>
      </c>
      <c r="M46" s="5">
        <f>12756+1548</f>
        <v>14304</v>
      </c>
      <c r="N46" s="5"/>
      <c r="O46" s="5"/>
      <c r="P46" s="5"/>
      <c r="Q46" s="5"/>
      <c r="R46" s="5"/>
      <c r="S46" s="5"/>
      <c r="T46" s="5"/>
      <c r="U46" s="5">
        <f>12814+858</f>
        <v>13672</v>
      </c>
      <c r="V46" s="5"/>
      <c r="W46" s="5"/>
      <c r="X46" s="5"/>
      <c r="Y46" s="5"/>
    </row>
    <row r="47" spans="2:42" s="3" customFormat="1" x14ac:dyDescent="0.2">
      <c r="B47" s="3" t="s">
        <v>39</v>
      </c>
      <c r="C47" s="5"/>
      <c r="D47" s="5"/>
      <c r="E47" s="5"/>
      <c r="F47" s="5"/>
      <c r="G47" s="5">
        <v>1262</v>
      </c>
      <c r="H47" s="5">
        <v>1168</v>
      </c>
      <c r="I47" s="5">
        <v>1190</v>
      </c>
      <c r="J47" s="5">
        <v>1085</v>
      </c>
      <c r="K47" s="5">
        <v>950</v>
      </c>
      <c r="L47" s="5">
        <v>882</v>
      </c>
      <c r="M47" s="5">
        <v>799</v>
      </c>
      <c r="N47" s="5"/>
      <c r="O47" s="5"/>
      <c r="P47" s="5"/>
      <c r="Q47" s="5"/>
      <c r="R47" s="5"/>
      <c r="S47" s="5"/>
      <c r="T47" s="5"/>
      <c r="U47" s="5">
        <v>1548</v>
      </c>
      <c r="V47" s="5"/>
      <c r="W47" s="5"/>
      <c r="X47" s="5"/>
      <c r="Y47" s="5"/>
    </row>
    <row r="48" spans="2:42" s="3" customFormat="1" x14ac:dyDescent="0.2">
      <c r="B48" s="3" t="s">
        <v>40</v>
      </c>
      <c r="C48" s="5"/>
      <c r="D48" s="5"/>
      <c r="E48" s="5"/>
      <c r="F48" s="5"/>
      <c r="G48" s="5">
        <v>758</v>
      </c>
      <c r="H48" s="5">
        <v>805</v>
      </c>
      <c r="I48" s="5">
        <v>859</v>
      </c>
      <c r="J48" s="5">
        <v>883</v>
      </c>
      <c r="K48" s="5">
        <v>874</v>
      </c>
      <c r="L48" s="5">
        <v>865</v>
      </c>
      <c r="M48" s="5">
        <v>880</v>
      </c>
      <c r="N48" s="5"/>
      <c r="O48" s="5"/>
      <c r="P48" s="5"/>
      <c r="Q48" s="5"/>
      <c r="R48" s="5"/>
      <c r="S48" s="5"/>
      <c r="T48" s="5"/>
      <c r="U48" s="5">
        <v>1557</v>
      </c>
      <c r="V48" s="5"/>
      <c r="W48" s="5"/>
      <c r="X48" s="5"/>
      <c r="Y48" s="5"/>
    </row>
    <row r="49" spans="2:31" s="3" customFormat="1" x14ac:dyDescent="0.2">
      <c r="B49" s="3" t="s">
        <v>33</v>
      </c>
      <c r="C49" s="5"/>
      <c r="D49" s="5"/>
      <c r="E49" s="5"/>
      <c r="F49" s="5"/>
      <c r="G49" s="5">
        <f t="shared" ref="G49" si="76">SUM(G41:G48)</f>
        <v>24985</v>
      </c>
      <c r="H49" s="5">
        <f t="shared" ref="H49" si="77">SUM(H41:H48)</f>
        <v>25582</v>
      </c>
      <c r="I49" s="5">
        <f t="shared" ref="I49" si="78">SUM(I41:I48)</f>
        <v>26144</v>
      </c>
      <c r="J49" s="5">
        <f t="shared" ref="J49" si="79">SUM(J41:J48)</f>
        <v>27241</v>
      </c>
      <c r="K49" s="5">
        <f>SUM(K41:K48)</f>
        <v>25976</v>
      </c>
      <c r="L49" s="5">
        <f t="shared" ref="L49:U49" si="80">SUM(L41:L48)</f>
        <v>26326</v>
      </c>
      <c r="M49" s="5">
        <f t="shared" si="80"/>
        <v>26744</v>
      </c>
      <c r="N49" s="5"/>
      <c r="O49" s="5">
        <f t="shared" si="80"/>
        <v>0</v>
      </c>
      <c r="P49" s="5">
        <f t="shared" si="80"/>
        <v>0</v>
      </c>
      <c r="Q49" s="5">
        <f t="shared" si="80"/>
        <v>0</v>
      </c>
      <c r="R49" s="5">
        <f t="shared" si="80"/>
        <v>0</v>
      </c>
      <c r="S49" s="5">
        <f t="shared" si="80"/>
        <v>0</v>
      </c>
      <c r="T49" s="5">
        <f t="shared" si="80"/>
        <v>0</v>
      </c>
      <c r="U49" s="5">
        <f t="shared" si="80"/>
        <v>29830</v>
      </c>
      <c r="V49" s="5"/>
      <c r="W49" s="5"/>
      <c r="X49" s="5"/>
      <c r="Y49" s="5"/>
    </row>
    <row r="50" spans="2:31" s="3" customForma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31" s="3" customFormat="1" x14ac:dyDescent="0.2">
      <c r="B51" s="3" t="s">
        <v>41</v>
      </c>
      <c r="C51" s="5"/>
      <c r="D51" s="5"/>
      <c r="E51" s="5"/>
      <c r="F51" s="5"/>
      <c r="G51" s="5">
        <v>254</v>
      </c>
      <c r="H51" s="5">
        <v>312</v>
      </c>
      <c r="I51" s="5">
        <v>331</v>
      </c>
      <c r="J51" s="5">
        <v>312</v>
      </c>
      <c r="K51" s="5">
        <v>295</v>
      </c>
      <c r="L51" s="5">
        <v>366</v>
      </c>
      <c r="M51" s="5">
        <v>316</v>
      </c>
      <c r="N51" s="5"/>
      <c r="O51" s="5"/>
      <c r="P51" s="5"/>
      <c r="Q51" s="5"/>
      <c r="R51" s="5"/>
      <c r="S51" s="5"/>
      <c r="T51" s="5"/>
      <c r="U51" s="5">
        <v>318</v>
      </c>
      <c r="V51" s="5"/>
      <c r="W51" s="5"/>
      <c r="X51" s="5"/>
      <c r="Y51" s="5"/>
    </row>
    <row r="52" spans="2:31" s="3" customFormat="1" x14ac:dyDescent="0.2">
      <c r="B52" s="3" t="s">
        <v>42</v>
      </c>
      <c r="C52" s="5"/>
      <c r="D52" s="5"/>
      <c r="E52" s="5"/>
      <c r="F52" s="5"/>
      <c r="G52" s="5">
        <v>1243</v>
      </c>
      <c r="H52" s="5">
        <v>1538</v>
      </c>
      <c r="I52" s="5">
        <v>1450</v>
      </c>
      <c r="J52" s="5">
        <v>1736</v>
      </c>
      <c r="K52" s="5">
        <v>1333</v>
      </c>
      <c r="L52" s="5">
        <v>1615</v>
      </c>
      <c r="M52" s="5">
        <v>1629</v>
      </c>
      <c r="N52" s="5"/>
      <c r="O52" s="5"/>
      <c r="P52" s="5"/>
      <c r="Q52" s="5"/>
      <c r="R52" s="5"/>
      <c r="S52" s="5"/>
      <c r="T52" s="5"/>
      <c r="U52" s="5">
        <v>1848</v>
      </c>
      <c r="V52" s="5"/>
      <c r="W52" s="5"/>
      <c r="X52" s="5"/>
      <c r="Y52" s="5"/>
    </row>
    <row r="53" spans="2:31" s="3" customFormat="1" x14ac:dyDescent="0.2">
      <c r="B53" s="3" t="s">
        <v>4</v>
      </c>
      <c r="C53" s="5"/>
      <c r="D53" s="5"/>
      <c r="E53" s="5"/>
      <c r="F53" s="5"/>
      <c r="G53" s="5">
        <v>4119</v>
      </c>
      <c r="H53" s="5">
        <v>4120</v>
      </c>
      <c r="I53" s="5">
        <v>4122</v>
      </c>
      <c r="J53" s="5">
        <v>4123</v>
      </c>
      <c r="K53" s="5">
        <f>499+3626</f>
        <v>4125</v>
      </c>
      <c r="L53" s="5">
        <f>499+3627</f>
        <v>4126</v>
      </c>
      <c r="M53" s="5">
        <f>500+3627</f>
        <v>4127</v>
      </c>
      <c r="N53" s="5"/>
      <c r="O53" s="5"/>
      <c r="P53" s="5"/>
      <c r="Q53" s="5"/>
      <c r="R53" s="5"/>
      <c r="S53" s="5"/>
      <c r="T53" s="5"/>
      <c r="U53" s="5">
        <f>1499+4128</f>
        <v>5627</v>
      </c>
      <c r="V53" s="5"/>
      <c r="W53" s="5"/>
      <c r="X53" s="5"/>
      <c r="Y53" s="5"/>
    </row>
    <row r="54" spans="2:31" s="3" customFormat="1" x14ac:dyDescent="0.2">
      <c r="B54" s="3" t="s">
        <v>43</v>
      </c>
      <c r="C54" s="5"/>
      <c r="D54" s="5"/>
      <c r="E54" s="5"/>
      <c r="F54" s="5"/>
      <c r="G54" s="5">
        <f>4134+151</f>
        <v>4285</v>
      </c>
      <c r="H54" s="5">
        <f>4144+139</f>
        <v>4283</v>
      </c>
      <c r="I54" s="5">
        <f>4243+142</f>
        <v>4385</v>
      </c>
      <c r="J54" s="5">
        <f>4733+145</f>
        <v>4878</v>
      </c>
      <c r="K54" s="5">
        <f>4894+125</f>
        <v>5019</v>
      </c>
      <c r="L54" s="5">
        <f>4753+123</f>
        <v>4876</v>
      </c>
      <c r="M54" s="5">
        <f>4829+114</f>
        <v>4943</v>
      </c>
      <c r="N54" s="5"/>
      <c r="O54" s="5"/>
      <c r="P54" s="5"/>
      <c r="Q54" s="5"/>
      <c r="R54" s="5"/>
      <c r="S54" s="5"/>
      <c r="T54" s="5"/>
      <c r="U54" s="5">
        <f>5779+127</f>
        <v>5906</v>
      </c>
      <c r="V54" s="5"/>
      <c r="W54" s="5"/>
      <c r="X54" s="5"/>
      <c r="Y54" s="5"/>
    </row>
    <row r="55" spans="2:31" s="3" customFormat="1" x14ac:dyDescent="0.2">
      <c r="B55" s="3" t="s">
        <v>30</v>
      </c>
      <c r="C55" s="5"/>
      <c r="D55" s="5"/>
      <c r="E55" s="5"/>
      <c r="F55" s="5"/>
      <c r="G55" s="5">
        <f>81+81+540</f>
        <v>702</v>
      </c>
      <c r="H55" s="5">
        <f>55+510+80</f>
        <v>645</v>
      </c>
      <c r="I55" s="5">
        <f>70+533+7</f>
        <v>610</v>
      </c>
      <c r="J55" s="5">
        <f>534+54+5</f>
        <v>593</v>
      </c>
      <c r="K55" s="5">
        <f>83+540+4</f>
        <v>627</v>
      </c>
      <c r="L55" s="5">
        <f>62+503+4</f>
        <v>569</v>
      </c>
      <c r="M55" s="5">
        <f>76+510</f>
        <v>586</v>
      </c>
      <c r="N55" s="5"/>
      <c r="O55" s="5"/>
      <c r="P55" s="5"/>
      <c r="Q55" s="5"/>
      <c r="R55" s="5"/>
      <c r="S55" s="5"/>
      <c r="T55" s="5"/>
      <c r="U55" s="5">
        <f>130+585</f>
        <v>715</v>
      </c>
      <c r="V55" s="5"/>
      <c r="W55" s="5"/>
      <c r="X55" s="5"/>
      <c r="Y55" s="5"/>
    </row>
    <row r="56" spans="2:31" s="3" customFormat="1" x14ac:dyDescent="0.2">
      <c r="B56" s="3" t="s">
        <v>37</v>
      </c>
      <c r="C56" s="5"/>
      <c r="D56" s="5"/>
      <c r="E56" s="5"/>
      <c r="F56" s="5"/>
      <c r="G56" s="5">
        <f>94+494</f>
        <v>588</v>
      </c>
      <c r="H56" s="5">
        <f>96+477</f>
        <v>573</v>
      </c>
      <c r="I56" s="5">
        <f>97+466</f>
        <v>563</v>
      </c>
      <c r="J56" s="5">
        <f>97+453</f>
        <v>550</v>
      </c>
      <c r="K56" s="5">
        <f>93+447</f>
        <v>540</v>
      </c>
      <c r="L56" s="5">
        <f>90+442</f>
        <v>532</v>
      </c>
      <c r="M56" s="5">
        <f>88+426</f>
        <v>514</v>
      </c>
      <c r="N56" s="5"/>
      <c r="O56" s="5"/>
      <c r="P56" s="5"/>
      <c r="Q56" s="5"/>
      <c r="R56" s="5"/>
      <c r="S56" s="5"/>
      <c r="T56" s="5"/>
      <c r="U56" s="5">
        <f>70+381</f>
        <v>451</v>
      </c>
      <c r="V56" s="5"/>
      <c r="W56" s="5"/>
      <c r="X56" s="5"/>
      <c r="Y56" s="5"/>
    </row>
    <row r="57" spans="2:31" s="3" customFormat="1" x14ac:dyDescent="0.2">
      <c r="B57" s="3" t="s">
        <v>44</v>
      </c>
      <c r="C57" s="5"/>
      <c r="D57" s="5"/>
      <c r="E57" s="5"/>
      <c r="F57" s="5"/>
      <c r="G57" s="5">
        <v>248</v>
      </c>
      <c r="H57" s="5">
        <v>259</v>
      </c>
      <c r="I57" s="5">
        <v>269</v>
      </c>
      <c r="J57" s="5">
        <v>252</v>
      </c>
      <c r="K57" s="5">
        <v>262</v>
      </c>
      <c r="L57" s="5">
        <v>257</v>
      </c>
      <c r="M57" s="5">
        <f>253</f>
        <v>253</v>
      </c>
      <c r="N57" s="5"/>
      <c r="O57" s="5"/>
      <c r="P57" s="5"/>
      <c r="Q57" s="5"/>
      <c r="R57" s="5"/>
      <c r="S57" s="5"/>
      <c r="T57" s="5"/>
      <c r="U57" s="5">
        <v>420</v>
      </c>
      <c r="V57" s="5"/>
      <c r="W57" s="5"/>
      <c r="X57" s="5"/>
      <c r="Y57" s="5"/>
    </row>
    <row r="58" spans="2:31" s="3" customFormat="1" x14ac:dyDescent="0.2">
      <c r="B58" s="3" t="s">
        <v>45</v>
      </c>
      <c r="C58" s="5"/>
      <c r="D58" s="5"/>
      <c r="E58" s="5"/>
      <c r="F58" s="5"/>
      <c r="G58" s="5">
        <v>7617</v>
      </c>
      <c r="H58" s="5">
        <v>7877</v>
      </c>
      <c r="I58" s="5">
        <v>8209</v>
      </c>
      <c r="J58" s="5">
        <v>8428</v>
      </c>
      <c r="K58" s="5">
        <v>8750</v>
      </c>
      <c r="L58" s="5">
        <v>9102</v>
      </c>
      <c r="M58" s="5">
        <v>9548</v>
      </c>
      <c r="N58" s="5"/>
      <c r="O58" s="5"/>
      <c r="P58" s="5"/>
      <c r="Q58" s="5"/>
      <c r="R58" s="5"/>
      <c r="S58" s="5"/>
      <c r="T58" s="5"/>
      <c r="U58" s="5">
        <v>13026</v>
      </c>
      <c r="V58" s="5"/>
      <c r="W58" s="5"/>
      <c r="X58" s="5"/>
      <c r="Y58" s="5"/>
    </row>
    <row r="59" spans="2:31" s="3" customFormat="1" x14ac:dyDescent="0.2">
      <c r="B59" s="3" t="s">
        <v>46</v>
      </c>
      <c r="C59" s="5"/>
      <c r="D59" s="5"/>
      <c r="E59" s="5"/>
      <c r="F59" s="5"/>
      <c r="G59" s="5">
        <v>20521</v>
      </c>
      <c r="H59" s="5">
        <v>21538</v>
      </c>
      <c r="I59" s="5">
        <v>22750</v>
      </c>
      <c r="J59" s="5">
        <v>23905</v>
      </c>
      <c r="K59" s="5">
        <v>24961</v>
      </c>
      <c r="L59" s="5">
        <v>26022</v>
      </c>
      <c r="M59" s="5">
        <v>27158</v>
      </c>
      <c r="N59" s="5"/>
      <c r="O59" s="5"/>
      <c r="P59" s="5"/>
      <c r="Q59" s="5"/>
      <c r="R59" s="5"/>
      <c r="S59" s="5"/>
      <c r="T59" s="5"/>
      <c r="U59" s="5">
        <v>36911</v>
      </c>
      <c r="V59" s="5"/>
      <c r="W59" s="5"/>
      <c r="X59" s="5"/>
      <c r="Y59" s="5"/>
    </row>
    <row r="60" spans="2:31" s="3" customFormat="1" x14ac:dyDescent="0.2">
      <c r="B60" s="3" t="s">
        <v>47</v>
      </c>
      <c r="C60" s="5"/>
      <c r="D60" s="5"/>
      <c r="E60" s="5"/>
      <c r="F60" s="5"/>
      <c r="G60" s="5">
        <v>-141</v>
      </c>
      <c r="H60" s="5">
        <v>-121</v>
      </c>
      <c r="I60" s="5">
        <v>-131</v>
      </c>
      <c r="J60" s="5">
        <v>-137</v>
      </c>
      <c r="K60" s="5">
        <v>-177</v>
      </c>
      <c r="L60" s="5">
        <v>-195</v>
      </c>
      <c r="M60" s="5">
        <v>-224</v>
      </c>
      <c r="N60" s="5"/>
      <c r="O60" s="5"/>
      <c r="P60" s="5"/>
      <c r="Q60" s="5"/>
      <c r="R60" s="5"/>
      <c r="S60" s="5"/>
      <c r="T60" s="5"/>
      <c r="U60" s="5">
        <v>-309</v>
      </c>
      <c r="V60" s="5"/>
      <c r="W60" s="5"/>
      <c r="X60" s="5"/>
      <c r="Y60" s="5"/>
    </row>
    <row r="61" spans="2:31" s="3" customFormat="1" x14ac:dyDescent="0.2">
      <c r="B61" s="3" t="s">
        <v>48</v>
      </c>
      <c r="C61" s="5"/>
      <c r="D61" s="5"/>
      <c r="E61" s="5"/>
      <c r="F61" s="5"/>
      <c r="G61" s="5">
        <v>-14451</v>
      </c>
      <c r="H61" s="5">
        <v>-15442</v>
      </c>
      <c r="I61" s="5">
        <v>-16414</v>
      </c>
      <c r="J61" s="5">
        <v>-17399</v>
      </c>
      <c r="K61" s="5">
        <v>-19759</v>
      </c>
      <c r="L61" s="5">
        <v>-20944</v>
      </c>
      <c r="M61" s="5">
        <v>-22109</v>
      </c>
      <c r="N61" s="5"/>
      <c r="O61" s="5"/>
      <c r="P61" s="5"/>
      <c r="Q61" s="5"/>
      <c r="R61" s="5"/>
      <c r="S61" s="5"/>
      <c r="T61" s="5"/>
      <c r="U61" s="5">
        <v>-35083</v>
      </c>
      <c r="V61" s="5"/>
      <c r="W61" s="5"/>
      <c r="X61" s="5"/>
      <c r="Y61" s="5"/>
    </row>
    <row r="62" spans="2:31" s="3" customFormat="1" x14ac:dyDescent="0.2">
      <c r="B62" s="3" t="s">
        <v>49</v>
      </c>
      <c r="C62" s="5"/>
      <c r="D62" s="5"/>
      <c r="E62" s="5"/>
      <c r="F62" s="5"/>
      <c r="G62" s="5">
        <f t="shared" ref="G62" si="81">SUM(G51:G61)</f>
        <v>24985</v>
      </c>
      <c r="H62" s="5">
        <f t="shared" ref="H62" si="82">SUM(H51:H61)</f>
        <v>25582</v>
      </c>
      <c r="I62" s="5">
        <f t="shared" ref="I62" si="83">SUM(I51:I61)</f>
        <v>26144</v>
      </c>
      <c r="J62" s="5">
        <f t="shared" ref="J62" si="84">SUM(J51:J61)</f>
        <v>27241</v>
      </c>
      <c r="K62" s="5">
        <f>SUM(K51:K61)</f>
        <v>25976</v>
      </c>
      <c r="L62" s="5">
        <f t="shared" ref="L62:M62" si="85">SUM(L51:L61)</f>
        <v>26326</v>
      </c>
      <c r="M62" s="5">
        <f t="shared" si="85"/>
        <v>26741</v>
      </c>
      <c r="N62" s="5"/>
      <c r="O62" s="5"/>
      <c r="P62" s="5"/>
      <c r="Q62" s="5"/>
      <c r="R62" s="5"/>
      <c r="S62" s="5"/>
      <c r="T62" s="5"/>
      <c r="U62" s="5">
        <f t="shared" ref="U62" si="86">SUM(U51:U61)</f>
        <v>29830</v>
      </c>
      <c r="V62" s="5"/>
      <c r="W62" s="5"/>
      <c r="X62" s="5"/>
      <c r="Y62" s="5"/>
    </row>
    <row r="63" spans="2:31" s="3" customFormat="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31" s="3" customFormat="1" x14ac:dyDescent="0.2">
      <c r="B64" s="3" t="s">
        <v>52</v>
      </c>
      <c r="C64" s="5"/>
      <c r="D64" s="5"/>
      <c r="E64" s="5"/>
      <c r="F64" s="5"/>
      <c r="G64" s="5">
        <f t="shared" ref="G64:U64" si="87">G30</f>
        <v>1297</v>
      </c>
      <c r="H64" s="5">
        <f t="shared" si="87"/>
        <v>1152</v>
      </c>
      <c r="I64" s="5">
        <f t="shared" si="87"/>
        <v>1255</v>
      </c>
      <c r="J64" s="5">
        <f t="shared" si="87"/>
        <v>1278</v>
      </c>
      <c r="K64" s="5">
        <f t="shared" si="87"/>
        <v>1317</v>
      </c>
      <c r="L64" s="5">
        <f t="shared" si="87"/>
        <v>1228</v>
      </c>
      <c r="M64" s="5">
        <f t="shared" si="87"/>
        <v>1179</v>
      </c>
      <c r="N64" s="5"/>
      <c r="O64" s="5">
        <f t="shared" si="87"/>
        <v>1289</v>
      </c>
      <c r="P64" s="5">
        <f t="shared" si="87"/>
        <v>1337</v>
      </c>
      <c r="Q64" s="5">
        <f t="shared" si="87"/>
        <v>1445</v>
      </c>
      <c r="R64" s="5">
        <f t="shared" si="87"/>
        <v>1525</v>
      </c>
      <c r="S64" s="5">
        <f t="shared" si="87"/>
        <v>1662</v>
      </c>
      <c r="T64" s="5">
        <f t="shared" si="87"/>
        <v>1615</v>
      </c>
      <c r="U64" s="5">
        <f t="shared" si="87"/>
        <v>1727</v>
      </c>
      <c r="V64" s="5"/>
      <c r="W64" s="5"/>
      <c r="X64" s="5"/>
      <c r="Y64" s="5"/>
      <c r="AB64" s="5">
        <f t="shared" ref="AB64:AE64" si="88">AB30</f>
        <v>3032</v>
      </c>
      <c r="AC64" s="5">
        <f t="shared" si="88"/>
        <v>5367</v>
      </c>
      <c r="AD64" s="5">
        <f t="shared" si="88"/>
        <v>4982</v>
      </c>
      <c r="AE64" s="5">
        <f t="shared" si="88"/>
        <v>1576</v>
      </c>
    </row>
    <row r="65" spans="2:31" s="3" customFormat="1" x14ac:dyDescent="0.2">
      <c r="B65" s="3" t="s">
        <v>53</v>
      </c>
      <c r="C65" s="5"/>
      <c r="D65" s="5"/>
      <c r="E65" s="5"/>
      <c r="F65" s="5"/>
      <c r="G65" s="5">
        <v>1261</v>
      </c>
      <c r="H65" s="5">
        <f>2377-G65</f>
        <v>1116</v>
      </c>
      <c r="I65" s="5">
        <f>3589-H65-G65</f>
        <v>1212</v>
      </c>
      <c r="J65" s="5">
        <f>+AD65-I65-H65-G65</f>
        <v>1233</v>
      </c>
      <c r="K65" s="5">
        <v>1266</v>
      </c>
      <c r="L65" s="5">
        <f>2444-K65</f>
        <v>1178</v>
      </c>
      <c r="M65" s="5">
        <v>1136</v>
      </c>
      <c r="N65" s="5"/>
      <c r="O65" s="5"/>
      <c r="P65" s="5"/>
      <c r="Q65" s="5"/>
      <c r="R65" s="5"/>
      <c r="S65" s="5"/>
      <c r="T65" s="5"/>
      <c r="U65" s="5">
        <v>1684</v>
      </c>
      <c r="V65" s="5"/>
      <c r="W65" s="5"/>
      <c r="X65" s="5"/>
      <c r="Y65" s="5"/>
      <c r="AB65" s="3">
        <v>2951</v>
      </c>
      <c r="AC65" s="3">
        <v>5260</v>
      </c>
      <c r="AD65" s="3">
        <v>4822</v>
      </c>
    </row>
    <row r="66" spans="2:31" s="3" customFormat="1" x14ac:dyDescent="0.2">
      <c r="B66" s="3" t="s">
        <v>54</v>
      </c>
      <c r="C66" s="5"/>
      <c r="D66" s="5"/>
      <c r="E66" s="5"/>
      <c r="F66" s="5"/>
      <c r="G66" s="5">
        <v>196</v>
      </c>
      <c r="H66" s="5">
        <f>390-G66</f>
        <v>194</v>
      </c>
      <c r="I66" s="5">
        <f>583-H66-G66</f>
        <v>193</v>
      </c>
      <c r="J66" s="5">
        <f t="shared" ref="J66:J73" si="89">+AD66-I66-H66-G66</f>
        <v>205</v>
      </c>
      <c r="K66" s="5">
        <v>213</v>
      </c>
      <c r="L66" s="5">
        <f>425-K66</f>
        <v>212</v>
      </c>
      <c r="M66" s="5">
        <v>216</v>
      </c>
      <c r="N66" s="5"/>
      <c r="O66" s="5"/>
      <c r="P66" s="5"/>
      <c r="Q66" s="5"/>
      <c r="R66" s="5"/>
      <c r="S66" s="5"/>
      <c r="T66" s="5"/>
      <c r="U66" s="5">
        <v>213</v>
      </c>
      <c r="V66" s="5"/>
      <c r="W66" s="5"/>
      <c r="X66" s="5"/>
      <c r="Y66" s="5"/>
      <c r="AB66" s="3">
        <v>757</v>
      </c>
      <c r="AC66" s="3">
        <v>757</v>
      </c>
      <c r="AD66" s="3">
        <v>788</v>
      </c>
    </row>
    <row r="67" spans="2:31" s="3" customFormat="1" x14ac:dyDescent="0.2">
      <c r="B67" s="3" t="s">
        <v>55</v>
      </c>
      <c r="C67" s="5"/>
      <c r="D67" s="5"/>
      <c r="E67" s="5"/>
      <c r="F67" s="5"/>
      <c r="G67" s="5">
        <v>260</v>
      </c>
      <c r="H67" s="5">
        <f>520-G67</f>
        <v>260</v>
      </c>
      <c r="I67" s="5">
        <f>800-H67-G67</f>
        <v>280</v>
      </c>
      <c r="J67" s="5">
        <f t="shared" si="89"/>
        <v>269</v>
      </c>
      <c r="K67" s="5">
        <v>322</v>
      </c>
      <c r="L67" s="5">
        <f>674-K67</f>
        <v>352</v>
      </c>
      <c r="M67" s="5">
        <v>378</v>
      </c>
      <c r="N67" s="5"/>
      <c r="O67" s="5"/>
      <c r="P67" s="5"/>
      <c r="Q67" s="5"/>
      <c r="R67" s="5"/>
      <c r="S67" s="5"/>
      <c r="T67" s="5"/>
      <c r="U67" s="5">
        <v>474</v>
      </c>
      <c r="V67" s="5"/>
      <c r="W67" s="5"/>
      <c r="X67" s="5"/>
      <c r="Y67" s="5"/>
      <c r="AB67" s="3">
        <v>788</v>
      </c>
      <c r="AC67" s="3">
        <v>909</v>
      </c>
      <c r="AD67" s="3">
        <v>1069</v>
      </c>
    </row>
    <row r="68" spans="2:31" s="3" customFormat="1" x14ac:dyDescent="0.2">
      <c r="B68" s="3" t="s">
        <v>37</v>
      </c>
      <c r="C68" s="5"/>
      <c r="D68" s="5"/>
      <c r="E68" s="5"/>
      <c r="F68" s="5"/>
      <c r="G68" s="5">
        <v>19</v>
      </c>
      <c r="H68" s="5">
        <f>33-G68</f>
        <v>14</v>
      </c>
      <c r="I68" s="5">
        <f>53-H68-G68</f>
        <v>20</v>
      </c>
      <c r="J68" s="5">
        <f t="shared" si="89"/>
        <v>20</v>
      </c>
      <c r="K68" s="5">
        <v>0</v>
      </c>
      <c r="L68" s="5">
        <f>42-K68</f>
        <v>42</v>
      </c>
      <c r="M68" s="5">
        <v>0</v>
      </c>
      <c r="N68" s="5"/>
      <c r="O68" s="5"/>
      <c r="P68" s="5"/>
      <c r="Q68" s="5"/>
      <c r="R68" s="5"/>
      <c r="S68" s="5"/>
      <c r="T68" s="5"/>
      <c r="U68" s="5">
        <v>0</v>
      </c>
      <c r="V68" s="5"/>
      <c r="W68" s="5"/>
      <c r="X68" s="5"/>
      <c r="Y68" s="5"/>
      <c r="AB68" s="3">
        <v>0</v>
      </c>
      <c r="AC68" s="3">
        <v>87</v>
      </c>
      <c r="AD68" s="3">
        <v>73</v>
      </c>
    </row>
    <row r="69" spans="2:31" s="3" customFormat="1" x14ac:dyDescent="0.2">
      <c r="B69" s="3" t="s">
        <v>39</v>
      </c>
      <c r="C69" s="5"/>
      <c r="D69" s="5"/>
      <c r="E69" s="5"/>
      <c r="F69" s="5"/>
      <c r="G69" s="5">
        <v>117</v>
      </c>
      <c r="H69" s="5">
        <f>210-G69</f>
        <v>93</v>
      </c>
      <c r="I69" s="5">
        <f>120-H69-G69</f>
        <v>-90</v>
      </c>
      <c r="J69" s="5">
        <f t="shared" si="89"/>
        <v>63</v>
      </c>
      <c r="K69" s="5">
        <v>0</v>
      </c>
      <c r="L69" s="5">
        <f>197-K69</f>
        <v>197</v>
      </c>
      <c r="M69" s="5">
        <v>0</v>
      </c>
      <c r="N69" s="5"/>
      <c r="O69" s="5"/>
      <c r="P69" s="5"/>
      <c r="Q69" s="5"/>
      <c r="R69" s="5"/>
      <c r="S69" s="5"/>
      <c r="T69" s="5"/>
      <c r="U69" s="5">
        <v>0</v>
      </c>
      <c r="V69" s="5"/>
      <c r="W69" s="5"/>
      <c r="X69" s="5"/>
      <c r="Y69" s="5"/>
      <c r="AB69" s="3">
        <v>3</v>
      </c>
      <c r="AC69" s="3">
        <v>-1501</v>
      </c>
      <c r="AD69" s="3">
        <v>183</v>
      </c>
    </row>
    <row r="70" spans="2:31" s="3" customFormat="1" x14ac:dyDescent="0.2">
      <c r="B70" s="3" t="s">
        <v>56</v>
      </c>
      <c r="C70" s="5"/>
      <c r="D70" s="5"/>
      <c r="E70" s="5"/>
      <c r="F70" s="5"/>
      <c r="G70" s="5">
        <v>0</v>
      </c>
      <c r="H70" s="5">
        <f>-7-G70</f>
        <v>-7</v>
      </c>
      <c r="I70" s="5">
        <f>-11-H70-G70</f>
        <v>-4</v>
      </c>
      <c r="J70" s="5">
        <f t="shared" si="89"/>
        <v>7</v>
      </c>
      <c r="K70" s="5">
        <v>17</v>
      </c>
      <c r="L70" s="5">
        <f>27-K70</f>
        <v>10</v>
      </c>
      <c r="M70" s="5">
        <v>6</v>
      </c>
      <c r="N70" s="5"/>
      <c r="O70" s="5"/>
      <c r="P70" s="5"/>
      <c r="Q70" s="5"/>
      <c r="R70" s="5"/>
      <c r="S70" s="5"/>
      <c r="T70" s="5"/>
      <c r="U70" s="5">
        <v>-10</v>
      </c>
      <c r="V70" s="5"/>
      <c r="W70" s="5"/>
      <c r="X70" s="5"/>
      <c r="Y70" s="5"/>
      <c r="AB70" s="3">
        <v>-48</v>
      </c>
      <c r="AC70" s="3">
        <v>-11</v>
      </c>
      <c r="AD70" s="3">
        <v>-4</v>
      </c>
    </row>
    <row r="71" spans="2:31" s="3" customFormat="1" x14ac:dyDescent="0.2">
      <c r="B71" s="3" t="s">
        <v>57</v>
      </c>
      <c r="C71" s="5"/>
      <c r="D71" s="5"/>
      <c r="E71" s="5"/>
      <c r="F71" s="5"/>
      <c r="G71" s="5">
        <v>2</v>
      </c>
      <c r="H71" s="5">
        <f>5-G71</f>
        <v>3</v>
      </c>
      <c r="I71" s="5">
        <f>3-H71-G71</f>
        <v>-2</v>
      </c>
      <c r="J71" s="5">
        <f t="shared" si="89"/>
        <v>4</v>
      </c>
      <c r="K71" s="5">
        <v>153</v>
      </c>
      <c r="L71" s="5">
        <f>2-K71</f>
        <v>-151</v>
      </c>
      <c r="M71" s="5">
        <f>112-L71-K71</f>
        <v>110</v>
      </c>
      <c r="N71" s="5"/>
      <c r="O71" s="5"/>
      <c r="P71" s="5"/>
      <c r="Q71" s="5"/>
      <c r="R71" s="5"/>
      <c r="S71" s="5"/>
      <c r="T71" s="5"/>
      <c r="U71" s="5">
        <v>-81</v>
      </c>
      <c r="V71" s="5"/>
      <c r="W71" s="5"/>
      <c r="X71" s="5"/>
      <c r="Y71" s="5"/>
      <c r="AB71" s="3">
        <v>14</v>
      </c>
      <c r="AC71" s="3">
        <v>40</v>
      </c>
      <c r="AD71" s="3">
        <v>7</v>
      </c>
    </row>
    <row r="72" spans="2:31" s="3" customFormat="1" x14ac:dyDescent="0.2">
      <c r="B72" s="3" t="s">
        <v>43</v>
      </c>
      <c r="C72" s="5"/>
      <c r="D72" s="5"/>
      <c r="E72" s="5"/>
      <c r="F72" s="5"/>
      <c r="G72" s="5">
        <v>471</v>
      </c>
      <c r="H72" s="5">
        <f>469-G72</f>
        <v>-2</v>
      </c>
      <c r="I72" s="5">
        <f>571-H72-G72</f>
        <v>102</v>
      </c>
      <c r="J72" s="5">
        <f t="shared" si="89"/>
        <v>482</v>
      </c>
      <c r="K72" s="5">
        <v>141</v>
      </c>
      <c r="L72" s="5">
        <f>0-K72</f>
        <v>-141</v>
      </c>
      <c r="M72" s="5">
        <f>67-L72-K72</f>
        <v>67</v>
      </c>
      <c r="N72" s="5"/>
      <c r="O72" s="5"/>
      <c r="P72" s="5"/>
      <c r="Q72" s="5"/>
      <c r="R72" s="5"/>
      <c r="S72" s="5"/>
      <c r="T72" s="5"/>
      <c r="U72" s="5">
        <v>220</v>
      </c>
      <c r="V72" s="5"/>
      <c r="W72" s="5"/>
      <c r="X72" s="5"/>
      <c r="Y72" s="5"/>
      <c r="AB72" s="3">
        <v>497</v>
      </c>
      <c r="AC72" s="3">
        <v>258</v>
      </c>
      <c r="AD72" s="3">
        <v>1053</v>
      </c>
    </row>
    <row r="73" spans="2:31" s="3" customFormat="1" x14ac:dyDescent="0.2">
      <c r="B73" s="3" t="s">
        <v>58</v>
      </c>
      <c r="C73" s="5"/>
      <c r="D73" s="5"/>
      <c r="E73" s="5"/>
      <c r="F73" s="5"/>
      <c r="G73" s="5">
        <f>-82-242-59-200+29</f>
        <v>-554</v>
      </c>
      <c r="H73" s="5">
        <f>-39-258-1+87-26-G73</f>
        <v>317</v>
      </c>
      <c r="I73" s="5">
        <f>-105-423+18-47+13-H73-G73</f>
        <v>-307</v>
      </c>
      <c r="J73" s="5">
        <f t="shared" si="89"/>
        <v>-217</v>
      </c>
      <c r="K73" s="5">
        <v>-343</v>
      </c>
      <c r="L73" s="5">
        <f>287-140+60-187-20-2-K73</f>
        <v>341</v>
      </c>
      <c r="M73" s="5">
        <f>-211-L73-K73</f>
        <v>-209</v>
      </c>
      <c r="N73" s="5"/>
      <c r="O73" s="5"/>
      <c r="P73" s="5"/>
      <c r="Q73" s="5"/>
      <c r="R73" s="5"/>
      <c r="S73" s="5"/>
      <c r="T73" s="5"/>
      <c r="U73" s="5">
        <v>-479</v>
      </c>
      <c r="V73" s="5"/>
      <c r="W73" s="5"/>
      <c r="X73" s="5"/>
      <c r="Y73" s="5"/>
      <c r="AB73" s="3">
        <f>-188-551+23+172+4</f>
        <v>-540</v>
      </c>
      <c r="AC73" s="3">
        <f>106-288+96+86-72</f>
        <v>-72</v>
      </c>
      <c r="AD73" s="3">
        <f>-430-475-20+162+2</f>
        <v>-761</v>
      </c>
    </row>
    <row r="74" spans="2:31" s="3" customFormat="1" x14ac:dyDescent="0.2">
      <c r="B74" s="3" t="s">
        <v>59</v>
      </c>
      <c r="C74" s="5"/>
      <c r="D74" s="5"/>
      <c r="E74" s="5"/>
      <c r="F74" s="5"/>
      <c r="G74" s="5">
        <f t="shared" ref="G74:M74" si="90">SUM(G65:G73)</f>
        <v>1772</v>
      </c>
      <c r="H74" s="5">
        <f t="shared" si="90"/>
        <v>1988</v>
      </c>
      <c r="I74" s="5">
        <f t="shared" si="90"/>
        <v>1404</v>
      </c>
      <c r="J74" s="5">
        <f t="shared" si="90"/>
        <v>2066</v>
      </c>
      <c r="K74" s="5">
        <f t="shared" si="90"/>
        <v>1769</v>
      </c>
      <c r="L74" s="5">
        <f t="shared" si="90"/>
        <v>2040</v>
      </c>
      <c r="M74" s="5">
        <f t="shared" si="90"/>
        <v>1704</v>
      </c>
      <c r="N74" s="5"/>
      <c r="O74" s="5">
        <f t="shared" ref="O74" si="91">SUM(O65:O73)</f>
        <v>0</v>
      </c>
      <c r="P74" s="5">
        <f t="shared" ref="P74" si="92">SUM(P65:P73)</f>
        <v>0</v>
      </c>
      <c r="Q74" s="5">
        <f t="shared" ref="Q74" si="93">SUM(Q65:Q73)</f>
        <v>0</v>
      </c>
      <c r="R74" s="5">
        <f t="shared" ref="R74" si="94">SUM(R65:R73)</f>
        <v>0</v>
      </c>
      <c r="S74" s="5">
        <f t="shared" ref="S74" si="95">SUM(S65:S73)</f>
        <v>0</v>
      </c>
      <c r="T74" s="5">
        <f t="shared" ref="T74" si="96">SUM(T65:T73)</f>
        <v>0</v>
      </c>
      <c r="U74" s="5">
        <f t="shared" ref="U74" si="97">SUM(U65:U73)</f>
        <v>2021</v>
      </c>
      <c r="V74" s="5"/>
      <c r="W74" s="5"/>
      <c r="X74" s="5"/>
      <c r="Y74" s="5"/>
      <c r="AB74" s="3">
        <f>SUM(AB65:AB73)</f>
        <v>4422</v>
      </c>
      <c r="AC74" s="3">
        <f t="shared" ref="AC74:AE74" si="98">SUM(AC65:AC73)</f>
        <v>5727</v>
      </c>
      <c r="AD74" s="3">
        <f t="shared" si="98"/>
        <v>7230</v>
      </c>
      <c r="AE74" s="3">
        <f t="shared" si="98"/>
        <v>0</v>
      </c>
    </row>
    <row r="75" spans="2:31" s="3" customFormat="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31" s="3" customFormat="1" x14ac:dyDescent="0.2">
      <c r="B76" s="3" t="s">
        <v>60</v>
      </c>
      <c r="C76" s="5"/>
      <c r="D76" s="5"/>
      <c r="E76" s="5"/>
      <c r="F76" s="5"/>
      <c r="G76" s="5">
        <f>-289+246+39-25</f>
        <v>-29</v>
      </c>
      <c r="H76" s="5">
        <f>-639+521+104-27-G76</f>
        <v>-12</v>
      </c>
      <c r="I76" s="5">
        <f>-881+701+138-H76-G76-37</f>
        <v>-38</v>
      </c>
      <c r="J76" s="5">
        <f t="shared" ref="J76:J78" si="99">+AD76-I76-H76-G76</f>
        <v>-428</v>
      </c>
      <c r="K76" s="5">
        <f>-288+208+54</f>
        <v>-26</v>
      </c>
      <c r="L76" s="5">
        <f>-524+349+159-K76-30</f>
        <v>-20</v>
      </c>
      <c r="M76" s="5">
        <v>31</v>
      </c>
      <c r="N76" s="5"/>
      <c r="O76" s="5"/>
      <c r="P76" s="5"/>
      <c r="Q76" s="5"/>
      <c r="R76" s="5"/>
      <c r="S76" s="5"/>
      <c r="T76" s="5"/>
      <c r="U76" s="5">
        <f>86-76</f>
        <v>10</v>
      </c>
      <c r="V76" s="5"/>
      <c r="W76" s="5"/>
      <c r="X76" s="5"/>
      <c r="Y76" s="5"/>
      <c r="AB76" s="3">
        <f>-700+700+86-49+3</f>
        <v>40</v>
      </c>
      <c r="AC76" s="3">
        <f>-1071+915+167+9-15</f>
        <v>5</v>
      </c>
      <c r="AD76" s="3">
        <f>-1533+877+191-42</f>
        <v>-507</v>
      </c>
    </row>
    <row r="77" spans="2:31" s="3" customFormat="1" x14ac:dyDescent="0.2">
      <c r="B77" s="3" t="s">
        <v>61</v>
      </c>
      <c r="C77" s="5"/>
      <c r="D77" s="5"/>
      <c r="E77" s="5"/>
      <c r="F77" s="5"/>
      <c r="G77" s="5">
        <v>-1470</v>
      </c>
      <c r="H77" s="5">
        <f>-1470-G77</f>
        <v>0</v>
      </c>
      <c r="I77" s="5">
        <f>-1470-H77-G77</f>
        <v>0</v>
      </c>
      <c r="J77" s="5">
        <f t="shared" si="99"/>
        <v>-1212</v>
      </c>
      <c r="K77" s="5">
        <f>-106-28</f>
        <v>-134</v>
      </c>
      <c r="L77" s="5">
        <f>-126-K77</f>
        <v>8</v>
      </c>
      <c r="M77" s="5">
        <v>-9</v>
      </c>
      <c r="N77" s="5"/>
      <c r="O77" s="5"/>
      <c r="P77" s="5"/>
      <c r="Q77" s="5"/>
      <c r="R77" s="5"/>
      <c r="S77" s="5"/>
      <c r="T77" s="5"/>
      <c r="U77" s="5">
        <v>0</v>
      </c>
      <c r="V77" s="5"/>
      <c r="W77" s="5"/>
      <c r="X77" s="5"/>
      <c r="Y77" s="5"/>
      <c r="AB77" s="3">
        <v>-101</v>
      </c>
      <c r="AC77" s="3">
        <v>0</v>
      </c>
      <c r="AD77" s="3">
        <v>-2682</v>
      </c>
    </row>
    <row r="78" spans="2:31" s="3" customFormat="1" x14ac:dyDescent="0.2">
      <c r="B78" s="3" t="s">
        <v>62</v>
      </c>
      <c r="C78" s="5"/>
      <c r="D78" s="5"/>
      <c r="E78" s="5"/>
      <c r="F78" s="5"/>
      <c r="G78" s="5">
        <v>-59</v>
      </c>
      <c r="H78" s="5">
        <f>-154-G78</f>
        <v>-95</v>
      </c>
      <c r="I78" s="5">
        <f>-249-H78-G78</f>
        <v>-95</v>
      </c>
      <c r="J78" s="5">
        <f t="shared" si="99"/>
        <v>-99</v>
      </c>
      <c r="K78" s="5">
        <v>-100</v>
      </c>
      <c r="L78" s="5">
        <f>-226-K78</f>
        <v>-126</v>
      </c>
      <c r="M78" s="5">
        <v>-125</v>
      </c>
      <c r="N78" s="5"/>
      <c r="O78" s="5"/>
      <c r="P78" s="5"/>
      <c r="Q78" s="5"/>
      <c r="R78" s="5"/>
      <c r="S78" s="5"/>
      <c r="T78" s="5"/>
      <c r="U78" s="5">
        <v>-57</v>
      </c>
      <c r="V78" s="5"/>
      <c r="W78" s="5"/>
      <c r="X78" s="5"/>
      <c r="Y78" s="5"/>
      <c r="AB78" s="3">
        <v>-395</v>
      </c>
      <c r="AC78" s="3">
        <v>-419</v>
      </c>
      <c r="AD78" s="3">
        <v>-348</v>
      </c>
    </row>
    <row r="79" spans="2:31" s="3" customFormat="1" x14ac:dyDescent="0.2">
      <c r="B79" s="3" t="s">
        <v>63</v>
      </c>
      <c r="C79" s="5"/>
      <c r="D79" s="5"/>
      <c r="E79" s="5"/>
      <c r="F79" s="5"/>
      <c r="G79" s="5">
        <f>SUM(G76:G78)</f>
        <v>-1558</v>
      </c>
      <c r="H79" s="5">
        <f t="shared" ref="H79:J79" si="100">SUM(H76:H78)</f>
        <v>-107</v>
      </c>
      <c r="I79" s="5">
        <f t="shared" si="100"/>
        <v>-133</v>
      </c>
      <c r="J79" s="5">
        <f t="shared" si="100"/>
        <v>-1739</v>
      </c>
      <c r="K79" s="5">
        <f>SUM(K76:K78)</f>
        <v>-260</v>
      </c>
      <c r="L79" s="5">
        <f>SUM(L76:L78)</f>
        <v>-138</v>
      </c>
      <c r="M79" s="5">
        <f>SUM(M76:M78)</f>
        <v>-103</v>
      </c>
      <c r="N79" s="5"/>
      <c r="O79" s="5"/>
      <c r="P79" s="5"/>
      <c r="Q79" s="5"/>
      <c r="R79" s="5"/>
      <c r="S79" s="5"/>
      <c r="T79" s="5"/>
      <c r="U79" s="5">
        <f>SUM(U76:U78)</f>
        <v>-47</v>
      </c>
      <c r="V79" s="5"/>
      <c r="W79" s="5"/>
      <c r="X79" s="5"/>
      <c r="Y79" s="5"/>
      <c r="AB79" s="3">
        <f>SUM(AB76:AB78)</f>
        <v>-456</v>
      </c>
      <c r="AC79" s="3">
        <f>SUM(AC76:AC78)</f>
        <v>-414</v>
      </c>
      <c r="AD79" s="3">
        <f t="shared" ref="AD79" si="101">SUM(AD76:AD78)</f>
        <v>-3537</v>
      </c>
    </row>
    <row r="80" spans="2:31" s="3" customFormat="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30" s="3" customFormat="1" x14ac:dyDescent="0.2">
      <c r="B81" s="3" t="s">
        <v>64</v>
      </c>
      <c r="C81" s="5"/>
      <c r="D81" s="5"/>
      <c r="E81" s="5"/>
      <c r="F81" s="5"/>
      <c r="G81" s="5">
        <f>-950+87</f>
        <v>-863</v>
      </c>
      <c r="H81" s="5">
        <f>-1950+87-G81</f>
        <v>-1000</v>
      </c>
      <c r="I81" s="5">
        <f>-2950+290-H81-G81</f>
        <v>-797</v>
      </c>
      <c r="J81" s="5">
        <f t="shared" ref="J81:J85" si="102">+AD81-I81-H81-G81</f>
        <v>-999</v>
      </c>
      <c r="K81" s="5">
        <f>-2400+91</f>
        <v>-2309</v>
      </c>
      <c r="L81" s="5">
        <f>-3600-K81+91</f>
        <v>-1200</v>
      </c>
      <c r="M81" s="5">
        <v>-1200</v>
      </c>
      <c r="N81" s="5"/>
      <c r="O81" s="5"/>
      <c r="P81" s="5"/>
      <c r="Q81" s="5"/>
      <c r="R81" s="5"/>
      <c r="S81" s="5"/>
      <c r="T81" s="5"/>
      <c r="U81" s="5">
        <v>-2500</v>
      </c>
      <c r="V81" s="5"/>
      <c r="W81" s="5"/>
      <c r="X81" s="5"/>
      <c r="Y81" s="5"/>
      <c r="AB81" s="3">
        <f>-2750+233</f>
        <v>-2517</v>
      </c>
      <c r="AC81" s="3">
        <f>-3050+270</f>
        <v>-2780</v>
      </c>
      <c r="AD81" s="3">
        <f>-3950+291</f>
        <v>-3659</v>
      </c>
    </row>
    <row r="82" spans="2:30" s="3" customFormat="1" x14ac:dyDescent="0.2">
      <c r="B82" s="3" t="s">
        <v>30</v>
      </c>
      <c r="C82" s="5"/>
      <c r="D82" s="5"/>
      <c r="E82" s="5"/>
      <c r="F82" s="5"/>
      <c r="G82" s="5">
        <v>-391</v>
      </c>
      <c r="H82" s="5">
        <f>-480-G82</f>
        <v>-89</v>
      </c>
      <c r="I82" s="5">
        <f>-602-H82-G82</f>
        <v>-122</v>
      </c>
      <c r="J82" s="5">
        <f t="shared" si="102"/>
        <v>-117</v>
      </c>
      <c r="K82" s="5">
        <v>-266</v>
      </c>
      <c r="L82" s="5">
        <f>-367-K82</f>
        <v>-101</v>
      </c>
      <c r="M82" s="5">
        <v>103</v>
      </c>
      <c r="N82" s="5"/>
      <c r="O82" s="5"/>
      <c r="P82" s="5"/>
      <c r="Q82" s="5"/>
      <c r="R82" s="5"/>
      <c r="S82" s="5"/>
      <c r="T82" s="5"/>
      <c r="U82" s="5">
        <v>96</v>
      </c>
      <c r="V82" s="5"/>
      <c r="W82" s="5"/>
      <c r="X82" s="5"/>
      <c r="Y82" s="5"/>
      <c r="AB82" s="3">
        <v>-440</v>
      </c>
      <c r="AC82" s="3">
        <v>-681</v>
      </c>
      <c r="AD82" s="3">
        <v>-719</v>
      </c>
    </row>
    <row r="83" spans="2:30" s="3" customFormat="1" x14ac:dyDescent="0.2">
      <c r="B83" s="3" t="s">
        <v>57</v>
      </c>
      <c r="C83" s="5"/>
      <c r="D83" s="5"/>
      <c r="E83" s="5"/>
      <c r="F83" s="5"/>
      <c r="G83" s="5">
        <v>10</v>
      </c>
      <c r="H83" s="5">
        <f>19-G83</f>
        <v>9</v>
      </c>
      <c r="I83" s="5">
        <f>39-H83-G83</f>
        <v>20</v>
      </c>
      <c r="J83" s="5">
        <f t="shared" si="102"/>
        <v>38</v>
      </c>
      <c r="K83" s="5">
        <v>-29</v>
      </c>
      <c r="L83" s="5">
        <f>22-K83</f>
        <v>51</v>
      </c>
      <c r="M83" s="5">
        <v>37</v>
      </c>
      <c r="N83" s="5"/>
      <c r="O83" s="5"/>
      <c r="P83" s="5"/>
      <c r="Q83" s="5"/>
      <c r="R83" s="5"/>
      <c r="S83" s="5"/>
      <c r="T83" s="5"/>
      <c r="U83" s="5">
        <v>-49</v>
      </c>
      <c r="V83" s="5"/>
      <c r="W83" s="5"/>
      <c r="X83" s="5"/>
      <c r="Y83" s="5"/>
      <c r="AB83" s="3">
        <v>11</v>
      </c>
      <c r="AC83" s="3">
        <f>-21+3144-3150</f>
        <v>-27</v>
      </c>
      <c r="AD83" s="3">
        <v>77</v>
      </c>
    </row>
    <row r="84" spans="2:30" s="3" customFormat="1" x14ac:dyDescent="0.2">
      <c r="B84" s="3" t="s">
        <v>65</v>
      </c>
      <c r="C84" s="5"/>
      <c r="D84" s="5"/>
      <c r="E84" s="5"/>
      <c r="F84" s="5"/>
      <c r="G84" s="5">
        <f t="shared" ref="G84:M84" si="103">SUM(G81:G83)</f>
        <v>-1244</v>
      </c>
      <c r="H84" s="5">
        <f t="shared" si="103"/>
        <v>-1080</v>
      </c>
      <c r="I84" s="5">
        <f t="shared" si="103"/>
        <v>-899</v>
      </c>
      <c r="J84" s="5">
        <f t="shared" si="103"/>
        <v>-1078</v>
      </c>
      <c r="K84" s="5">
        <f t="shared" si="103"/>
        <v>-2604</v>
      </c>
      <c r="L84" s="5">
        <f t="shared" si="103"/>
        <v>-1250</v>
      </c>
      <c r="M84" s="5">
        <f t="shared" si="103"/>
        <v>-1060</v>
      </c>
      <c r="N84" s="5"/>
      <c r="O84" s="5"/>
      <c r="P84" s="5"/>
      <c r="Q84" s="5"/>
      <c r="R84" s="5"/>
      <c r="S84" s="5"/>
      <c r="T84" s="5"/>
      <c r="U84" s="5">
        <f>SUM(U81:U83)</f>
        <v>-2453</v>
      </c>
      <c r="V84" s="5"/>
      <c r="W84" s="5"/>
      <c r="X84" s="5"/>
      <c r="Y84" s="5"/>
      <c r="AB84" s="3">
        <f t="shared" ref="AB84:AC84" si="104">SUM(AB81:AB83)</f>
        <v>-2946</v>
      </c>
      <c r="AC84" s="3">
        <f t="shared" si="104"/>
        <v>-3488</v>
      </c>
      <c r="AD84" s="3">
        <f>SUM(AD81:AD83)</f>
        <v>-4301</v>
      </c>
    </row>
    <row r="85" spans="2:30" s="3" customFormat="1" x14ac:dyDescent="0.2">
      <c r="B85" s="3" t="s">
        <v>66</v>
      </c>
      <c r="C85" s="5"/>
      <c r="D85" s="5"/>
      <c r="E85" s="5"/>
      <c r="F85" s="5"/>
      <c r="G85" s="5">
        <v>4</v>
      </c>
      <c r="H85" s="5">
        <f>1-G85</f>
        <v>-3</v>
      </c>
      <c r="I85" s="5">
        <f>2-H85-G85</f>
        <v>1</v>
      </c>
      <c r="J85" s="5">
        <f t="shared" si="102"/>
        <v>-28</v>
      </c>
      <c r="K85" s="5">
        <v>-10</v>
      </c>
      <c r="L85" s="5">
        <f>-36-K85</f>
        <v>-26</v>
      </c>
      <c r="M85" s="5">
        <v>-36</v>
      </c>
      <c r="N85" s="5"/>
      <c r="O85" s="5"/>
      <c r="P85" s="5"/>
      <c r="Q85" s="5"/>
      <c r="R85" s="5"/>
      <c r="S85" s="5"/>
      <c r="T85" s="5"/>
      <c r="U85" s="5">
        <v>12</v>
      </c>
      <c r="V85" s="5"/>
      <c r="W85" s="5"/>
      <c r="X85" s="5"/>
      <c r="Y85" s="5"/>
      <c r="AB85" s="3">
        <v>-13</v>
      </c>
      <c r="AC85" s="3">
        <v>3</v>
      </c>
      <c r="AD85" s="3">
        <v>-26</v>
      </c>
    </row>
    <row r="86" spans="2:30" x14ac:dyDescent="0.2">
      <c r="B86" s="3" t="s">
        <v>67</v>
      </c>
      <c r="G86" s="5">
        <f t="shared" ref="G86:M86" si="105">G85+G84+G79+G74</f>
        <v>-1026</v>
      </c>
      <c r="H86" s="5">
        <f t="shared" si="105"/>
        <v>798</v>
      </c>
      <c r="I86" s="5">
        <f t="shared" si="105"/>
        <v>373</v>
      </c>
      <c r="J86" s="5">
        <f t="shared" si="105"/>
        <v>-779</v>
      </c>
      <c r="K86" s="5">
        <f t="shared" si="105"/>
        <v>-1105</v>
      </c>
      <c r="L86" s="5">
        <f t="shared" si="105"/>
        <v>626</v>
      </c>
      <c r="M86" s="5">
        <f t="shared" si="105"/>
        <v>505</v>
      </c>
      <c r="N86" s="5"/>
      <c r="U86" s="5">
        <f>+U85+U84+U79+U74</f>
        <v>-467</v>
      </c>
      <c r="AB86" s="5">
        <f t="shared" ref="AB86:AD86" si="106">AB85+AB84+AB79+AB74</f>
        <v>1007</v>
      </c>
      <c r="AC86" s="5">
        <f t="shared" si="106"/>
        <v>1828</v>
      </c>
      <c r="AD86" s="5">
        <f t="shared" si="106"/>
        <v>-634</v>
      </c>
    </row>
    <row r="88" spans="2:30" x14ac:dyDescent="0.2">
      <c r="B88" s="3" t="s">
        <v>106</v>
      </c>
      <c r="J88" s="5">
        <f>SUM(G74:J74)</f>
        <v>7230</v>
      </c>
      <c r="K88" s="5">
        <f>SUM(H74:K74)</f>
        <v>7227</v>
      </c>
      <c r="L88" s="5">
        <f>SUM(I74:L74)</f>
        <v>7279</v>
      </c>
      <c r="M88" s="5">
        <f>SUM(J74:M74)</f>
        <v>7579</v>
      </c>
      <c r="N88" s="5"/>
      <c r="AB88" s="3">
        <f>+AB74</f>
        <v>4422</v>
      </c>
      <c r="AC88" s="3">
        <f>+AC74</f>
        <v>5727</v>
      </c>
      <c r="AD88" s="3">
        <f>+AD74</f>
        <v>7230</v>
      </c>
    </row>
    <row r="89" spans="2:30" x14ac:dyDescent="0.2">
      <c r="B89" s="3" t="s">
        <v>107</v>
      </c>
      <c r="AC89" s="13">
        <f>+AC88/AB88-1</f>
        <v>0.2951153324287652</v>
      </c>
      <c r="AD89" s="13">
        <f>+AD88/AC88-1</f>
        <v>0.26244106862231531</v>
      </c>
    </row>
    <row r="90" spans="2:30" x14ac:dyDescent="0.2">
      <c r="B90" s="3" t="s">
        <v>108</v>
      </c>
      <c r="J90" s="5">
        <f>+J88+SUM(G78:J78)</f>
        <v>6882</v>
      </c>
      <c r="K90" s="5">
        <f t="shared" ref="K90:M90" si="107">+K88+SUM(H78:K78)</f>
        <v>6838</v>
      </c>
      <c r="L90" s="5">
        <f t="shared" si="107"/>
        <v>6859</v>
      </c>
      <c r="M90" s="5">
        <f t="shared" si="107"/>
        <v>7129</v>
      </c>
      <c r="N90" s="5"/>
      <c r="AB90" s="3">
        <f t="shared" ref="AB90:AC90" si="108">+AB78+AB74</f>
        <v>4027</v>
      </c>
      <c r="AC90" s="3">
        <f t="shared" si="108"/>
        <v>5308</v>
      </c>
      <c r="AD90" s="3">
        <f>+AD78+AD74</f>
        <v>6882</v>
      </c>
    </row>
    <row r="91" spans="2:30" x14ac:dyDescent="0.2">
      <c r="AB91" s="13"/>
      <c r="AC91" s="13">
        <f t="shared" ref="AC91" si="109">+AC90/AB90-1</f>
        <v>0.31810280605910113</v>
      </c>
      <c r="AD91" s="13">
        <f>+AD90/AC90-1</f>
        <v>0.29653353428786744</v>
      </c>
    </row>
  </sheetData>
  <phoneticPr fontId="4" type="noConversion"/>
  <hyperlinks>
    <hyperlink ref="A1" location="Main!A1" display="Main" xr:uid="{4CAEE359-505D-4C54-B805-898B3A68FAE2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2022-06-12T04:44:53Z</dcterms:created>
  <dcterms:modified xsi:type="dcterms:W3CDTF">2025-03-12T20:07:56Z</dcterms:modified>
</cp:coreProperties>
</file>