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BD8E5F3-DFAF-40D5-9AAD-60C4A9535516}" xr6:coauthVersionLast="47" xr6:coauthVersionMax="47" xr10:uidLastSave="{00000000-0000-0000-0000-000000000000}"/>
  <bookViews>
    <workbookView xWindow="-27780" yWindow="4335" windowWidth="27240" windowHeight="15915" activeTab="1" xr2:uid="{C805B1BA-B66D-4BA0-8D01-D55633D0E2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26" i="2" l="1"/>
  <c r="CD27" i="2" s="1"/>
  <c r="BF11" i="2"/>
  <c r="BG35" i="2"/>
  <c r="BG40" i="2" s="1"/>
  <c r="BG34" i="2"/>
  <c r="BF40" i="2"/>
  <c r="BE40" i="2"/>
  <c r="BG29" i="2"/>
  <c r="BG30" i="2"/>
  <c r="BF30" i="2"/>
  <c r="BE30" i="2"/>
  <c r="BG27" i="2"/>
  <c r="BG21" i="2"/>
  <c r="BE15" i="2"/>
  <c r="BG12" i="2"/>
  <c r="BG14" i="2" s="1"/>
  <c r="BG15" i="2" s="1"/>
  <c r="BG10" i="2"/>
  <c r="BG9" i="2"/>
  <c r="BG18" i="2"/>
  <c r="BG19" i="2"/>
  <c r="BG5" i="2"/>
  <c r="BD18" i="2"/>
  <c r="BT16" i="2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BE8" i="2"/>
  <c r="BE7" i="2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BE6" i="2"/>
  <c r="AU19" i="2"/>
  <c r="AT19" i="2"/>
  <c r="AS19" i="2"/>
  <c r="AR19" i="2"/>
  <c r="AU18" i="2"/>
  <c r="AT18" i="2"/>
  <c r="AS18" i="2"/>
  <c r="AR18" i="2"/>
  <c r="AY19" i="2"/>
  <c r="AX19" i="2"/>
  <c r="AW19" i="2"/>
  <c r="AV19" i="2"/>
  <c r="AY18" i="2"/>
  <c r="AX18" i="2"/>
  <c r="AW18" i="2"/>
  <c r="AV18" i="2"/>
  <c r="BE9" i="2" l="1"/>
  <c r="BS6" i="2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BE3" i="2"/>
  <c r="BP2" i="2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L7" i="1"/>
  <c r="L4" i="1"/>
  <c r="BD21" i="2"/>
  <c r="BD35" i="2"/>
  <c r="BD34" i="2"/>
  <c r="BD40" i="2" s="1"/>
  <c r="BD27" i="2"/>
  <c r="BD30" i="2" s="1"/>
  <c r="BC5" i="2"/>
  <c r="BC19" i="2" s="1"/>
  <c r="BB5" i="2"/>
  <c r="BB19" i="2" s="1"/>
  <c r="BA5" i="2"/>
  <c r="BA19" i="2" s="1"/>
  <c r="AZ5" i="2"/>
  <c r="AZ19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C9" i="2"/>
  <c r="BB9" i="2"/>
  <c r="BA9" i="2"/>
  <c r="AZ9" i="2"/>
  <c r="AY9" i="2"/>
  <c r="AY10" i="2" s="1"/>
  <c r="AX9" i="2"/>
  <c r="AX10" i="2" s="1"/>
  <c r="AW9" i="2"/>
  <c r="AW10" i="2" s="1"/>
  <c r="AV9" i="2"/>
  <c r="AV10" i="2" s="1"/>
  <c r="AU9" i="2"/>
  <c r="AU10" i="2" s="1"/>
  <c r="AT9" i="2"/>
  <c r="AT10" i="2" s="1"/>
  <c r="AS9" i="2"/>
  <c r="AS10" i="2" s="1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A9" i="2"/>
  <c r="AA10" i="2" s="1"/>
  <c r="Z9" i="2"/>
  <c r="Z10" i="2" s="1"/>
  <c r="Y9" i="2"/>
  <c r="Y10" i="2" s="1"/>
  <c r="X9" i="2"/>
  <c r="X10" i="2" s="1"/>
  <c r="W9" i="2"/>
  <c r="W10" i="2" s="1"/>
  <c r="V9" i="2"/>
  <c r="V10" i="2" s="1"/>
  <c r="U9" i="2"/>
  <c r="U10" i="2" s="1"/>
  <c r="T9" i="2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D9" i="2"/>
  <c r="BD5" i="2"/>
  <c r="BC18" i="2"/>
  <c r="BB18" i="2"/>
  <c r="BA18" i="2"/>
  <c r="AZ18" i="2"/>
  <c r="BE18" i="2" l="1"/>
  <c r="BE4" i="2"/>
  <c r="BS8" i="2"/>
  <c r="BF9" i="2"/>
  <c r="BD10" i="2"/>
  <c r="BD12" i="2" s="1"/>
  <c r="BD14" i="2" s="1"/>
  <c r="BD15" i="2" s="1"/>
  <c r="BD19" i="2"/>
  <c r="AZ10" i="2"/>
  <c r="AZ12" i="2" s="1"/>
  <c r="AZ14" i="2" s="1"/>
  <c r="AZ15" i="2" s="1"/>
  <c r="BB10" i="2"/>
  <c r="BB12" i="2" s="1"/>
  <c r="BB14" i="2" s="1"/>
  <c r="BA10" i="2"/>
  <c r="BA12" i="2" s="1"/>
  <c r="BA14" i="2" s="1"/>
  <c r="BC10" i="2"/>
  <c r="BC12" i="2" s="1"/>
  <c r="BC14" i="2" s="1"/>
  <c r="BT8" i="2" l="1"/>
  <c r="BS9" i="2"/>
  <c r="BF18" i="2"/>
  <c r="BF5" i="2"/>
  <c r="BF19" i="2" s="1"/>
  <c r="BS4" i="2"/>
  <c r="BE5" i="2"/>
  <c r="BS3" i="2"/>
  <c r="BS5" i="2" l="1"/>
  <c r="BT3" i="2"/>
  <c r="BE19" i="2"/>
  <c r="BE10" i="2"/>
  <c r="BE12" i="2" s="1"/>
  <c r="BE14" i="2" s="1"/>
  <c r="BF10" i="2"/>
  <c r="BF12" i="2" s="1"/>
  <c r="BF14" i="2" s="1"/>
  <c r="BF15" i="2" s="1"/>
  <c r="BU8" i="2"/>
  <c r="BT9" i="2"/>
  <c r="BV8" i="2" l="1"/>
  <c r="BU9" i="2"/>
  <c r="BS21" i="2"/>
  <c r="BT5" i="2"/>
  <c r="BU3" i="2"/>
  <c r="BT18" i="2"/>
  <c r="BT4" i="2"/>
  <c r="BS19" i="2"/>
  <c r="BS10" i="2"/>
  <c r="BS12" i="2" s="1"/>
  <c r="BV3" i="2" l="1"/>
  <c r="BU5" i="2"/>
  <c r="BU18" i="2"/>
  <c r="BT19" i="2"/>
  <c r="BT10" i="2"/>
  <c r="BT11" i="2"/>
  <c r="BW8" i="2"/>
  <c r="BV9" i="2"/>
  <c r="BU19" i="2" l="1"/>
  <c r="BU10" i="2"/>
  <c r="BX8" i="2"/>
  <c r="BW9" i="2"/>
  <c r="BT12" i="2"/>
  <c r="BU4" i="2"/>
  <c r="BW3" i="2"/>
  <c r="BV18" i="2"/>
  <c r="BV5" i="2"/>
  <c r="BV4" i="2" l="1"/>
  <c r="BV19" i="2"/>
  <c r="BV10" i="2"/>
  <c r="BX3" i="2"/>
  <c r="BW18" i="2"/>
  <c r="BW5" i="2"/>
  <c r="BT13" i="2"/>
  <c r="BT14" i="2" s="1"/>
  <c r="BY8" i="2"/>
  <c r="BX9" i="2"/>
  <c r="BW4" i="2" l="1"/>
  <c r="BW19" i="2"/>
  <c r="BW10" i="2"/>
  <c r="BY9" i="2"/>
  <c r="BZ8" i="2"/>
  <c r="BT15" i="2"/>
  <c r="BT21" i="2"/>
  <c r="BY3" i="2"/>
  <c r="BX5" i="2"/>
  <c r="BX18" i="2"/>
  <c r="BX4" i="2" l="1"/>
  <c r="BX19" i="2"/>
  <c r="BX10" i="2"/>
  <c r="BZ3" i="2"/>
  <c r="BY18" i="2"/>
  <c r="BY5" i="2"/>
  <c r="BY4" i="2"/>
  <c r="BU11" i="2"/>
  <c r="BU12" i="2" s="1"/>
  <c r="BU13" i="2" s="1"/>
  <c r="BU14" i="2" s="1"/>
  <c r="BU15" i="2" s="1"/>
  <c r="BZ9" i="2"/>
  <c r="CA8" i="2"/>
  <c r="BU21" i="2" l="1"/>
  <c r="CB8" i="2"/>
  <c r="CA9" i="2"/>
  <c r="BV11" i="2"/>
  <c r="BV12" i="2" s="1"/>
  <c r="BY10" i="2"/>
  <c r="BY19" i="2"/>
  <c r="CA3" i="2"/>
  <c r="BZ5" i="2"/>
  <c r="BZ18" i="2"/>
  <c r="BZ19" i="2" l="1"/>
  <c r="BZ10" i="2"/>
  <c r="BV13" i="2"/>
  <c r="BV14" i="2"/>
  <c r="CC8" i="2"/>
  <c r="CB9" i="2"/>
  <c r="BZ4" i="2"/>
  <c r="CB3" i="2"/>
  <c r="CA18" i="2"/>
  <c r="CA5" i="2"/>
  <c r="CA4" i="2" s="1"/>
  <c r="CA19" i="2" l="1"/>
  <c r="CA10" i="2"/>
  <c r="CC3" i="2"/>
  <c r="CB18" i="2"/>
  <c r="CB5" i="2"/>
  <c r="CC9" i="2"/>
  <c r="CD8" i="2"/>
  <c r="CD9" i="2" s="1"/>
  <c r="BV15" i="2"/>
  <c r="BV21" i="2"/>
  <c r="BW11" i="2" l="1"/>
  <c r="BW12" i="2" s="1"/>
  <c r="CB4" i="2"/>
  <c r="CB10" i="2"/>
  <c r="CB19" i="2"/>
  <c r="CD3" i="2"/>
  <c r="CC18" i="2"/>
  <c r="CC5" i="2"/>
  <c r="CC4" i="2" l="1"/>
  <c r="CC19" i="2"/>
  <c r="CC10" i="2"/>
  <c r="CD18" i="2"/>
  <c r="CD5" i="2"/>
  <c r="BW13" i="2"/>
  <c r="BW14" i="2"/>
  <c r="BW15" i="2" l="1"/>
  <c r="BW21" i="2"/>
  <c r="CD4" i="2"/>
  <c r="CD10" i="2"/>
  <c r="CD19" i="2"/>
  <c r="BX11" i="2" l="1"/>
  <c r="BX12" i="2" s="1"/>
  <c r="BX13" i="2" l="1"/>
  <c r="BX14" i="2" s="1"/>
  <c r="BX15" i="2" l="1"/>
  <c r="BX21" i="2"/>
  <c r="BY11" i="2" l="1"/>
  <c r="BY12" i="2" s="1"/>
  <c r="BY13" i="2" s="1"/>
  <c r="BY14" i="2" s="1"/>
  <c r="BY15" i="2" s="1"/>
  <c r="BY21" i="2" l="1"/>
  <c r="BZ11" i="2"/>
  <c r="BZ12" i="2" s="1"/>
  <c r="BZ13" i="2" l="1"/>
  <c r="BZ14" i="2" s="1"/>
  <c r="BZ15" i="2" l="1"/>
  <c r="BZ21" i="2"/>
  <c r="CA11" i="2" s="1"/>
  <c r="CA12" i="2" s="1"/>
  <c r="CA13" i="2" s="1"/>
  <c r="CA14" i="2" s="1"/>
  <c r="CA21" i="2" l="1"/>
  <c r="CA15" i="2"/>
  <c r="CB11" i="2" l="1"/>
  <c r="CB12" i="2" s="1"/>
  <c r="CB13" i="2" s="1"/>
  <c r="CB14" i="2" s="1"/>
  <c r="CB15" i="2" s="1"/>
  <c r="CB21" i="2" l="1"/>
  <c r="CC11" i="2" s="1"/>
  <c r="CC12" i="2" s="1"/>
  <c r="CC13" i="2"/>
  <c r="CC14" i="2" l="1"/>
  <c r="CC15" i="2"/>
  <c r="CC21" i="2"/>
  <c r="CD11" i="2" s="1"/>
  <c r="CD12" i="2" s="1"/>
  <c r="CD13" i="2" s="1"/>
  <c r="CD14" i="2" s="1"/>
  <c r="CD15" i="2" s="1"/>
  <c r="CD21" i="2" l="1"/>
  <c r="CE14" i="2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GN14" i="2" s="1"/>
  <c r="GO14" i="2" s="1"/>
  <c r="GP14" i="2" s="1"/>
  <c r="GQ14" i="2" s="1"/>
  <c r="GR14" i="2" s="1"/>
  <c r="GS14" i="2" s="1"/>
  <c r="GT14" i="2" s="1"/>
  <c r="GU14" i="2" s="1"/>
  <c r="GV14" i="2" s="1"/>
  <c r="GW14" i="2" s="1"/>
  <c r="GX14" i="2" s="1"/>
  <c r="GY14" i="2" s="1"/>
  <c r="GZ14" i="2" s="1"/>
  <c r="HA14" i="2" s="1"/>
  <c r="HB14" i="2" s="1"/>
  <c r="HC14" i="2" s="1"/>
  <c r="HD14" i="2" s="1"/>
  <c r="HE14" i="2" s="1"/>
  <c r="HF14" i="2" s="1"/>
  <c r="HG14" i="2" s="1"/>
  <c r="HH14" i="2" s="1"/>
  <c r="HI14" i="2" s="1"/>
  <c r="HJ14" i="2" s="1"/>
  <c r="HK14" i="2" s="1"/>
  <c r="HL14" i="2" s="1"/>
  <c r="HM14" i="2" s="1"/>
  <c r="HN14" i="2" s="1"/>
  <c r="HO14" i="2" s="1"/>
  <c r="HP14" i="2" s="1"/>
  <c r="HQ14" i="2" s="1"/>
  <c r="HR14" i="2" s="1"/>
  <c r="HS14" i="2" s="1"/>
  <c r="HT14" i="2" s="1"/>
  <c r="HU14" i="2" s="1"/>
  <c r="HV14" i="2" s="1"/>
  <c r="HW14" i="2" s="1"/>
  <c r="HX14" i="2" s="1"/>
  <c r="HY14" i="2" s="1"/>
  <c r="HZ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tc={E3F37B9D-CD18-477C-AE4C-90A9A21DB23F}</author>
    <author>tc={B8D1733D-207D-4417-8510-2415C0EFF817}</author>
    <author>tc={6164F4AF-2358-4583-A0E3-3FEBA42EF04C}</author>
    <author>tc={EB39AFCC-A003-4102-A9BB-43783682501B}</author>
  </authors>
  <commentList>
    <comment ref="BT3" authorId="0" shapeId="0" xr:uid="{E3F37B9D-CD18-477C-AE4C-90A9A21DB23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FY25 &gt;500m</t>
      </text>
    </comment>
    <comment ref="BU3" authorId="1" shapeId="0" xr:uid="{B8D1733D-207D-4417-8510-2415C0EFF817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FY26 guidance &gt;625m</t>
      </text>
    </comment>
    <comment ref="BT14" authorId="2" shapeId="0" xr:uid="{6164F4AF-2358-4583-A0E3-3FEBA42EF04C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adjNI guidance &gt;175m</t>
      </text>
    </comment>
    <comment ref="BU14" authorId="3" shapeId="0" xr:uid="{EB39AFCC-A003-4102-A9BB-43783682501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FY26 adj NI 245m</t>
      </text>
    </comment>
  </commentList>
</comments>
</file>

<file path=xl/sharedStrings.xml><?xml version="1.0" encoding="utf-8"?>
<sst xmlns="http://schemas.openxmlformats.org/spreadsheetml/2006/main" count="119" uniqueCount="113">
  <si>
    <t>Price</t>
  </si>
  <si>
    <t>Shares</t>
  </si>
  <si>
    <t>MC</t>
  </si>
  <si>
    <t>Cash</t>
  </si>
  <si>
    <t>Debt</t>
  </si>
  <si>
    <t>EV</t>
  </si>
  <si>
    <t/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</si>
  <si>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</si>
  <si>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</si>
  <si>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</si>
  <si>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</si>
  <si>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</si>
  <si>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</si>
  <si>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</si>
  <si>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</si>
  <si>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</si>
  <si>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</si>
  <si>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</si>
  <si>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</si>
  <si>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</si>
  <si>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</si>
  <si>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</si>
  <si>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</si>
  <si>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</si>
  <si>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</si>
  <si>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</si>
  <si>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</si>
  <si>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</si>
  <si>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</si>
  <si>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</si>
  <si>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</si>
  <si>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</si>
  <si>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</si>
  <si>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</si>
  <si>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</si>
  <si>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</si>
  <si>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</si>
  <si>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</si>
  <si>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</si>
  <si>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</si>
  <si>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</si>
  <si>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</si>
  <si>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</si>
  <si>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</si>
  <si>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</si>
  <si>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</si>
  <si>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</si>
  <si>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</si>
  <si>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</si>
  <si>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</si>
  <si>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</si>
  <si>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</si>
  <si>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</si>
  <si>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</si>
  <si>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</si>
  <si>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SG&amp;A Expense</t>
  </si>
  <si>
    <t>R&amp;D Expense</t>
  </si>
  <si>
    <t>Net Income</t>
  </si>
  <si>
    <t>Main</t>
  </si>
  <si>
    <t>Revenue</t>
  </si>
  <si>
    <t>COGS</t>
  </si>
  <si>
    <t>Gross Profit</t>
  </si>
  <si>
    <t>Q224</t>
  </si>
  <si>
    <t>Q124</t>
  </si>
  <si>
    <t>Q423</t>
  </si>
  <si>
    <t>Q323</t>
  </si>
  <si>
    <t>Q223</t>
  </si>
  <si>
    <t>Q123</t>
  </si>
  <si>
    <t>Revenue y/y</t>
  </si>
  <si>
    <t>Center Expenses</t>
  </si>
  <si>
    <t>Operating Expenses</t>
  </si>
  <si>
    <t>Operating Income</t>
  </si>
  <si>
    <t>Interest Income</t>
  </si>
  <si>
    <t>Pretax Income</t>
  </si>
  <si>
    <t>Taxes</t>
  </si>
  <si>
    <t>Q324</t>
  </si>
  <si>
    <t>Q424</t>
  </si>
  <si>
    <t>EPS</t>
  </si>
  <si>
    <t>AR</t>
  </si>
  <si>
    <t>Inventories</t>
  </si>
  <si>
    <t>Prepaids</t>
  </si>
  <si>
    <t>PP&amp;E</t>
  </si>
  <si>
    <t>Goodwill</t>
  </si>
  <si>
    <t>ROU</t>
  </si>
  <si>
    <t>Deposits/Other</t>
  </si>
  <si>
    <t>Assets</t>
  </si>
  <si>
    <t>AP</t>
  </si>
  <si>
    <t>Accrued</t>
  </si>
  <si>
    <t>DR</t>
  </si>
  <si>
    <t>Lease</t>
  </si>
  <si>
    <t>Fee</t>
  </si>
  <si>
    <t>L+SE</t>
  </si>
  <si>
    <t>ONCL</t>
  </si>
  <si>
    <t>Net Cash</t>
  </si>
  <si>
    <t>Name</t>
  </si>
  <si>
    <t>Asceniv</t>
  </si>
  <si>
    <t>Bivigam</t>
  </si>
  <si>
    <t>MOA</t>
  </si>
  <si>
    <t>10% IVIG</t>
  </si>
  <si>
    <t>Competition</t>
  </si>
  <si>
    <t>Approval</t>
  </si>
  <si>
    <t>Gammagard (IVIG, SCIG - TAK), Gamunex (GFS)</t>
  </si>
  <si>
    <t>Gross Margin</t>
  </si>
  <si>
    <t>Discount</t>
  </si>
  <si>
    <t>Terminal</t>
  </si>
  <si>
    <t>NPV</t>
  </si>
  <si>
    <t>ROIC</t>
  </si>
  <si>
    <t>Share</t>
  </si>
  <si>
    <t>Q125</t>
  </si>
  <si>
    <t>Q225</t>
  </si>
  <si>
    <t>Q325</t>
  </si>
  <si>
    <t>Q425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</si>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</sst>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2"/>
    <xf numFmtId="0" fontId="1" fillId="0" borderId="0" xfId="0" applyFont="1"/>
    <xf numFmtId="0" fontId="1" fillId="0" borderId="0" xfId="1" applyFont="1"/>
    <xf numFmtId="0" fontId="1" fillId="0" borderId="0" xfId="1" applyFon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3" fontId="1" fillId="0" borderId="0" xfId="1" applyNumberFormat="1" applyFont="1"/>
    <xf numFmtId="3" fontId="2" fillId="0" borderId="0" xfId="0" applyNumberFormat="1" applyFont="1"/>
    <xf numFmtId="3" fontId="2" fillId="0" borderId="0" xfId="1" applyNumberFormat="1" applyFont="1"/>
    <xf numFmtId="4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1" fillId="0" borderId="0" xfId="0" applyNumberFormat="1" applyFont="1"/>
  </cellXfs>
  <cellStyles count="3">
    <cellStyle name="Hyperlink" xfId="2" builtinId="8"/>
    <cellStyle name="Normal" xfId="0" builtinId="0"/>
    <cellStyle name="Normal 2" xfId="1" xr:uid="{9B354E6A-3362-4C2F-ADCF-889D7DAEEF69}"/>
  </cellStyles>
  <dxfs count="0"/>
  <tableStyles count="1" defaultTableStyle="TableStyleMedium2" defaultPivotStyle="PivotStyleLight16">
    <tableStyle name="Invisible" pivot="0" table="0" count="0" xr9:uid="{DFABDD53-4DE7-447F-81FC-DF7621255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32657</xdr:colOff>
      <xdr:row>0</xdr:row>
      <xdr:rowOff>0</xdr:rowOff>
    </xdr:from>
    <xdr:to>
      <xdr:col>59</xdr:col>
      <xdr:colOff>32657</xdr:colOff>
      <xdr:row>52</xdr:row>
      <xdr:rowOff>118242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98BE40-B0F3-A51C-48F8-9153FA7E1BC5}"/>
            </a:ext>
          </a:extLst>
        </xdr:cNvPr>
        <xdr:cNvCxnSpPr/>
      </xdr:nvCxnSpPr>
      <xdr:spPr>
        <a:xfrm>
          <a:off x="36838571" y="0"/>
          <a:ext cx="0" cy="86578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098C640-D946-4E96-B733-A5B98DE1444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T3" dT="2025-05-08T14:35:02.72" personId="{2098C640-D946-4E96-B733-A5B98DE1444E}" id="{E3F37B9D-CD18-477C-AE4C-90A9A21DB23F}">
    <text>Q125 guidance: FY25 &gt;500m</text>
  </threadedComment>
  <threadedComment ref="BU3" dT="2025-05-08T14:35:19.68" personId="{2098C640-D946-4E96-B733-A5B98DE1444E}" id="{B8D1733D-207D-4417-8510-2415C0EFF817}">
    <text>Q125: FY26 guidance &gt;625m</text>
  </threadedComment>
  <threadedComment ref="BT14" dT="2025-05-08T14:36:14.44" personId="{2098C640-D946-4E96-B733-A5B98DE1444E}" id="{6164F4AF-2358-4583-A0E3-3FEBA42EF04C}">
    <text>Q125: adjNI guidance &gt;175m</text>
  </threadedComment>
  <threadedComment ref="BU14" dT="2025-05-08T14:36:55.05" personId="{2098C640-D946-4E96-B733-A5B98DE1444E}" id="{EB39AFCC-A003-4102-A9BB-43783682501B}">
    <text>Q125: FY26 adj NI 245m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17E-8CAF-402D-804E-49EB209CC6AE}">
  <dimension ref="B2:M9"/>
  <sheetViews>
    <sheetView zoomScale="160" zoomScaleNormal="160" workbookViewId="0">
      <selection activeCell="K8" sqref="K8"/>
    </sheetView>
  </sheetViews>
  <sheetFormatPr defaultRowHeight="12.75" x14ac:dyDescent="0.2"/>
  <cols>
    <col min="1" max="1" width="5.28515625" customWidth="1"/>
    <col min="4" max="4" width="22.42578125" bestFit="1" customWidth="1"/>
  </cols>
  <sheetData>
    <row r="2" spans="2:13" x14ac:dyDescent="0.2">
      <c r="B2" s="18" t="s">
        <v>94</v>
      </c>
      <c r="C2" s="19" t="s">
        <v>97</v>
      </c>
      <c r="D2" s="19" t="s">
        <v>99</v>
      </c>
      <c r="E2" s="19" t="s">
        <v>100</v>
      </c>
      <c r="F2" s="19"/>
      <c r="G2" s="19"/>
      <c r="H2" s="19"/>
      <c r="I2" s="20"/>
      <c r="K2" t="s">
        <v>0</v>
      </c>
      <c r="L2">
        <v>19.79</v>
      </c>
    </row>
    <row r="3" spans="2:13" x14ac:dyDescent="0.2">
      <c r="B3" s="13" t="s">
        <v>95</v>
      </c>
      <c r="C3" t="s">
        <v>98</v>
      </c>
      <c r="D3" t="s">
        <v>101</v>
      </c>
      <c r="I3" s="14"/>
      <c r="K3" t="s">
        <v>1</v>
      </c>
      <c r="L3" s="11">
        <v>242</v>
      </c>
      <c r="M3" s="12" t="s">
        <v>62</v>
      </c>
    </row>
    <row r="4" spans="2:13" x14ac:dyDescent="0.2">
      <c r="B4" s="13" t="s">
        <v>96</v>
      </c>
      <c r="I4" s="14"/>
      <c r="K4" t="s">
        <v>2</v>
      </c>
      <c r="L4" s="11">
        <f>+L2*L3</f>
        <v>4789.1799999999994</v>
      </c>
    </row>
    <row r="5" spans="2:13" x14ac:dyDescent="0.2">
      <c r="B5" s="13"/>
      <c r="I5" s="14"/>
      <c r="K5" t="s">
        <v>3</v>
      </c>
      <c r="L5" s="11">
        <v>88</v>
      </c>
      <c r="M5" s="12" t="s">
        <v>62</v>
      </c>
    </row>
    <row r="6" spans="2:13" x14ac:dyDescent="0.2">
      <c r="B6" s="13"/>
      <c r="I6" s="14"/>
      <c r="K6" t="s">
        <v>4</v>
      </c>
      <c r="L6" s="11">
        <v>131</v>
      </c>
      <c r="M6" s="12" t="s">
        <v>62</v>
      </c>
    </row>
    <row r="7" spans="2:13" x14ac:dyDescent="0.2">
      <c r="B7" s="13"/>
      <c r="I7" s="14"/>
      <c r="K7" t="s">
        <v>5</v>
      </c>
      <c r="L7" s="11">
        <f>+L4-L5+L6</f>
        <v>4832.1799999999994</v>
      </c>
    </row>
    <row r="8" spans="2:13" x14ac:dyDescent="0.2">
      <c r="B8" s="13"/>
      <c r="I8" s="14"/>
    </row>
    <row r="9" spans="2:13" x14ac:dyDescent="0.2">
      <c r="B9" s="15"/>
      <c r="C9" s="16"/>
      <c r="D9" s="16"/>
      <c r="E9" s="16"/>
      <c r="F9" s="16"/>
      <c r="G9" s="16"/>
      <c r="H9" s="16"/>
      <c r="I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23D-CE21-4A3B-B18A-E37ACD1D9607}">
  <dimension ref="A1:HZ40"/>
  <sheetViews>
    <sheetView tabSelected="1" zoomScale="145" zoomScaleNormal="145" workbookViewId="0">
      <pane xSplit="2" ySplit="2" topLeftCell="BQ3" activePane="bottomRight" state="frozen"/>
      <selection pane="topRight" activeCell="C1" sqref="C1"/>
      <selection pane="bottomLeft" activeCell="A3" sqref="A3"/>
      <selection pane="bottomRight" activeCell="BV3" sqref="BV3"/>
    </sheetView>
  </sheetViews>
  <sheetFormatPr defaultRowHeight="12.75" x14ac:dyDescent="0.2"/>
  <cols>
    <col min="1" max="1" width="5" style="2" bestFit="1" customWidth="1"/>
    <col min="2" max="2" width="24.7109375" style="2" bestFit="1" customWidth="1"/>
    <col min="3" max="79" width="9.140625" style="2"/>
    <col min="80" max="80" width="10" style="2" bestFit="1" customWidth="1"/>
    <col min="81" max="16384" width="9.140625" style="2"/>
  </cols>
  <sheetData>
    <row r="1" spans="1:234" x14ac:dyDescent="0.2">
      <c r="A1" s="1" t="s">
        <v>58</v>
      </c>
    </row>
    <row r="2" spans="1:234" x14ac:dyDescent="0.2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4" t="s">
        <v>67</v>
      </c>
      <c r="AZ2" s="4" t="s">
        <v>66</v>
      </c>
      <c r="BA2" s="4" t="s">
        <v>65</v>
      </c>
      <c r="BB2" s="4" t="s">
        <v>64</v>
      </c>
      <c r="BC2" s="4" t="s">
        <v>63</v>
      </c>
      <c r="BD2" s="4" t="s">
        <v>62</v>
      </c>
      <c r="BE2" s="4" t="s">
        <v>75</v>
      </c>
      <c r="BF2" s="4" t="s">
        <v>76</v>
      </c>
      <c r="BG2" s="4" t="s">
        <v>108</v>
      </c>
      <c r="BH2" s="4" t="s">
        <v>109</v>
      </c>
      <c r="BI2" s="4" t="s">
        <v>110</v>
      </c>
      <c r="BJ2" s="4" t="s">
        <v>111</v>
      </c>
      <c r="BO2" s="2">
        <v>2020</v>
      </c>
      <c r="BP2" s="2">
        <f>+BO2+1</f>
        <v>2021</v>
      </c>
      <c r="BQ2" s="2">
        <f t="shared" ref="BQ2:BV2" si="0">+BP2+1</f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>
        <f>+BV2+1</f>
        <v>2028</v>
      </c>
      <c r="BX2">
        <f t="shared" ref="BX2:BY2" si="1">+BW2+1</f>
        <v>2029</v>
      </c>
      <c r="BY2">
        <f t="shared" si="1"/>
        <v>2030</v>
      </c>
      <c r="BZ2">
        <f t="shared" ref="BZ2:CD2" si="2">+BY2+1</f>
        <v>2031</v>
      </c>
      <c r="CA2">
        <f t="shared" si="2"/>
        <v>2032</v>
      </c>
      <c r="CB2">
        <f t="shared" si="2"/>
        <v>2033</v>
      </c>
      <c r="CC2">
        <f t="shared" si="2"/>
        <v>2034</v>
      </c>
      <c r="CD2">
        <f t="shared" si="2"/>
        <v>2035</v>
      </c>
    </row>
    <row r="3" spans="1:234" s="8" customFormat="1" x14ac:dyDescent="0.2">
      <c r="B3" s="9" t="s">
        <v>59</v>
      </c>
      <c r="C3" s="9">
        <v>0</v>
      </c>
      <c r="D3" s="9">
        <v>0</v>
      </c>
      <c r="E3" s="9">
        <v>0</v>
      </c>
      <c r="F3" s="9">
        <v>0.8</v>
      </c>
      <c r="G3" s="9">
        <v>0</v>
      </c>
      <c r="H3" s="9">
        <v>0.2</v>
      </c>
      <c r="I3" s="9">
        <v>0.4</v>
      </c>
      <c r="J3" s="9">
        <v>0.5</v>
      </c>
      <c r="K3" s="9">
        <v>0.8</v>
      </c>
      <c r="L3" s="9">
        <v>0</v>
      </c>
      <c r="M3" s="9">
        <v>0</v>
      </c>
      <c r="N3" s="9">
        <v>2.2000000000000002</v>
      </c>
      <c r="O3" s="9">
        <v>0</v>
      </c>
      <c r="P3" s="9">
        <v>0</v>
      </c>
      <c r="Q3" s="9">
        <v>-1.3</v>
      </c>
      <c r="R3" s="9">
        <v>7.2</v>
      </c>
      <c r="S3" s="9">
        <v>-1.5</v>
      </c>
      <c r="T3" s="9">
        <v>-1.3</v>
      </c>
      <c r="U3" s="9">
        <v>-1.8</v>
      </c>
      <c r="V3" s="9">
        <v>11.7</v>
      </c>
      <c r="W3" s="9">
        <v>-2.1</v>
      </c>
      <c r="X3" s="9">
        <v>-2.2000000000000002</v>
      </c>
      <c r="Y3" s="9">
        <v>2.9</v>
      </c>
      <c r="Z3" s="9">
        <v>12</v>
      </c>
      <c r="AA3" s="9">
        <v>2.6</v>
      </c>
      <c r="AB3" s="9">
        <v>3.4</v>
      </c>
      <c r="AC3" s="9">
        <v>4.7</v>
      </c>
      <c r="AD3" s="9">
        <v>12</v>
      </c>
      <c r="AE3" s="9">
        <v>4</v>
      </c>
      <c r="AF3" s="9">
        <v>4.7</v>
      </c>
      <c r="AG3" s="9">
        <v>4.2</v>
      </c>
      <c r="AH3" s="9">
        <v>4.0999999999999996</v>
      </c>
      <c r="AI3" s="9">
        <v>3.5</v>
      </c>
      <c r="AJ3" s="9">
        <v>6.6</v>
      </c>
      <c r="AK3" s="9">
        <v>7.2</v>
      </c>
      <c r="AL3" s="9">
        <v>12</v>
      </c>
      <c r="AM3" s="9">
        <v>10.199999999999999</v>
      </c>
      <c r="AN3" s="9">
        <v>7.8</v>
      </c>
      <c r="AO3" s="9">
        <v>10.3</v>
      </c>
      <c r="AP3" s="9">
        <v>14</v>
      </c>
      <c r="AQ3" s="9">
        <v>16</v>
      </c>
      <c r="AR3" s="9">
        <v>17.8</v>
      </c>
      <c r="AS3" s="9">
        <v>20.7</v>
      </c>
      <c r="AT3" s="9">
        <v>26.4</v>
      </c>
      <c r="AU3" s="9">
        <v>29.1</v>
      </c>
      <c r="AV3" s="9">
        <v>33.9</v>
      </c>
      <c r="AW3" s="9">
        <v>41.1</v>
      </c>
      <c r="AX3" s="9">
        <v>50</v>
      </c>
      <c r="AY3" s="9">
        <v>56.9</v>
      </c>
      <c r="AZ3" s="9">
        <v>60.1</v>
      </c>
      <c r="BA3" s="9">
        <v>67.3</v>
      </c>
      <c r="BB3" s="9">
        <v>73.900000000000006</v>
      </c>
      <c r="BC3" s="9">
        <v>81.900000000000006</v>
      </c>
      <c r="BD3" s="9">
        <v>107.2</v>
      </c>
      <c r="BE3" s="8">
        <f>+BD3+5</f>
        <v>112.2</v>
      </c>
      <c r="BF3" s="8">
        <v>117.54900000000001</v>
      </c>
      <c r="BG3" s="8">
        <v>114.8002</v>
      </c>
      <c r="BS3" s="8">
        <f>SUM(BC3:BF3)</f>
        <v>418.84900000000005</v>
      </c>
      <c r="BT3" s="8">
        <f>+BS3*1.4</f>
        <v>586.3886</v>
      </c>
      <c r="BU3" s="8">
        <f>+BT3*1.3</f>
        <v>762.30518000000006</v>
      </c>
      <c r="BV3" s="8">
        <f>+BU3*1.2</f>
        <v>914.7662160000001</v>
      </c>
      <c r="BW3" s="8">
        <f>+BV3*1.2</f>
        <v>1097.7194592000001</v>
      </c>
      <c r="BX3" s="8">
        <f>+BW3*1.15</f>
        <v>1262.37737808</v>
      </c>
      <c r="BY3" s="8">
        <f>+BX3*1.15</f>
        <v>1451.7339847919998</v>
      </c>
      <c r="BZ3" s="8">
        <f>+BY3*1.15</f>
        <v>1669.4940825107997</v>
      </c>
      <c r="CA3" s="8">
        <f>+BZ3*1.1</f>
        <v>1836.4434907618797</v>
      </c>
      <c r="CB3" s="8">
        <f>+CA3*1.1</f>
        <v>2020.0878398380678</v>
      </c>
      <c r="CC3" s="8">
        <f>+CB3*1.05</f>
        <v>2121.0922318299713</v>
      </c>
      <c r="CD3" s="8">
        <f>+CC3*1.05</f>
        <v>2227.1468434214698</v>
      </c>
    </row>
    <row r="4" spans="1:234" s="6" customFormat="1" x14ac:dyDescent="0.2">
      <c r="B4" s="7" t="s">
        <v>60</v>
      </c>
      <c r="C4" s="7">
        <v>0</v>
      </c>
      <c r="D4" s="7">
        <v>0</v>
      </c>
      <c r="E4" s="7">
        <v>0</v>
      </c>
      <c r="F4" s="7">
        <v>0.2</v>
      </c>
      <c r="G4" s="7">
        <v>0</v>
      </c>
      <c r="H4" s="7">
        <v>0.1</v>
      </c>
      <c r="I4" s="7">
        <v>0.1</v>
      </c>
      <c r="J4" s="7">
        <v>0.4</v>
      </c>
      <c r="K4" s="7">
        <v>0.5</v>
      </c>
      <c r="L4" s="7">
        <v>0.5</v>
      </c>
      <c r="M4" s="7">
        <v>0.7</v>
      </c>
      <c r="N4" s="7">
        <v>0.3</v>
      </c>
      <c r="O4" s="7">
        <v>1</v>
      </c>
      <c r="P4" s="7">
        <v>0.9</v>
      </c>
      <c r="Q4" s="7">
        <v>0.9</v>
      </c>
      <c r="R4" s="7">
        <v>1</v>
      </c>
      <c r="S4" s="7">
        <v>0.9</v>
      </c>
      <c r="T4" s="7">
        <v>0.8</v>
      </c>
      <c r="U4" s="7">
        <v>1.1000000000000001</v>
      </c>
      <c r="V4" s="7">
        <v>1.5</v>
      </c>
      <c r="W4" s="7">
        <v>1.3</v>
      </c>
      <c r="X4" s="7">
        <v>1.3</v>
      </c>
      <c r="Y4" s="7">
        <v>1.7</v>
      </c>
      <c r="Z4" s="7">
        <v>2</v>
      </c>
      <c r="AA4" s="7">
        <v>1.6</v>
      </c>
      <c r="AB4" s="7">
        <v>4.3</v>
      </c>
      <c r="AC4" s="7">
        <v>11.3</v>
      </c>
      <c r="AD4" s="7">
        <v>11.9</v>
      </c>
      <c r="AE4" s="7">
        <v>12.2</v>
      </c>
      <c r="AF4" s="7">
        <v>9.6</v>
      </c>
      <c r="AG4" s="7">
        <v>9.1999999999999993</v>
      </c>
      <c r="AH4" s="7">
        <v>11.1</v>
      </c>
      <c r="AI4" s="7">
        <v>9.4</v>
      </c>
      <c r="AJ4" s="7">
        <v>10.5</v>
      </c>
      <c r="AK4" s="7">
        <v>7.9</v>
      </c>
      <c r="AL4" s="7">
        <v>11.7</v>
      </c>
      <c r="AM4" s="7">
        <v>16.8</v>
      </c>
      <c r="AN4" s="7">
        <v>0</v>
      </c>
      <c r="AO4" s="7">
        <v>0</v>
      </c>
      <c r="AP4" s="7">
        <v>44.5</v>
      </c>
      <c r="AQ4" s="7">
        <v>17.8</v>
      </c>
      <c r="AR4" s="7">
        <v>18.8</v>
      </c>
      <c r="AS4" s="7">
        <v>20.3</v>
      </c>
      <c r="AT4" s="7">
        <v>22.9</v>
      </c>
      <c r="AU4" s="7">
        <v>25.4</v>
      </c>
      <c r="AV4" s="7">
        <v>26.1</v>
      </c>
      <c r="AW4" s="7">
        <v>31.4</v>
      </c>
      <c r="AX4" s="7">
        <v>35.799999999999997</v>
      </c>
      <c r="AY4" s="7">
        <v>40.4</v>
      </c>
      <c r="AZ4" s="7">
        <v>43.4</v>
      </c>
      <c r="BA4" s="7">
        <v>42.6</v>
      </c>
      <c r="BB4" s="7">
        <v>42.8</v>
      </c>
      <c r="BC4" s="7">
        <v>42.8</v>
      </c>
      <c r="BD4" s="7">
        <v>49.7</v>
      </c>
      <c r="BE4" s="6">
        <f>+BE3*0.44</f>
        <v>49.368000000000002</v>
      </c>
      <c r="BF4" s="6">
        <v>54.216000000000001</v>
      </c>
      <c r="BG4" s="6">
        <v>53.704999999999998</v>
      </c>
      <c r="BS4" s="6">
        <f>SUM(BC4:BF4)</f>
        <v>196.084</v>
      </c>
      <c r="BT4" s="6">
        <f>+BT3-BT5</f>
        <v>246.28321200000005</v>
      </c>
      <c r="BU4" s="6">
        <f t="shared" ref="BU4:BY4" si="3">+BU3-BU5</f>
        <v>304.92207200000001</v>
      </c>
      <c r="BV4" s="6">
        <f t="shared" si="3"/>
        <v>347.61116207999999</v>
      </c>
      <c r="BW4" s="6">
        <f t="shared" si="3"/>
        <v>406.156199904</v>
      </c>
      <c r="BX4" s="6">
        <f t="shared" si="3"/>
        <v>454.45585610879994</v>
      </c>
      <c r="BY4" s="6">
        <f t="shared" si="3"/>
        <v>508.10689467719988</v>
      </c>
      <c r="BZ4" s="6">
        <f t="shared" ref="BZ4" si="4">+BZ3-BZ5</f>
        <v>584.32292887877975</v>
      </c>
      <c r="CA4" s="6">
        <f t="shared" ref="CA4" si="5">+CA3-CA5</f>
        <v>642.75522176665777</v>
      </c>
      <c r="CB4" s="6">
        <f t="shared" ref="CB4" si="6">+CB3-CB5</f>
        <v>707.03074394332361</v>
      </c>
      <c r="CC4" s="6">
        <f t="shared" ref="CC4" si="7">+CC3-CC5</f>
        <v>742.38228114048979</v>
      </c>
      <c r="CD4" s="6">
        <f t="shared" ref="CD4" si="8">+CD3-CD5</f>
        <v>779.50139519751428</v>
      </c>
    </row>
    <row r="5" spans="1:234" s="6" customFormat="1" x14ac:dyDescent="0.2">
      <c r="B5" s="7" t="s">
        <v>61</v>
      </c>
      <c r="C5" s="7">
        <v>0</v>
      </c>
      <c r="D5" s="7">
        <v>0</v>
      </c>
      <c r="E5" s="7">
        <v>0</v>
      </c>
      <c r="F5" s="7">
        <v>0.6</v>
      </c>
      <c r="G5" s="7">
        <v>0</v>
      </c>
      <c r="H5" s="7">
        <v>0.1</v>
      </c>
      <c r="I5" s="7">
        <v>0.2</v>
      </c>
      <c r="J5" s="7">
        <v>0.1</v>
      </c>
      <c r="K5" s="7">
        <v>0.3</v>
      </c>
      <c r="L5" s="7">
        <v>-0.5</v>
      </c>
      <c r="M5" s="7">
        <v>-0.7</v>
      </c>
      <c r="N5" s="7">
        <v>1.9</v>
      </c>
      <c r="O5" s="7">
        <v>-0.9</v>
      </c>
      <c r="P5" s="7">
        <v>-0.9</v>
      </c>
      <c r="Q5" s="7">
        <v>-2.2000000000000002</v>
      </c>
      <c r="R5" s="7">
        <v>6.2</v>
      </c>
      <c r="S5" s="7">
        <v>-2.4</v>
      </c>
      <c r="T5" s="7">
        <v>-2.1</v>
      </c>
      <c r="U5" s="7">
        <v>-2.9</v>
      </c>
      <c r="V5" s="7">
        <v>10.199999999999999</v>
      </c>
      <c r="W5" s="7">
        <v>-3.3</v>
      </c>
      <c r="X5" s="7">
        <v>-3.5</v>
      </c>
      <c r="Y5" s="7">
        <v>1.2</v>
      </c>
      <c r="Z5" s="7">
        <v>10</v>
      </c>
      <c r="AA5" s="7">
        <v>1</v>
      </c>
      <c r="AB5" s="7">
        <v>-0.9</v>
      </c>
      <c r="AC5" s="7">
        <v>-6.6</v>
      </c>
      <c r="AD5" s="7">
        <v>0.1</v>
      </c>
      <c r="AE5" s="7">
        <v>-8.1999999999999993</v>
      </c>
      <c r="AF5" s="7">
        <v>-5</v>
      </c>
      <c r="AG5" s="7">
        <v>-4.9000000000000004</v>
      </c>
      <c r="AH5" s="7">
        <v>-7.1</v>
      </c>
      <c r="AI5" s="7">
        <v>-5.9</v>
      </c>
      <c r="AJ5" s="7">
        <v>-3.9</v>
      </c>
      <c r="AK5" s="7">
        <v>-0.7</v>
      </c>
      <c r="AL5" s="7">
        <v>0.3</v>
      </c>
      <c r="AM5" s="7">
        <v>-6.6</v>
      </c>
      <c r="AN5" s="7">
        <v>7.8</v>
      </c>
      <c r="AO5" s="7">
        <v>10.3</v>
      </c>
      <c r="AP5" s="7">
        <v>-30.5</v>
      </c>
      <c r="AQ5" s="7">
        <v>-1.7</v>
      </c>
      <c r="AR5" s="7">
        <v>-1</v>
      </c>
      <c r="AS5" s="7">
        <v>0.4</v>
      </c>
      <c r="AT5" s="7">
        <v>3.5</v>
      </c>
      <c r="AU5" s="7">
        <v>3.7</v>
      </c>
      <c r="AV5" s="7">
        <v>7.8</v>
      </c>
      <c r="AW5" s="7">
        <v>9.6999999999999993</v>
      </c>
      <c r="AX5" s="7">
        <v>14.2</v>
      </c>
      <c r="AY5" s="7">
        <v>16.5</v>
      </c>
      <c r="AZ5" s="7">
        <f t="shared" ref="AZ5:BC5" si="9">+AZ3-AZ4</f>
        <v>16.700000000000003</v>
      </c>
      <c r="BA5" s="7">
        <f t="shared" si="9"/>
        <v>24.699999999999996</v>
      </c>
      <c r="BB5" s="7">
        <f t="shared" si="9"/>
        <v>31.100000000000009</v>
      </c>
      <c r="BC5" s="7">
        <f t="shared" si="9"/>
        <v>39.100000000000009</v>
      </c>
      <c r="BD5" s="7">
        <f>+BD3-BD4</f>
        <v>57.5</v>
      </c>
      <c r="BE5" s="6">
        <f>+BE3-BE4</f>
        <v>62.832000000000001</v>
      </c>
      <c r="BF5" s="6">
        <f>+BF3-BF4</f>
        <v>63.333000000000006</v>
      </c>
      <c r="BG5" s="6">
        <f>+BG3-BG4</f>
        <v>61.095200000000006</v>
      </c>
      <c r="BS5" s="6">
        <f>+BS3-BS4</f>
        <v>222.76500000000004</v>
      </c>
      <c r="BT5" s="6">
        <f>+BT3*0.58</f>
        <v>340.10538799999995</v>
      </c>
      <c r="BU5" s="6">
        <f>+BU3*0.6</f>
        <v>457.38310800000005</v>
      </c>
      <c r="BV5" s="6">
        <f>+BV3*0.62</f>
        <v>567.15505392000011</v>
      </c>
      <c r="BW5" s="6">
        <f>+BW3*0.63</f>
        <v>691.56325929600007</v>
      </c>
      <c r="BX5" s="6">
        <f>+BX3*0.64</f>
        <v>807.92152197120004</v>
      </c>
      <c r="BY5" s="6">
        <f>+BY3*0.65</f>
        <v>943.6270901147999</v>
      </c>
      <c r="BZ5" s="6">
        <f t="shared" ref="BZ5:CD5" si="10">+BZ3*0.65</f>
        <v>1085.1711536320199</v>
      </c>
      <c r="CA5" s="6">
        <f t="shared" si="10"/>
        <v>1193.688268995222</v>
      </c>
      <c r="CB5" s="6">
        <f t="shared" si="10"/>
        <v>1313.0570958947442</v>
      </c>
      <c r="CC5" s="6">
        <f t="shared" si="10"/>
        <v>1378.7099506894815</v>
      </c>
      <c r="CD5" s="6">
        <f t="shared" si="10"/>
        <v>1447.6454482239556</v>
      </c>
    </row>
    <row r="6" spans="1:234" s="6" customFormat="1" x14ac:dyDescent="0.2">
      <c r="B6" s="7" t="s">
        <v>55</v>
      </c>
      <c r="C6" s="7">
        <v>0.7</v>
      </c>
      <c r="D6" s="7">
        <v>0.7</v>
      </c>
      <c r="E6" s="7">
        <v>0.7</v>
      </c>
      <c r="F6" s="7">
        <v>0.5</v>
      </c>
      <c r="G6" s="7">
        <v>1.1000000000000001</v>
      </c>
      <c r="H6" s="7">
        <v>1.1000000000000001</v>
      </c>
      <c r="I6" s="7">
        <v>1.5</v>
      </c>
      <c r="J6" s="7">
        <v>1.1000000000000001</v>
      </c>
      <c r="K6" s="7">
        <v>1.9</v>
      </c>
      <c r="L6" s="7">
        <v>1.6</v>
      </c>
      <c r="M6" s="7">
        <v>1.5</v>
      </c>
      <c r="N6" s="7">
        <v>1.7</v>
      </c>
      <c r="O6" s="7">
        <v>1.9</v>
      </c>
      <c r="P6" s="7">
        <v>2.4</v>
      </c>
      <c r="Q6" s="7">
        <v>2.1</v>
      </c>
      <c r="R6" s="7">
        <v>2.2999999999999998</v>
      </c>
      <c r="S6" s="7">
        <v>2.4</v>
      </c>
      <c r="T6" s="7">
        <v>2.5</v>
      </c>
      <c r="U6" s="7">
        <v>3.3</v>
      </c>
      <c r="V6" s="7">
        <v>3.1</v>
      </c>
      <c r="W6" s="7">
        <v>3</v>
      </c>
      <c r="X6" s="7">
        <v>3</v>
      </c>
      <c r="Y6" s="7">
        <v>3.3</v>
      </c>
      <c r="Z6" s="7">
        <v>4.7</v>
      </c>
      <c r="AA6" s="7">
        <v>5.8</v>
      </c>
      <c r="AB6" s="7">
        <v>6</v>
      </c>
      <c r="AC6" s="7">
        <v>5.8</v>
      </c>
      <c r="AD6" s="7">
        <v>7.7</v>
      </c>
      <c r="AE6" s="7">
        <v>7.2</v>
      </c>
      <c r="AF6" s="7">
        <v>7.2</v>
      </c>
      <c r="AG6" s="7">
        <v>7.6</v>
      </c>
      <c r="AH6" s="7">
        <v>8.3000000000000007</v>
      </c>
      <c r="AI6" s="7">
        <v>6.2</v>
      </c>
      <c r="AJ6" s="7">
        <v>6.7</v>
      </c>
      <c r="AK6" s="7">
        <v>7.7</v>
      </c>
      <c r="AL6" s="7">
        <v>7.5</v>
      </c>
      <c r="AM6" s="7">
        <v>8.4</v>
      </c>
      <c r="AN6" s="7">
        <v>9.6</v>
      </c>
      <c r="AO6" s="7">
        <v>10.3</v>
      </c>
      <c r="AP6" s="7">
        <v>10.9</v>
      </c>
      <c r="AQ6" s="7">
        <v>12.3</v>
      </c>
      <c r="AR6" s="7">
        <v>13.2</v>
      </c>
      <c r="AS6" s="7">
        <v>13.9</v>
      </c>
      <c r="AT6" s="7">
        <v>15.8</v>
      </c>
      <c r="AU6" s="7">
        <v>17.7</v>
      </c>
      <c r="AV6" s="7">
        <v>15.9</v>
      </c>
      <c r="AW6" s="7">
        <v>17.8</v>
      </c>
      <c r="AX6" s="7">
        <v>19</v>
      </c>
      <c r="AY6" s="7">
        <v>16.3</v>
      </c>
      <c r="AZ6" s="7">
        <v>14.247999999999999</v>
      </c>
      <c r="BA6" s="7">
        <v>15.2</v>
      </c>
      <c r="BB6" s="7">
        <v>15.535</v>
      </c>
      <c r="BC6" s="7">
        <v>16.600000000000001</v>
      </c>
      <c r="BD6" s="7">
        <v>16.608000000000001</v>
      </c>
      <c r="BE6" s="6">
        <f t="shared" ref="BE6:BF8" si="11">+BD6</f>
        <v>16.608000000000001</v>
      </c>
      <c r="BF6" s="6">
        <v>23.317</v>
      </c>
      <c r="BG6" s="6">
        <v>24.079000000000001</v>
      </c>
      <c r="BS6" s="6">
        <f t="shared" ref="BS6:BS8" si="12">SUM(BC6:BF6)</f>
        <v>73.13300000000001</v>
      </c>
      <c r="BT6" s="6">
        <f>+BS6*1.1</f>
        <v>80.446300000000022</v>
      </c>
      <c r="BU6" s="6">
        <f t="shared" ref="BU6:BY6" si="13">+BT6*1.1</f>
        <v>88.490930000000034</v>
      </c>
      <c r="BV6" s="6">
        <f t="shared" si="13"/>
        <v>97.340023000000045</v>
      </c>
      <c r="BW6" s="6">
        <f t="shared" si="13"/>
        <v>107.07402530000006</v>
      </c>
      <c r="BX6" s="6">
        <f t="shared" si="13"/>
        <v>117.78142783000007</v>
      </c>
      <c r="BY6" s="6">
        <f t="shared" si="13"/>
        <v>129.55957061300009</v>
      </c>
      <c r="BZ6" s="6">
        <f t="shared" ref="BZ6:CD6" si="14">+BY6*1.1</f>
        <v>142.5155276743001</v>
      </c>
      <c r="CA6" s="6">
        <f t="shared" si="14"/>
        <v>156.76708044173012</v>
      </c>
      <c r="CB6" s="6">
        <f t="shared" si="14"/>
        <v>172.44378848590313</v>
      </c>
      <c r="CC6" s="6">
        <f t="shared" si="14"/>
        <v>189.68816733449344</v>
      </c>
      <c r="CD6" s="6">
        <f t="shared" si="14"/>
        <v>208.6569840679428</v>
      </c>
    </row>
    <row r="7" spans="1:234" s="6" customFormat="1" x14ac:dyDescent="0.2">
      <c r="B7" s="7" t="s">
        <v>56</v>
      </c>
      <c r="C7" s="7">
        <v>0.2</v>
      </c>
      <c r="D7" s="7">
        <v>0.1</v>
      </c>
      <c r="E7" s="7">
        <v>0.1</v>
      </c>
      <c r="F7" s="7">
        <v>0.2</v>
      </c>
      <c r="G7" s="7">
        <v>0.1</v>
      </c>
      <c r="H7" s="7">
        <v>0.2</v>
      </c>
      <c r="I7" s="7">
        <v>1.9</v>
      </c>
      <c r="J7" s="7">
        <v>1.3</v>
      </c>
      <c r="K7" s="7">
        <v>1.5</v>
      </c>
      <c r="L7" s="7">
        <v>3.5</v>
      </c>
      <c r="M7" s="7">
        <v>1.4</v>
      </c>
      <c r="N7" s="7">
        <v>3</v>
      </c>
      <c r="O7" s="7">
        <v>4.3</v>
      </c>
      <c r="P7" s="7">
        <v>1.8</v>
      </c>
      <c r="Q7" s="7">
        <v>1.5</v>
      </c>
      <c r="R7" s="7">
        <v>1.9</v>
      </c>
      <c r="S7" s="7">
        <v>1.4</v>
      </c>
      <c r="T7" s="7">
        <v>1.5</v>
      </c>
      <c r="U7" s="7">
        <v>2.1</v>
      </c>
      <c r="V7" s="7">
        <v>2</v>
      </c>
      <c r="W7" s="7">
        <v>2</v>
      </c>
      <c r="X7" s="7">
        <v>3.4</v>
      </c>
      <c r="Y7" s="7">
        <v>1.7</v>
      </c>
      <c r="Z7" s="7">
        <v>0.6</v>
      </c>
      <c r="AA7" s="7">
        <v>1.2</v>
      </c>
      <c r="AB7" s="7">
        <v>1.4</v>
      </c>
      <c r="AC7" s="7">
        <v>1.8</v>
      </c>
      <c r="AD7" s="7">
        <v>1.2</v>
      </c>
      <c r="AE7" s="7">
        <v>1</v>
      </c>
      <c r="AF7" s="7">
        <v>1</v>
      </c>
      <c r="AG7" s="7">
        <v>1</v>
      </c>
      <c r="AH7" s="7">
        <v>0.9</v>
      </c>
      <c r="AI7" s="7">
        <v>0.9</v>
      </c>
      <c r="AJ7" s="7">
        <v>0.5</v>
      </c>
      <c r="AK7" s="7">
        <v>0.5</v>
      </c>
      <c r="AL7" s="7">
        <v>0.5</v>
      </c>
      <c r="AM7" s="7">
        <v>1.5</v>
      </c>
      <c r="AN7" s="7">
        <v>1.7</v>
      </c>
      <c r="AO7" s="7">
        <v>1.7</v>
      </c>
      <c r="AP7" s="7">
        <v>1</v>
      </c>
      <c r="AQ7" s="7">
        <v>1</v>
      </c>
      <c r="AR7" s="7">
        <v>1.2</v>
      </c>
      <c r="AS7" s="7">
        <v>0.8</v>
      </c>
      <c r="AT7" s="7">
        <v>0.7</v>
      </c>
      <c r="AU7" s="7">
        <v>0.6</v>
      </c>
      <c r="AV7" s="7">
        <v>0.9</v>
      </c>
      <c r="AW7" s="7">
        <v>1</v>
      </c>
      <c r="AX7" s="7">
        <v>1.1000000000000001</v>
      </c>
      <c r="AY7" s="7">
        <v>0.9</v>
      </c>
      <c r="AZ7" s="7">
        <v>1.403</v>
      </c>
      <c r="BA7" s="7">
        <v>0.6</v>
      </c>
      <c r="BB7" s="7">
        <v>0.44500000000000001</v>
      </c>
      <c r="BC7" s="7">
        <v>0.4</v>
      </c>
      <c r="BD7" s="7">
        <v>0.56000000000000005</v>
      </c>
      <c r="BE7" s="6">
        <f t="shared" si="11"/>
        <v>0.56000000000000005</v>
      </c>
      <c r="BF7" s="6">
        <v>0.39100000000000001</v>
      </c>
      <c r="BG7" s="6">
        <v>0.82599999999999996</v>
      </c>
      <c r="BS7" s="6">
        <f t="shared" si="12"/>
        <v>1.911</v>
      </c>
      <c r="BT7" s="6">
        <f t="shared" ref="BT7:BY7" si="15">+BS7*1.1</f>
        <v>2.1021000000000001</v>
      </c>
      <c r="BU7" s="6">
        <f t="shared" si="15"/>
        <v>2.3123100000000001</v>
      </c>
      <c r="BV7" s="6">
        <f t="shared" si="15"/>
        <v>2.5435410000000003</v>
      </c>
      <c r="BW7" s="6">
        <f t="shared" si="15"/>
        <v>2.7978951000000007</v>
      </c>
      <c r="BX7" s="6">
        <f t="shared" si="15"/>
        <v>3.0776846100000013</v>
      </c>
      <c r="BY7" s="6">
        <f t="shared" si="15"/>
        <v>3.3854530710000015</v>
      </c>
      <c r="BZ7" s="6">
        <f t="shared" ref="BZ7:CD7" si="16">+BY7*1.1</f>
        <v>3.7239983781000019</v>
      </c>
      <c r="CA7" s="6">
        <f t="shared" si="16"/>
        <v>4.0963982159100025</v>
      </c>
      <c r="CB7" s="6">
        <f t="shared" si="16"/>
        <v>4.5060380375010034</v>
      </c>
      <c r="CC7" s="6">
        <f t="shared" si="16"/>
        <v>4.9566418412511037</v>
      </c>
      <c r="CD7" s="6">
        <f t="shared" si="16"/>
        <v>5.4523060253762141</v>
      </c>
    </row>
    <row r="8" spans="1:234" s="6" customFormat="1" x14ac:dyDescent="0.2">
      <c r="B8" s="7" t="s"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v>1.333</v>
      </c>
      <c r="BA8" s="7"/>
      <c r="BB8" s="7">
        <v>0.68500000000000005</v>
      </c>
      <c r="BC8" s="7"/>
      <c r="BD8" s="7">
        <v>0.94199999999999995</v>
      </c>
      <c r="BE8" s="6">
        <f t="shared" si="11"/>
        <v>0.94199999999999995</v>
      </c>
      <c r="BF8" s="6">
        <v>1.2769999999999999</v>
      </c>
      <c r="BG8" s="6">
        <v>1.286</v>
      </c>
      <c r="BS8" s="6">
        <f t="shared" si="12"/>
        <v>3.1609999999999996</v>
      </c>
      <c r="BT8" s="6">
        <f t="shared" ref="BT8:BY8" si="17">+BS8*1.1</f>
        <v>3.4770999999999996</v>
      </c>
      <c r="BU8" s="6">
        <f t="shared" si="17"/>
        <v>3.8248099999999998</v>
      </c>
      <c r="BV8" s="6">
        <f t="shared" si="17"/>
        <v>4.2072910000000006</v>
      </c>
      <c r="BW8" s="6">
        <f t="shared" si="17"/>
        <v>4.6280201000000014</v>
      </c>
      <c r="BX8" s="6">
        <f t="shared" si="17"/>
        <v>5.0908221100000022</v>
      </c>
      <c r="BY8" s="6">
        <f t="shared" si="17"/>
        <v>5.599904321000003</v>
      </c>
      <c r="BZ8" s="6">
        <f t="shared" ref="BZ8:CD8" si="18">+BY8*1.1</f>
        <v>6.1598947531000041</v>
      </c>
      <c r="CA8" s="6">
        <f t="shared" si="18"/>
        <v>6.7758842284100052</v>
      </c>
      <c r="CB8" s="6">
        <f t="shared" si="18"/>
        <v>7.4534726512510066</v>
      </c>
      <c r="CC8" s="6">
        <f t="shared" si="18"/>
        <v>8.1988199163761077</v>
      </c>
      <c r="CD8" s="6">
        <f t="shared" si="18"/>
        <v>9.0187019080137194</v>
      </c>
    </row>
    <row r="9" spans="1:234" s="6" customFormat="1" x14ac:dyDescent="0.2">
      <c r="B9" s="7" t="s">
        <v>70</v>
      </c>
      <c r="C9" s="7">
        <f t="shared" ref="C9:BC9" si="19">+C8+C7+C6</f>
        <v>0.89999999999999991</v>
      </c>
      <c r="D9" s="7">
        <f t="shared" si="19"/>
        <v>0.79999999999999993</v>
      </c>
      <c r="E9" s="7">
        <f t="shared" si="19"/>
        <v>0.79999999999999993</v>
      </c>
      <c r="F9" s="7">
        <f t="shared" si="19"/>
        <v>0.7</v>
      </c>
      <c r="G9" s="7">
        <f t="shared" si="19"/>
        <v>1.2000000000000002</v>
      </c>
      <c r="H9" s="7">
        <f t="shared" si="19"/>
        <v>1.3</v>
      </c>
      <c r="I9" s="7">
        <f t="shared" si="19"/>
        <v>3.4</v>
      </c>
      <c r="J9" s="7">
        <f t="shared" si="19"/>
        <v>2.4000000000000004</v>
      </c>
      <c r="K9" s="7">
        <f t="shared" si="19"/>
        <v>3.4</v>
      </c>
      <c r="L9" s="7">
        <f t="shared" si="19"/>
        <v>5.0999999999999996</v>
      </c>
      <c r="M9" s="7">
        <f t="shared" si="19"/>
        <v>2.9</v>
      </c>
      <c r="N9" s="7">
        <f t="shared" si="19"/>
        <v>4.7</v>
      </c>
      <c r="O9" s="7">
        <f t="shared" si="19"/>
        <v>6.1999999999999993</v>
      </c>
      <c r="P9" s="7">
        <f t="shared" si="19"/>
        <v>4.2</v>
      </c>
      <c r="Q9" s="7">
        <f t="shared" si="19"/>
        <v>3.6</v>
      </c>
      <c r="R9" s="7">
        <f t="shared" si="19"/>
        <v>4.1999999999999993</v>
      </c>
      <c r="S9" s="7">
        <f t="shared" si="19"/>
        <v>3.8</v>
      </c>
      <c r="T9" s="7">
        <f t="shared" si="19"/>
        <v>4</v>
      </c>
      <c r="U9" s="7">
        <f t="shared" si="19"/>
        <v>5.4</v>
      </c>
      <c r="V9" s="7">
        <f t="shared" si="19"/>
        <v>5.0999999999999996</v>
      </c>
      <c r="W9" s="7">
        <f t="shared" si="19"/>
        <v>5</v>
      </c>
      <c r="X9" s="7">
        <f t="shared" si="19"/>
        <v>6.4</v>
      </c>
      <c r="Y9" s="7">
        <f t="shared" si="19"/>
        <v>5</v>
      </c>
      <c r="Z9" s="7">
        <f t="shared" si="19"/>
        <v>5.3</v>
      </c>
      <c r="AA9" s="7">
        <f t="shared" si="19"/>
        <v>7</v>
      </c>
      <c r="AB9" s="7">
        <f t="shared" si="19"/>
        <v>7.4</v>
      </c>
      <c r="AC9" s="7">
        <f t="shared" si="19"/>
        <v>7.6</v>
      </c>
      <c r="AD9" s="7">
        <f t="shared" si="19"/>
        <v>8.9</v>
      </c>
      <c r="AE9" s="7">
        <f t="shared" si="19"/>
        <v>8.1999999999999993</v>
      </c>
      <c r="AF9" s="7">
        <f t="shared" si="19"/>
        <v>8.1999999999999993</v>
      </c>
      <c r="AG9" s="7">
        <f t="shared" si="19"/>
        <v>8.6</v>
      </c>
      <c r="AH9" s="7">
        <f t="shared" si="19"/>
        <v>9.2000000000000011</v>
      </c>
      <c r="AI9" s="7">
        <f t="shared" si="19"/>
        <v>7.1000000000000005</v>
      </c>
      <c r="AJ9" s="7">
        <f t="shared" si="19"/>
        <v>7.2</v>
      </c>
      <c r="AK9" s="7">
        <f t="shared" si="19"/>
        <v>8.1999999999999993</v>
      </c>
      <c r="AL9" s="7">
        <f t="shared" si="19"/>
        <v>8</v>
      </c>
      <c r="AM9" s="7">
        <f t="shared" si="19"/>
        <v>9.9</v>
      </c>
      <c r="AN9" s="7">
        <f t="shared" si="19"/>
        <v>11.299999999999999</v>
      </c>
      <c r="AO9" s="7">
        <f t="shared" si="19"/>
        <v>12</v>
      </c>
      <c r="AP9" s="7">
        <f t="shared" si="19"/>
        <v>11.9</v>
      </c>
      <c r="AQ9" s="7">
        <f t="shared" si="19"/>
        <v>13.3</v>
      </c>
      <c r="AR9" s="7">
        <f t="shared" si="19"/>
        <v>14.399999999999999</v>
      </c>
      <c r="AS9" s="7">
        <f t="shared" si="19"/>
        <v>14.700000000000001</v>
      </c>
      <c r="AT9" s="7">
        <f t="shared" si="19"/>
        <v>16.5</v>
      </c>
      <c r="AU9" s="7">
        <f t="shared" si="19"/>
        <v>18.3</v>
      </c>
      <c r="AV9" s="7">
        <f t="shared" si="19"/>
        <v>16.8</v>
      </c>
      <c r="AW9" s="7">
        <f t="shared" si="19"/>
        <v>18.8</v>
      </c>
      <c r="AX9" s="7">
        <f t="shared" si="19"/>
        <v>20.100000000000001</v>
      </c>
      <c r="AY9" s="7">
        <f t="shared" si="19"/>
        <v>17.2</v>
      </c>
      <c r="AZ9" s="7">
        <f t="shared" si="19"/>
        <v>16.983999999999998</v>
      </c>
      <c r="BA9" s="7">
        <f t="shared" si="19"/>
        <v>15.799999999999999</v>
      </c>
      <c r="BB9" s="7">
        <f t="shared" si="19"/>
        <v>16.664999999999999</v>
      </c>
      <c r="BC9" s="7">
        <f t="shared" si="19"/>
        <v>17</v>
      </c>
      <c r="BD9" s="7">
        <f>+BD8+BD7+BD6</f>
        <v>18.11</v>
      </c>
      <c r="BE9" s="7">
        <f t="shared" ref="BE9:BG9" si="20">+BE8+BE7+BE6</f>
        <v>18.11</v>
      </c>
      <c r="BF9" s="7">
        <f t="shared" si="20"/>
        <v>24.984999999999999</v>
      </c>
      <c r="BG9" s="7">
        <f t="shared" si="20"/>
        <v>26.191000000000003</v>
      </c>
      <c r="BH9" s="7"/>
      <c r="BI9" s="7"/>
      <c r="BJ9" s="7"/>
      <c r="BS9" s="7">
        <f>+BS8+BS7+BS6</f>
        <v>78.205000000000013</v>
      </c>
      <c r="BT9" s="7">
        <f t="shared" ref="BT9:BY9" si="21">+BT8+BT7+BT6</f>
        <v>86.025500000000022</v>
      </c>
      <c r="BU9" s="7">
        <f t="shared" si="21"/>
        <v>94.62805000000003</v>
      </c>
      <c r="BV9" s="7">
        <f t="shared" si="21"/>
        <v>104.09085500000005</v>
      </c>
      <c r="BW9" s="7">
        <f t="shared" si="21"/>
        <v>114.49994050000006</v>
      </c>
      <c r="BX9" s="7">
        <f t="shared" si="21"/>
        <v>125.94993455000008</v>
      </c>
      <c r="BY9" s="7">
        <f t="shared" si="21"/>
        <v>138.54492800500009</v>
      </c>
      <c r="BZ9" s="7">
        <f t="shared" ref="BZ9" si="22">+BZ8+BZ7+BZ6</f>
        <v>152.39942080550011</v>
      </c>
      <c r="CA9" s="7">
        <f t="shared" ref="CA9" si="23">+CA8+CA7+CA6</f>
        <v>167.63936288605012</v>
      </c>
      <c r="CB9" s="7">
        <f t="shared" ref="CB9" si="24">+CB8+CB7+CB6</f>
        <v>184.40329917465513</v>
      </c>
      <c r="CC9" s="7">
        <f t="shared" ref="CC9" si="25">+CC8+CC7+CC6</f>
        <v>202.84362909212066</v>
      </c>
      <c r="CD9" s="7">
        <f t="shared" ref="CD9" si="26">+CD8+CD7+CD6</f>
        <v>223.12799200133273</v>
      </c>
    </row>
    <row r="10" spans="1:234" s="6" customFormat="1" x14ac:dyDescent="0.2">
      <c r="B10" s="7" t="s">
        <v>71</v>
      </c>
      <c r="C10" s="7">
        <f t="shared" ref="C10:BC10" si="27">+C5-C9</f>
        <v>-0.89999999999999991</v>
      </c>
      <c r="D10" s="7">
        <f t="shared" si="27"/>
        <v>-0.79999999999999993</v>
      </c>
      <c r="E10" s="7">
        <f t="shared" si="27"/>
        <v>-0.79999999999999993</v>
      </c>
      <c r="F10" s="7">
        <f t="shared" si="27"/>
        <v>-9.9999999999999978E-2</v>
      </c>
      <c r="G10" s="7">
        <f t="shared" si="27"/>
        <v>-1.2000000000000002</v>
      </c>
      <c r="H10" s="7">
        <f t="shared" si="27"/>
        <v>-1.2</v>
      </c>
      <c r="I10" s="7">
        <f t="shared" si="27"/>
        <v>-3.1999999999999997</v>
      </c>
      <c r="J10" s="7">
        <f t="shared" si="27"/>
        <v>-2.3000000000000003</v>
      </c>
      <c r="K10" s="7">
        <f t="shared" si="27"/>
        <v>-3.1</v>
      </c>
      <c r="L10" s="7">
        <f t="shared" si="27"/>
        <v>-5.6</v>
      </c>
      <c r="M10" s="7">
        <f t="shared" si="27"/>
        <v>-3.5999999999999996</v>
      </c>
      <c r="N10" s="7">
        <f t="shared" si="27"/>
        <v>-2.8000000000000003</v>
      </c>
      <c r="O10" s="7">
        <f t="shared" si="27"/>
        <v>-7.1</v>
      </c>
      <c r="P10" s="7">
        <f t="shared" si="27"/>
        <v>-5.1000000000000005</v>
      </c>
      <c r="Q10" s="7">
        <f t="shared" si="27"/>
        <v>-5.8000000000000007</v>
      </c>
      <c r="R10" s="7">
        <f t="shared" si="27"/>
        <v>2.0000000000000009</v>
      </c>
      <c r="S10" s="7">
        <f t="shared" si="27"/>
        <v>-6.1999999999999993</v>
      </c>
      <c r="T10" s="7">
        <f t="shared" si="27"/>
        <v>-6.1</v>
      </c>
      <c r="U10" s="7">
        <f t="shared" si="27"/>
        <v>-8.3000000000000007</v>
      </c>
      <c r="V10" s="7">
        <f t="shared" si="27"/>
        <v>5.0999999999999996</v>
      </c>
      <c r="W10" s="7">
        <f t="shared" si="27"/>
        <v>-8.3000000000000007</v>
      </c>
      <c r="X10" s="7">
        <f t="shared" si="27"/>
        <v>-9.9</v>
      </c>
      <c r="Y10" s="7">
        <f t="shared" si="27"/>
        <v>-3.8</v>
      </c>
      <c r="Z10" s="7">
        <f t="shared" si="27"/>
        <v>4.7</v>
      </c>
      <c r="AA10" s="7">
        <f t="shared" si="27"/>
        <v>-6</v>
      </c>
      <c r="AB10" s="7">
        <f t="shared" si="27"/>
        <v>-8.3000000000000007</v>
      </c>
      <c r="AC10" s="7">
        <f t="shared" si="27"/>
        <v>-14.2</v>
      </c>
      <c r="AD10" s="7">
        <f t="shared" si="27"/>
        <v>-8.8000000000000007</v>
      </c>
      <c r="AE10" s="7">
        <f t="shared" si="27"/>
        <v>-16.399999999999999</v>
      </c>
      <c r="AF10" s="7">
        <f t="shared" si="27"/>
        <v>-13.2</v>
      </c>
      <c r="AG10" s="7">
        <f t="shared" si="27"/>
        <v>-13.5</v>
      </c>
      <c r="AH10" s="7">
        <f t="shared" si="27"/>
        <v>-16.3</v>
      </c>
      <c r="AI10" s="7">
        <f t="shared" si="27"/>
        <v>-13</v>
      </c>
      <c r="AJ10" s="7">
        <f t="shared" si="27"/>
        <v>-11.1</v>
      </c>
      <c r="AK10" s="7">
        <f t="shared" si="27"/>
        <v>-8.8999999999999986</v>
      </c>
      <c r="AL10" s="7">
        <f t="shared" si="27"/>
        <v>-7.7</v>
      </c>
      <c r="AM10" s="7">
        <f t="shared" si="27"/>
        <v>-16.5</v>
      </c>
      <c r="AN10" s="7">
        <f t="shared" si="27"/>
        <v>-3.4999999999999991</v>
      </c>
      <c r="AO10" s="7">
        <f t="shared" si="27"/>
        <v>-1.6999999999999993</v>
      </c>
      <c r="AP10" s="7">
        <f t="shared" si="27"/>
        <v>-42.4</v>
      </c>
      <c r="AQ10" s="7">
        <f t="shared" si="27"/>
        <v>-15</v>
      </c>
      <c r="AR10" s="7">
        <f t="shared" si="27"/>
        <v>-15.399999999999999</v>
      </c>
      <c r="AS10" s="7">
        <f t="shared" si="27"/>
        <v>-14.3</v>
      </c>
      <c r="AT10" s="7">
        <f t="shared" si="27"/>
        <v>-13</v>
      </c>
      <c r="AU10" s="7">
        <f t="shared" si="27"/>
        <v>-14.600000000000001</v>
      </c>
      <c r="AV10" s="7">
        <f t="shared" si="27"/>
        <v>-9</v>
      </c>
      <c r="AW10" s="7">
        <f t="shared" si="27"/>
        <v>-9.1000000000000014</v>
      </c>
      <c r="AX10" s="7">
        <f t="shared" si="27"/>
        <v>-5.9000000000000021</v>
      </c>
      <c r="AY10" s="7">
        <f t="shared" si="27"/>
        <v>-0.69999999999999929</v>
      </c>
      <c r="AZ10" s="7">
        <f t="shared" si="27"/>
        <v>-0.28399999999999537</v>
      </c>
      <c r="BA10" s="7">
        <f t="shared" si="27"/>
        <v>8.8999999999999968</v>
      </c>
      <c r="BB10" s="7">
        <f t="shared" si="27"/>
        <v>14.435000000000009</v>
      </c>
      <c r="BC10" s="7">
        <f t="shared" si="27"/>
        <v>22.100000000000009</v>
      </c>
      <c r="BD10" s="7">
        <f>+BD5-BD9</f>
        <v>39.39</v>
      </c>
      <c r="BE10" s="7">
        <f t="shared" ref="BE10:BG10" si="28">+BE5-BE9</f>
        <v>44.722000000000001</v>
      </c>
      <c r="BF10" s="7">
        <f t="shared" si="28"/>
        <v>38.348000000000006</v>
      </c>
      <c r="BG10" s="7">
        <f t="shared" si="28"/>
        <v>34.904200000000003</v>
      </c>
      <c r="BH10" s="7"/>
      <c r="BI10" s="7"/>
      <c r="BJ10" s="7"/>
      <c r="BS10" s="7">
        <f>+BS5-BS9</f>
        <v>144.56000000000003</v>
      </c>
      <c r="BT10" s="7">
        <f t="shared" ref="BT10:BY10" si="29">+BT5-BT9</f>
        <v>254.07988799999993</v>
      </c>
      <c r="BU10" s="7">
        <f t="shared" si="29"/>
        <v>362.75505800000002</v>
      </c>
      <c r="BV10" s="7">
        <f t="shared" si="29"/>
        <v>463.06419892000008</v>
      </c>
      <c r="BW10" s="7">
        <f t="shared" si="29"/>
        <v>577.06331879599998</v>
      </c>
      <c r="BX10" s="7">
        <f t="shared" si="29"/>
        <v>681.97158742119996</v>
      </c>
      <c r="BY10" s="7">
        <f t="shared" si="29"/>
        <v>805.08216210979981</v>
      </c>
      <c r="BZ10" s="7">
        <f t="shared" ref="BZ10" si="30">+BZ5-BZ9</f>
        <v>932.77173282651984</v>
      </c>
      <c r="CA10" s="7">
        <f t="shared" ref="CA10" si="31">+CA5-CA9</f>
        <v>1026.0489061091719</v>
      </c>
      <c r="CB10" s="7">
        <f t="shared" ref="CB10" si="32">+CB5-CB9</f>
        <v>1128.6537967200891</v>
      </c>
      <c r="CC10" s="7">
        <f t="shared" ref="CC10" si="33">+CC5-CC9</f>
        <v>1175.8663215973609</v>
      </c>
      <c r="CD10" s="7">
        <f t="shared" ref="CD10" si="34">+CD5-CD9</f>
        <v>1224.5174562226227</v>
      </c>
    </row>
    <row r="11" spans="1:234" s="6" customFormat="1" x14ac:dyDescent="0.2">
      <c r="B11" s="7" t="s">
        <v>72</v>
      </c>
      <c r="C11" s="7">
        <v>-0.3</v>
      </c>
      <c r="D11" s="7">
        <v>-0.2</v>
      </c>
      <c r="E11" s="7">
        <v>-0.2</v>
      </c>
      <c r="F11" s="7">
        <v>-0.8</v>
      </c>
      <c r="G11" s="7">
        <v>0</v>
      </c>
      <c r="H11" s="7">
        <v>0</v>
      </c>
      <c r="I11" s="7">
        <v>0</v>
      </c>
      <c r="J11" s="7">
        <v>0</v>
      </c>
      <c r="K11" s="7">
        <v>-0.1</v>
      </c>
      <c r="L11" s="7">
        <v>-0.1</v>
      </c>
      <c r="M11" s="7">
        <v>-0.2</v>
      </c>
      <c r="N11" s="7">
        <v>-0.2</v>
      </c>
      <c r="O11" s="7">
        <v>-0.2</v>
      </c>
      <c r="P11" s="7">
        <v>-0.4</v>
      </c>
      <c r="Q11" s="7">
        <v>-0.3</v>
      </c>
      <c r="R11" s="7">
        <v>-0.4</v>
      </c>
      <c r="S11" s="7">
        <v>-0.4</v>
      </c>
      <c r="T11" s="7">
        <v>-1.2</v>
      </c>
      <c r="U11" s="7">
        <v>-0.4</v>
      </c>
      <c r="V11" s="7">
        <v>-0.5</v>
      </c>
      <c r="W11" s="7">
        <v>-0.5</v>
      </c>
      <c r="X11" s="7">
        <v>-0.5</v>
      </c>
      <c r="Y11" s="7">
        <v>-0.6</v>
      </c>
      <c r="Z11" s="7">
        <v>-0.6</v>
      </c>
      <c r="AA11" s="7">
        <v>-0.6</v>
      </c>
      <c r="AB11" s="7">
        <v>-0.6</v>
      </c>
      <c r="AC11" s="7">
        <v>-0.8</v>
      </c>
      <c r="AD11" s="7">
        <v>-2.4</v>
      </c>
      <c r="AE11" s="7">
        <v>-1.3</v>
      </c>
      <c r="AF11" s="7">
        <v>-1.3</v>
      </c>
      <c r="AG11" s="7">
        <v>-1.3</v>
      </c>
      <c r="AH11" s="7">
        <v>-1.5</v>
      </c>
      <c r="AI11" s="7">
        <v>0.1</v>
      </c>
      <c r="AJ11" s="7">
        <v>-1.9</v>
      </c>
      <c r="AK11" s="7">
        <v>-2.4</v>
      </c>
      <c r="AL11" s="7">
        <v>-2.7</v>
      </c>
      <c r="AM11" s="7">
        <v>-2.5</v>
      </c>
      <c r="AN11" s="7">
        <v>-3.1</v>
      </c>
      <c r="AO11" s="7">
        <v>-3.1</v>
      </c>
      <c r="AP11" s="7">
        <v>-2.2000000000000002</v>
      </c>
      <c r="AQ11" s="7">
        <v>-3.2</v>
      </c>
      <c r="AR11" s="7">
        <v>-3.3</v>
      </c>
      <c r="AS11" s="7">
        <v>-3.3</v>
      </c>
      <c r="AT11" s="7">
        <v>-3.5</v>
      </c>
      <c r="AU11" s="7">
        <v>-10.199999999999999</v>
      </c>
      <c r="AV11" s="7">
        <v>-4.5999999999999996</v>
      </c>
      <c r="AW11" s="7">
        <v>-5.6</v>
      </c>
      <c r="AX11" s="7">
        <v>-6.2</v>
      </c>
      <c r="AY11" s="7">
        <v>-6</v>
      </c>
      <c r="AZ11" s="7">
        <v>-5.9</v>
      </c>
      <c r="BA11" s="7">
        <v>-6.1</v>
      </c>
      <c r="BB11" s="7">
        <v>-31.9</v>
      </c>
      <c r="BC11" s="7">
        <v>-3.4</v>
      </c>
      <c r="BD11" s="7">
        <v>-3.4</v>
      </c>
      <c r="BF11" s="6">
        <f>-2.879+0.598</f>
        <v>-2.2810000000000001</v>
      </c>
      <c r="BG11" s="6">
        <v>-1.431</v>
      </c>
      <c r="BT11" s="6">
        <f t="shared" ref="BT11:CD11" si="35">+BS21*$CD$23</f>
        <v>0</v>
      </c>
      <c r="BU11" s="6">
        <f t="shared" si="35"/>
        <v>9.5279957999999976</v>
      </c>
      <c r="BV11" s="6">
        <f t="shared" si="35"/>
        <v>23.488610317499997</v>
      </c>
      <c r="BW11" s="6">
        <f t="shared" si="35"/>
        <v>41.734340663906252</v>
      </c>
      <c r="BX11" s="6">
        <f t="shared" si="35"/>
        <v>64.939252893652721</v>
      </c>
      <c r="BY11" s="6">
        <f t="shared" si="35"/>
        <v>92.948409405459699</v>
      </c>
      <c r="BZ11" s="6">
        <f t="shared" si="35"/>
        <v>126.62455583728193</v>
      </c>
      <c r="CA11" s="6">
        <f t="shared" si="35"/>
        <v>166.35191666217449</v>
      </c>
      <c r="CB11" s="6">
        <f t="shared" si="35"/>
        <v>211.06694751609996</v>
      </c>
      <c r="CC11" s="6">
        <f t="shared" si="35"/>
        <v>261.30647542495706</v>
      </c>
      <c r="CD11" s="6">
        <f t="shared" si="35"/>
        <v>315.20045531329401</v>
      </c>
    </row>
    <row r="12" spans="1:234" s="6" customFormat="1" x14ac:dyDescent="0.2">
      <c r="B12" s="7" t="s">
        <v>73</v>
      </c>
      <c r="C12" s="7">
        <v>-1.9</v>
      </c>
      <c r="D12" s="7">
        <v>-2.4</v>
      </c>
      <c r="E12" s="7">
        <v>-1</v>
      </c>
      <c r="F12" s="7">
        <v>-1</v>
      </c>
      <c r="G12" s="7">
        <v>-1.2</v>
      </c>
      <c r="H12" s="7">
        <v>-1.2</v>
      </c>
      <c r="I12" s="7">
        <v>-3.2</v>
      </c>
      <c r="J12" s="7">
        <v>-2.2999999999999998</v>
      </c>
      <c r="K12" s="7">
        <v>-3.2</v>
      </c>
      <c r="L12" s="7">
        <v>-5.6</v>
      </c>
      <c r="M12" s="7">
        <v>-3.8</v>
      </c>
      <c r="N12" s="7">
        <v>-2.9</v>
      </c>
      <c r="O12" s="7">
        <v>-7.4</v>
      </c>
      <c r="P12" s="7">
        <v>-5.4</v>
      </c>
      <c r="Q12" s="7">
        <v>-6.1</v>
      </c>
      <c r="R12" s="7">
        <v>1.6</v>
      </c>
      <c r="S12" s="7">
        <v>-6.6</v>
      </c>
      <c r="T12" s="7">
        <v>-7.3</v>
      </c>
      <c r="U12" s="7">
        <v>-8.6999999999999993</v>
      </c>
      <c r="V12" s="7">
        <v>4.5999999999999996</v>
      </c>
      <c r="W12" s="7">
        <v>-8.8000000000000007</v>
      </c>
      <c r="X12" s="7">
        <v>-10.5</v>
      </c>
      <c r="Y12" s="7">
        <v>-4.3</v>
      </c>
      <c r="Z12" s="7">
        <v>4.0999999999999996</v>
      </c>
      <c r="AA12" s="7">
        <v>-6.5</v>
      </c>
      <c r="AB12" s="7">
        <v>-9</v>
      </c>
      <c r="AC12" s="7">
        <v>-15.2</v>
      </c>
      <c r="AD12" s="7">
        <v>-13</v>
      </c>
      <c r="AE12" s="7">
        <v>-17.8</v>
      </c>
      <c r="AF12" s="7">
        <v>-14.7</v>
      </c>
      <c r="AG12" s="7">
        <v>-15.1</v>
      </c>
      <c r="AH12" s="7">
        <v>-18</v>
      </c>
      <c r="AI12" s="7">
        <v>-13.1</v>
      </c>
      <c r="AJ12" s="7">
        <v>-13.2</v>
      </c>
      <c r="AK12" s="7">
        <v>-11.4</v>
      </c>
      <c r="AL12" s="7">
        <v>-10.6</v>
      </c>
      <c r="AM12" s="7">
        <v>-19.2</v>
      </c>
      <c r="AN12" s="7">
        <v>-20.2</v>
      </c>
      <c r="AO12" s="7">
        <v>-41</v>
      </c>
      <c r="AP12" s="7">
        <v>4.7</v>
      </c>
      <c r="AQ12" s="7">
        <v>-18.399999999999999</v>
      </c>
      <c r="AR12" s="7">
        <v>-18.899999999999999</v>
      </c>
      <c r="AS12" s="7">
        <v>-17.7</v>
      </c>
      <c r="AT12" s="7">
        <v>-16.600000000000001</v>
      </c>
      <c r="AU12" s="7">
        <v>-25</v>
      </c>
      <c r="AV12" s="7">
        <v>-13.8</v>
      </c>
      <c r="AW12" s="7">
        <v>-14.9</v>
      </c>
      <c r="AX12" s="7">
        <v>-12.2</v>
      </c>
      <c r="AY12" s="7">
        <v>-6.8</v>
      </c>
      <c r="AZ12" s="7">
        <f t="shared" ref="AZ12:BC12" si="36">+AZ10+AZ11</f>
        <v>-6.1839999999999957</v>
      </c>
      <c r="BA12" s="7">
        <f t="shared" si="36"/>
        <v>2.7999999999999972</v>
      </c>
      <c r="BB12" s="7">
        <f t="shared" si="36"/>
        <v>-17.464999999999989</v>
      </c>
      <c r="BC12" s="7">
        <f t="shared" si="36"/>
        <v>18.70000000000001</v>
      </c>
      <c r="BD12" s="7">
        <f>+BD10+BD11</f>
        <v>35.99</v>
      </c>
      <c r="BE12" s="7">
        <f>+BE10+BE11</f>
        <v>44.722000000000001</v>
      </c>
      <c r="BF12" s="7">
        <f>+BF10+BF11</f>
        <v>36.067000000000007</v>
      </c>
      <c r="BG12" s="7">
        <f>+BG10+BG11</f>
        <v>33.473200000000006</v>
      </c>
      <c r="BH12" s="7"/>
      <c r="BI12" s="7"/>
      <c r="BJ12" s="7"/>
      <c r="BS12" s="6">
        <f>+BS10+BS11</f>
        <v>144.56000000000003</v>
      </c>
      <c r="BT12" s="6">
        <f t="shared" ref="BT12:BY12" si="37">+BT10+BT11</f>
        <v>254.07988799999993</v>
      </c>
      <c r="BU12" s="6">
        <f t="shared" si="37"/>
        <v>372.2830538</v>
      </c>
      <c r="BV12" s="6">
        <f t="shared" si="37"/>
        <v>486.55280923750007</v>
      </c>
      <c r="BW12" s="6">
        <f t="shared" si="37"/>
        <v>618.79765945990619</v>
      </c>
      <c r="BX12" s="6">
        <f t="shared" si="37"/>
        <v>746.91084031485263</v>
      </c>
      <c r="BY12" s="6">
        <f t="shared" si="37"/>
        <v>898.03057151525945</v>
      </c>
      <c r="BZ12" s="6">
        <f t="shared" ref="BZ12" si="38">+BZ10+BZ11</f>
        <v>1059.3962886638017</v>
      </c>
      <c r="CA12" s="6">
        <f t="shared" ref="CA12" si="39">+CA10+CA11</f>
        <v>1192.4008227713464</v>
      </c>
      <c r="CB12" s="6">
        <f t="shared" ref="CB12" si="40">+CB10+CB11</f>
        <v>1339.7207442361891</v>
      </c>
      <c r="CC12" s="6">
        <f t="shared" ref="CC12" si="41">+CC10+CC11</f>
        <v>1437.1727970223178</v>
      </c>
      <c r="CD12" s="6">
        <f t="shared" ref="CD12" si="42">+CD10+CD11</f>
        <v>1539.7179115359168</v>
      </c>
    </row>
    <row r="13" spans="1:234" s="6" customFormat="1" x14ac:dyDescent="0.2">
      <c r="B13" s="7" t="s">
        <v>74</v>
      </c>
      <c r="C13" s="7">
        <v>-0.3</v>
      </c>
      <c r="D13" s="7">
        <v>0</v>
      </c>
      <c r="E13" s="7">
        <v>0</v>
      </c>
      <c r="F13" s="7">
        <v>0</v>
      </c>
      <c r="G13" s="7">
        <v>-0.6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0.6</v>
      </c>
      <c r="BD13" s="7">
        <v>3.8</v>
      </c>
      <c r="BF13" s="6">
        <v>0</v>
      </c>
      <c r="BG13" s="6">
        <v>6.5460000000000003</v>
      </c>
      <c r="BT13" s="6">
        <f>+BT12*0.25</f>
        <v>63.519971999999981</v>
      </c>
      <c r="BU13" s="6">
        <f t="shared" ref="BU13:BY13" si="43">+BU12*0.25</f>
        <v>93.070763450000001</v>
      </c>
      <c r="BV13" s="6">
        <f t="shared" si="43"/>
        <v>121.63820230937502</v>
      </c>
      <c r="BW13" s="6">
        <f t="shared" si="43"/>
        <v>154.69941486497655</v>
      </c>
      <c r="BX13" s="6">
        <f t="shared" si="43"/>
        <v>186.72771007871316</v>
      </c>
      <c r="BY13" s="6">
        <f t="shared" si="43"/>
        <v>224.50764287881486</v>
      </c>
      <c r="BZ13" s="6">
        <f t="shared" ref="BZ13" si="44">+BZ12*0.25</f>
        <v>264.84907216595042</v>
      </c>
      <c r="CA13" s="6">
        <f t="shared" ref="CA13" si="45">+CA12*0.25</f>
        <v>298.1002056928366</v>
      </c>
      <c r="CB13" s="6">
        <f t="shared" ref="CB13" si="46">+CB12*0.25</f>
        <v>334.93018605904729</v>
      </c>
      <c r="CC13" s="6">
        <f t="shared" ref="CC13" si="47">+CC12*0.25</f>
        <v>359.29319925557945</v>
      </c>
      <c r="CD13" s="6">
        <f t="shared" ref="CD13" si="48">+CD12*0.25</f>
        <v>384.92947788397919</v>
      </c>
    </row>
    <row r="14" spans="1:234" s="6" customFormat="1" x14ac:dyDescent="0.2">
      <c r="B14" s="7" t="s">
        <v>57</v>
      </c>
      <c r="C14" s="7">
        <f t="shared" ref="C14:BC14" si="49">+C12-C13</f>
        <v>-1.5999999999999999</v>
      </c>
      <c r="D14" s="7">
        <f t="shared" si="49"/>
        <v>-2.4</v>
      </c>
      <c r="E14" s="7">
        <f t="shared" si="49"/>
        <v>-1</v>
      </c>
      <c r="F14" s="7">
        <f t="shared" si="49"/>
        <v>-1</v>
      </c>
      <c r="G14" s="7">
        <f t="shared" si="49"/>
        <v>-0.6</v>
      </c>
      <c r="H14" s="7">
        <f t="shared" si="49"/>
        <v>-1.2</v>
      </c>
      <c r="I14" s="7">
        <f t="shared" si="49"/>
        <v>-3.2</v>
      </c>
      <c r="J14" s="7">
        <f t="shared" si="49"/>
        <v>-2.2999999999999998</v>
      </c>
      <c r="K14" s="7">
        <f t="shared" si="49"/>
        <v>-3.2</v>
      </c>
      <c r="L14" s="7">
        <f t="shared" si="49"/>
        <v>-5.6</v>
      </c>
      <c r="M14" s="7">
        <f t="shared" si="49"/>
        <v>-3.8</v>
      </c>
      <c r="N14" s="7">
        <f t="shared" si="49"/>
        <v>-2.9</v>
      </c>
      <c r="O14" s="7">
        <f t="shared" si="49"/>
        <v>-7.4</v>
      </c>
      <c r="P14" s="7">
        <f t="shared" si="49"/>
        <v>-5.4</v>
      </c>
      <c r="Q14" s="7">
        <f t="shared" si="49"/>
        <v>-6.1</v>
      </c>
      <c r="R14" s="7">
        <f t="shared" si="49"/>
        <v>1.6</v>
      </c>
      <c r="S14" s="7">
        <f t="shared" si="49"/>
        <v>-6.6</v>
      </c>
      <c r="T14" s="7">
        <f t="shared" si="49"/>
        <v>-7.3</v>
      </c>
      <c r="U14" s="7">
        <f t="shared" si="49"/>
        <v>-8.6999999999999993</v>
      </c>
      <c r="V14" s="7">
        <f t="shared" si="49"/>
        <v>4.5999999999999996</v>
      </c>
      <c r="W14" s="7">
        <f t="shared" si="49"/>
        <v>-8.8000000000000007</v>
      </c>
      <c r="X14" s="7">
        <f t="shared" si="49"/>
        <v>-10.5</v>
      </c>
      <c r="Y14" s="7">
        <f t="shared" si="49"/>
        <v>-4.3</v>
      </c>
      <c r="Z14" s="7">
        <f t="shared" si="49"/>
        <v>4.0999999999999996</v>
      </c>
      <c r="AA14" s="7">
        <f t="shared" si="49"/>
        <v>-6.5</v>
      </c>
      <c r="AB14" s="7">
        <f t="shared" si="49"/>
        <v>-9</v>
      </c>
      <c r="AC14" s="7">
        <f t="shared" si="49"/>
        <v>-15.2</v>
      </c>
      <c r="AD14" s="7">
        <f t="shared" si="49"/>
        <v>-13</v>
      </c>
      <c r="AE14" s="7">
        <f t="shared" si="49"/>
        <v>-17.8</v>
      </c>
      <c r="AF14" s="7">
        <f t="shared" si="49"/>
        <v>-14.7</v>
      </c>
      <c r="AG14" s="7">
        <f t="shared" si="49"/>
        <v>-15.1</v>
      </c>
      <c r="AH14" s="7">
        <f t="shared" si="49"/>
        <v>-18</v>
      </c>
      <c r="AI14" s="7">
        <f t="shared" si="49"/>
        <v>-13.1</v>
      </c>
      <c r="AJ14" s="7">
        <f t="shared" si="49"/>
        <v>-13.2</v>
      </c>
      <c r="AK14" s="7">
        <f t="shared" si="49"/>
        <v>-11.4</v>
      </c>
      <c r="AL14" s="7">
        <f t="shared" si="49"/>
        <v>-10.6</v>
      </c>
      <c r="AM14" s="7">
        <f t="shared" si="49"/>
        <v>-19.2</v>
      </c>
      <c r="AN14" s="7">
        <f t="shared" si="49"/>
        <v>-20.2</v>
      </c>
      <c r="AO14" s="7">
        <f t="shared" si="49"/>
        <v>-41</v>
      </c>
      <c r="AP14" s="7">
        <f t="shared" si="49"/>
        <v>4.7</v>
      </c>
      <c r="AQ14" s="7">
        <f t="shared" si="49"/>
        <v>-18.399999999999999</v>
      </c>
      <c r="AR14" s="7">
        <f t="shared" si="49"/>
        <v>-18.899999999999999</v>
      </c>
      <c r="AS14" s="7">
        <f t="shared" si="49"/>
        <v>-17.7</v>
      </c>
      <c r="AT14" s="7">
        <f t="shared" si="49"/>
        <v>-16.600000000000001</v>
      </c>
      <c r="AU14" s="7">
        <f t="shared" si="49"/>
        <v>-25</v>
      </c>
      <c r="AV14" s="7">
        <f t="shared" si="49"/>
        <v>-13.8</v>
      </c>
      <c r="AW14" s="7">
        <f t="shared" ref="AW14" si="50">+AW12-AW13</f>
        <v>-14.9</v>
      </c>
      <c r="AX14" s="7">
        <f t="shared" ref="AX14" si="51">+AX12-AX13</f>
        <v>-12.2</v>
      </c>
      <c r="AY14" s="7">
        <f t="shared" ref="AY14" si="52">+AY12-AY13</f>
        <v>-6.8</v>
      </c>
      <c r="AZ14" s="7">
        <f t="shared" ref="AZ14" si="53">+AZ12-AZ13</f>
        <v>-6.1839999999999957</v>
      </c>
      <c r="BA14" s="7">
        <f>+BA12-BA13</f>
        <v>2.7999999999999972</v>
      </c>
      <c r="BB14" s="7">
        <f t="shared" ref="BB14" si="54">+BB12-BB13</f>
        <v>-17.464999999999989</v>
      </c>
      <c r="BC14" s="7">
        <f t="shared" si="49"/>
        <v>18.100000000000009</v>
      </c>
      <c r="BD14" s="7">
        <f>+BD12-BD13</f>
        <v>32.190000000000005</v>
      </c>
      <c r="BE14" s="7">
        <f>+BE12-BE13</f>
        <v>44.722000000000001</v>
      </c>
      <c r="BF14" s="7">
        <f>+BF12-BF13</f>
        <v>36.067000000000007</v>
      </c>
      <c r="BG14" s="7">
        <f>+BG12-BG13</f>
        <v>26.927200000000006</v>
      </c>
      <c r="BH14" s="7"/>
      <c r="BI14" s="7"/>
      <c r="BJ14" s="7"/>
      <c r="BT14" s="6">
        <f>+BT12-BT13</f>
        <v>190.55991599999993</v>
      </c>
      <c r="BU14" s="6">
        <f t="shared" ref="BU14:BY14" si="55">+BU12-BU13</f>
        <v>279.21229034999999</v>
      </c>
      <c r="BV14" s="6">
        <f t="shared" si="55"/>
        <v>364.91460692812507</v>
      </c>
      <c r="BW14" s="6">
        <f t="shared" si="55"/>
        <v>464.09824459492961</v>
      </c>
      <c r="BX14" s="6">
        <f t="shared" si="55"/>
        <v>560.1831302361395</v>
      </c>
      <c r="BY14" s="6">
        <f t="shared" si="55"/>
        <v>673.52292863644459</v>
      </c>
      <c r="BZ14" s="6">
        <f t="shared" ref="BZ14" si="56">+BZ12-BZ13</f>
        <v>794.5472164978512</v>
      </c>
      <c r="CA14" s="6">
        <f t="shared" ref="CA14" si="57">+CA12-CA13</f>
        <v>894.30061707850973</v>
      </c>
      <c r="CB14" s="6">
        <f t="shared" ref="CB14" si="58">+CB12-CB13</f>
        <v>1004.7905581771419</v>
      </c>
      <c r="CC14" s="6">
        <f t="shared" ref="CC14" si="59">+CC12-CC13</f>
        <v>1077.8795977667382</v>
      </c>
      <c r="CD14" s="6">
        <f t="shared" ref="CD14" si="60">+CD12-CD13</f>
        <v>1154.7884336519376</v>
      </c>
      <c r="CE14" s="6">
        <f t="shared" ref="CE14:DJ14" si="61">+CD14*(1+$CD$25)</f>
        <v>1166.336317988457</v>
      </c>
      <c r="CF14" s="6">
        <f t="shared" si="61"/>
        <v>1177.9996811683416</v>
      </c>
      <c r="CG14" s="6">
        <f t="shared" si="61"/>
        <v>1189.7796779800251</v>
      </c>
      <c r="CH14" s="6">
        <f t="shared" si="61"/>
        <v>1201.6774747598254</v>
      </c>
      <c r="CI14" s="6">
        <f t="shared" si="61"/>
        <v>1213.6942495074236</v>
      </c>
      <c r="CJ14" s="6">
        <f t="shared" si="61"/>
        <v>1225.8311920024978</v>
      </c>
      <c r="CK14" s="6">
        <f t="shared" si="61"/>
        <v>1238.0895039225227</v>
      </c>
      <c r="CL14" s="6">
        <f t="shared" si="61"/>
        <v>1250.4703989617478</v>
      </c>
      <c r="CM14" s="6">
        <f t="shared" si="61"/>
        <v>1262.9751029513652</v>
      </c>
      <c r="CN14" s="6">
        <f t="shared" si="61"/>
        <v>1275.6048539808789</v>
      </c>
      <c r="CO14" s="6">
        <f t="shared" si="61"/>
        <v>1288.3609025206877</v>
      </c>
      <c r="CP14" s="6">
        <f t="shared" si="61"/>
        <v>1301.2445115458945</v>
      </c>
      <c r="CQ14" s="6">
        <f t="shared" si="61"/>
        <v>1314.2569566613536</v>
      </c>
      <c r="CR14" s="6">
        <f t="shared" si="61"/>
        <v>1327.399526227967</v>
      </c>
      <c r="CS14" s="6">
        <f t="shared" si="61"/>
        <v>1340.6735214902467</v>
      </c>
      <c r="CT14" s="6">
        <f t="shared" si="61"/>
        <v>1354.0802567051492</v>
      </c>
      <c r="CU14" s="6">
        <f t="shared" si="61"/>
        <v>1367.6210592722007</v>
      </c>
      <c r="CV14" s="6">
        <f t="shared" si="61"/>
        <v>1381.2972698649228</v>
      </c>
      <c r="CW14" s="6">
        <f t="shared" si="61"/>
        <v>1395.110242563572</v>
      </c>
      <c r="CX14" s="6">
        <f t="shared" si="61"/>
        <v>1409.0613449892078</v>
      </c>
      <c r="CY14" s="6">
        <f t="shared" si="61"/>
        <v>1423.1519584390999</v>
      </c>
      <c r="CZ14" s="6">
        <f t="shared" si="61"/>
        <v>1437.3834780234909</v>
      </c>
      <c r="DA14" s="6">
        <f t="shared" si="61"/>
        <v>1451.7573128037259</v>
      </c>
      <c r="DB14" s="6">
        <f t="shared" si="61"/>
        <v>1466.2748859317633</v>
      </c>
      <c r="DC14" s="6">
        <f t="shared" si="61"/>
        <v>1480.9376347910809</v>
      </c>
      <c r="DD14" s="6">
        <f t="shared" si="61"/>
        <v>1495.7470111389916</v>
      </c>
      <c r="DE14" s="6">
        <f t="shared" si="61"/>
        <v>1510.7044812503816</v>
      </c>
      <c r="DF14" s="6">
        <f t="shared" si="61"/>
        <v>1525.8115260628854</v>
      </c>
      <c r="DG14" s="6">
        <f t="shared" si="61"/>
        <v>1541.0696413235141</v>
      </c>
      <c r="DH14" s="6">
        <f t="shared" si="61"/>
        <v>1556.4803377367493</v>
      </c>
      <c r="DI14" s="6">
        <f t="shared" si="61"/>
        <v>1572.0451411141169</v>
      </c>
      <c r="DJ14" s="6">
        <f t="shared" si="61"/>
        <v>1587.7655925252579</v>
      </c>
      <c r="DK14" s="6">
        <f t="shared" ref="DK14:EP14" si="62">+DJ14*(1+$CD$25)</f>
        <v>1603.6432484505106</v>
      </c>
      <c r="DL14" s="6">
        <f t="shared" si="62"/>
        <v>1619.6796809350158</v>
      </c>
      <c r="DM14" s="6">
        <f t="shared" si="62"/>
        <v>1635.876477744366</v>
      </c>
      <c r="DN14" s="6">
        <f t="shared" si="62"/>
        <v>1652.2352425218096</v>
      </c>
      <c r="DO14" s="6">
        <f t="shared" si="62"/>
        <v>1668.7575949470277</v>
      </c>
      <c r="DP14" s="6">
        <f t="shared" si="62"/>
        <v>1685.445170896498</v>
      </c>
      <c r="DQ14" s="6">
        <f t="shared" si="62"/>
        <v>1702.2996226054629</v>
      </c>
      <c r="DR14" s="6">
        <f t="shared" si="62"/>
        <v>1719.3226188315175</v>
      </c>
      <c r="DS14" s="6">
        <f t="shared" si="62"/>
        <v>1736.5158450198328</v>
      </c>
      <c r="DT14" s="6">
        <f t="shared" si="62"/>
        <v>1753.8810034700311</v>
      </c>
      <c r="DU14" s="6">
        <f t="shared" si="62"/>
        <v>1771.4198135047316</v>
      </c>
      <c r="DV14" s="6">
        <f t="shared" si="62"/>
        <v>1789.1340116397789</v>
      </c>
      <c r="DW14" s="6">
        <f t="shared" si="62"/>
        <v>1807.0253517561766</v>
      </c>
      <c r="DX14" s="6">
        <f t="shared" si="62"/>
        <v>1825.0956052737383</v>
      </c>
      <c r="DY14" s="6">
        <f t="shared" si="62"/>
        <v>1843.3465613264757</v>
      </c>
      <c r="DZ14" s="6">
        <f t="shared" si="62"/>
        <v>1861.7800269397405</v>
      </c>
      <c r="EA14" s="6">
        <f t="shared" si="62"/>
        <v>1880.3978272091379</v>
      </c>
      <c r="EB14" s="6">
        <f t="shared" si="62"/>
        <v>1899.2018054812293</v>
      </c>
      <c r="EC14" s="6">
        <f t="shared" si="62"/>
        <v>1918.1938235360415</v>
      </c>
      <c r="ED14" s="6">
        <f t="shared" si="62"/>
        <v>1937.3757617714018</v>
      </c>
      <c r="EE14" s="6">
        <f t="shared" si="62"/>
        <v>1956.7495193891159</v>
      </c>
      <c r="EF14" s="6">
        <f t="shared" si="62"/>
        <v>1976.317014583007</v>
      </c>
      <c r="EG14" s="6">
        <f t="shared" si="62"/>
        <v>1996.0801847288371</v>
      </c>
      <c r="EH14" s="6">
        <f t="shared" si="62"/>
        <v>2016.0409865761255</v>
      </c>
      <c r="EI14" s="6">
        <f t="shared" si="62"/>
        <v>2036.2013964418868</v>
      </c>
      <c r="EJ14" s="6">
        <f t="shared" si="62"/>
        <v>2056.5634104063056</v>
      </c>
      <c r="EK14" s="6">
        <f t="shared" si="62"/>
        <v>2077.1290445103687</v>
      </c>
      <c r="EL14" s="6">
        <f t="shared" si="62"/>
        <v>2097.9003349554723</v>
      </c>
      <c r="EM14" s="6">
        <f t="shared" si="62"/>
        <v>2118.879338305027</v>
      </c>
      <c r="EN14" s="6">
        <f t="shared" si="62"/>
        <v>2140.0681316880773</v>
      </c>
      <c r="EO14" s="6">
        <f t="shared" si="62"/>
        <v>2161.4688130049581</v>
      </c>
      <c r="EP14" s="6">
        <f t="shared" si="62"/>
        <v>2183.0835011350077</v>
      </c>
      <c r="EQ14" s="6">
        <f t="shared" ref="EQ14:FV14" si="63">+EP14*(1+$CD$25)</f>
        <v>2204.914336146358</v>
      </c>
      <c r="ER14" s="6">
        <f t="shared" si="63"/>
        <v>2226.9634795078214</v>
      </c>
      <c r="ES14" s="6">
        <f t="shared" si="63"/>
        <v>2249.2331143028996</v>
      </c>
      <c r="ET14" s="6">
        <f t="shared" si="63"/>
        <v>2271.7254454459285</v>
      </c>
      <c r="EU14" s="6">
        <f t="shared" si="63"/>
        <v>2294.4426999003877</v>
      </c>
      <c r="EV14" s="6">
        <f t="shared" si="63"/>
        <v>2317.3871268993917</v>
      </c>
      <c r="EW14" s="6">
        <f t="shared" si="63"/>
        <v>2340.5609981683856</v>
      </c>
      <c r="EX14" s="6">
        <f t="shared" si="63"/>
        <v>2363.9666081500695</v>
      </c>
      <c r="EY14" s="6">
        <f t="shared" si="63"/>
        <v>2387.6062742315703</v>
      </c>
      <c r="EZ14" s="6">
        <f t="shared" si="63"/>
        <v>2411.482336973886</v>
      </c>
      <c r="FA14" s="6">
        <f t="shared" si="63"/>
        <v>2435.5971603436251</v>
      </c>
      <c r="FB14" s="6">
        <f t="shared" si="63"/>
        <v>2459.9531319470611</v>
      </c>
      <c r="FC14" s="6">
        <f t="shared" si="63"/>
        <v>2484.5526632665319</v>
      </c>
      <c r="FD14" s="6">
        <f t="shared" si="63"/>
        <v>2509.3981898991974</v>
      </c>
      <c r="FE14" s="6">
        <f t="shared" si="63"/>
        <v>2534.4921717981892</v>
      </c>
      <c r="FF14" s="6">
        <f t="shared" si="63"/>
        <v>2559.8370935161711</v>
      </c>
      <c r="FG14" s="6">
        <f t="shared" si="63"/>
        <v>2585.4354644513328</v>
      </c>
      <c r="FH14" s="6">
        <f t="shared" si="63"/>
        <v>2611.2898190958463</v>
      </c>
      <c r="FI14" s="6">
        <f t="shared" si="63"/>
        <v>2637.4027172868045</v>
      </c>
      <c r="FJ14" s="6">
        <f t="shared" si="63"/>
        <v>2663.7767444596725</v>
      </c>
      <c r="FK14" s="6">
        <f t="shared" si="63"/>
        <v>2690.4145119042691</v>
      </c>
      <c r="FL14" s="6">
        <f t="shared" si="63"/>
        <v>2717.318657023312</v>
      </c>
      <c r="FM14" s="6">
        <f t="shared" si="63"/>
        <v>2744.4918435935451</v>
      </c>
      <c r="FN14" s="6">
        <f t="shared" si="63"/>
        <v>2771.9367620294806</v>
      </c>
      <c r="FO14" s="6">
        <f t="shared" si="63"/>
        <v>2799.6561296497753</v>
      </c>
      <c r="FP14" s="6">
        <f t="shared" si="63"/>
        <v>2827.6526909462732</v>
      </c>
      <c r="FQ14" s="6">
        <f t="shared" si="63"/>
        <v>2855.9292178557362</v>
      </c>
      <c r="FR14" s="6">
        <f t="shared" si="63"/>
        <v>2884.4885100342935</v>
      </c>
      <c r="FS14" s="6">
        <f t="shared" si="63"/>
        <v>2913.3333951346367</v>
      </c>
      <c r="FT14" s="6">
        <f t="shared" si="63"/>
        <v>2942.4667290859829</v>
      </c>
      <c r="FU14" s="6">
        <f t="shared" si="63"/>
        <v>2971.8913963768427</v>
      </c>
      <c r="FV14" s="6">
        <f t="shared" si="63"/>
        <v>3001.6103103406112</v>
      </c>
      <c r="FW14" s="6">
        <f t="shared" ref="FW14:HB14" si="64">+FV14*(1+$CD$25)</f>
        <v>3031.6264134440175</v>
      </c>
      <c r="FX14" s="6">
        <f t="shared" si="64"/>
        <v>3061.9426775784577</v>
      </c>
      <c r="FY14" s="6">
        <f t="shared" si="64"/>
        <v>3092.5621043542424</v>
      </c>
      <c r="FZ14" s="6">
        <f t="shared" si="64"/>
        <v>3123.4877253977847</v>
      </c>
      <c r="GA14" s="6">
        <f t="shared" si="64"/>
        <v>3154.7226026517628</v>
      </c>
      <c r="GB14" s="6">
        <f t="shared" si="64"/>
        <v>3186.2698286782806</v>
      </c>
      <c r="GC14" s="6">
        <f t="shared" si="64"/>
        <v>3218.1325269650633</v>
      </c>
      <c r="GD14" s="6">
        <f t="shared" si="64"/>
        <v>3250.313852234714</v>
      </c>
      <c r="GE14" s="6">
        <f t="shared" si="64"/>
        <v>3282.8169907570609</v>
      </c>
      <c r="GF14" s="6">
        <f t="shared" si="64"/>
        <v>3315.6451606646315</v>
      </c>
      <c r="GG14" s="6">
        <f t="shared" si="64"/>
        <v>3348.8016122712779</v>
      </c>
      <c r="GH14" s="6">
        <f t="shared" si="64"/>
        <v>3382.2896283939908</v>
      </c>
      <c r="GI14" s="6">
        <f t="shared" si="64"/>
        <v>3416.1125246779307</v>
      </c>
      <c r="GJ14" s="6">
        <f t="shared" si="64"/>
        <v>3450.2736499247098</v>
      </c>
      <c r="GK14" s="6">
        <f t="shared" si="64"/>
        <v>3484.7763864239569</v>
      </c>
      <c r="GL14" s="6">
        <f t="shared" si="64"/>
        <v>3519.6241502881967</v>
      </c>
      <c r="GM14" s="6">
        <f t="shared" si="64"/>
        <v>3554.8203917910787</v>
      </c>
      <c r="GN14" s="6">
        <f t="shared" si="64"/>
        <v>3590.3685957089897</v>
      </c>
      <c r="GO14" s="6">
        <f t="shared" si="64"/>
        <v>3626.2722816660798</v>
      </c>
      <c r="GP14" s="6">
        <f t="shared" si="64"/>
        <v>3662.5350044827405</v>
      </c>
      <c r="GQ14" s="6">
        <f t="shared" si="64"/>
        <v>3699.160354527568</v>
      </c>
      <c r="GR14" s="6">
        <f t="shared" si="64"/>
        <v>3736.1519580728436</v>
      </c>
      <c r="GS14" s="6">
        <f t="shared" si="64"/>
        <v>3773.513477653572</v>
      </c>
      <c r="GT14" s="6">
        <f t="shared" si="64"/>
        <v>3811.2486124301076</v>
      </c>
      <c r="GU14" s="6">
        <f t="shared" si="64"/>
        <v>3849.3610985544087</v>
      </c>
      <c r="GV14" s="6">
        <f t="shared" si="64"/>
        <v>3887.8547095399526</v>
      </c>
      <c r="GW14" s="6">
        <f t="shared" si="64"/>
        <v>3926.7332566353521</v>
      </c>
      <c r="GX14" s="6">
        <f t="shared" si="64"/>
        <v>3966.0005892017057</v>
      </c>
      <c r="GY14" s="6">
        <f t="shared" si="64"/>
        <v>4005.6605950937228</v>
      </c>
      <c r="GZ14" s="6">
        <f t="shared" si="64"/>
        <v>4045.7172010446602</v>
      </c>
      <c r="HA14" s="6">
        <f t="shared" si="64"/>
        <v>4086.174373055107</v>
      </c>
      <c r="HB14" s="6">
        <f t="shared" si="64"/>
        <v>4127.0361167856581</v>
      </c>
      <c r="HC14" s="6">
        <f t="shared" ref="HC14:HZ14" si="65">+HB14*(1+$CD$25)</f>
        <v>4168.3064779535143</v>
      </c>
      <c r="HD14" s="6">
        <f t="shared" si="65"/>
        <v>4209.9895427330493</v>
      </c>
      <c r="HE14" s="6">
        <f t="shared" si="65"/>
        <v>4252.0894381603803</v>
      </c>
      <c r="HF14" s="6">
        <f t="shared" si="65"/>
        <v>4294.6103325419845</v>
      </c>
      <c r="HG14" s="6">
        <f t="shared" si="65"/>
        <v>4337.5564358674046</v>
      </c>
      <c r="HH14" s="6">
        <f t="shared" si="65"/>
        <v>4380.9320002260783</v>
      </c>
      <c r="HI14" s="6">
        <f t="shared" si="65"/>
        <v>4424.7413202283387</v>
      </c>
      <c r="HJ14" s="6">
        <f t="shared" si="65"/>
        <v>4468.9887334306222</v>
      </c>
      <c r="HK14" s="6">
        <f t="shared" si="65"/>
        <v>4513.6786207649284</v>
      </c>
      <c r="HL14" s="6">
        <f t="shared" si="65"/>
        <v>4558.8154069725779</v>
      </c>
      <c r="HM14" s="6">
        <f t="shared" si="65"/>
        <v>4604.4035610423034</v>
      </c>
      <c r="HN14" s="6">
        <f t="shared" si="65"/>
        <v>4650.4475966527261</v>
      </c>
      <c r="HO14" s="6">
        <f t="shared" si="65"/>
        <v>4696.9520726192532</v>
      </c>
      <c r="HP14" s="6">
        <f t="shared" si="65"/>
        <v>4743.9215933454461</v>
      </c>
      <c r="HQ14" s="6">
        <f t="shared" si="65"/>
        <v>4791.3608092789009</v>
      </c>
      <c r="HR14" s="6">
        <f t="shared" si="65"/>
        <v>4839.2744173716901</v>
      </c>
      <c r="HS14" s="6">
        <f t="shared" si="65"/>
        <v>4887.667161545407</v>
      </c>
      <c r="HT14" s="6">
        <f t="shared" si="65"/>
        <v>4936.5438331608611</v>
      </c>
      <c r="HU14" s="6">
        <f t="shared" si="65"/>
        <v>4985.90927149247</v>
      </c>
      <c r="HV14" s="6">
        <f t="shared" si="65"/>
        <v>5035.7683642073944</v>
      </c>
      <c r="HW14" s="6">
        <f t="shared" si="65"/>
        <v>5086.1260478494687</v>
      </c>
      <c r="HX14" s="6">
        <f t="shared" si="65"/>
        <v>5136.9873083279635</v>
      </c>
      <c r="HY14" s="6">
        <f t="shared" si="65"/>
        <v>5188.3571814112429</v>
      </c>
      <c r="HZ14" s="6">
        <f t="shared" si="65"/>
        <v>5240.2407532253555</v>
      </c>
    </row>
    <row r="15" spans="1:234" s="6" customFormat="1" x14ac:dyDescent="0.2">
      <c r="B15" s="7" t="s">
        <v>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10">
        <f>+AZ14/AZ16</f>
        <v>-2.7770369027922959E-2</v>
      </c>
      <c r="BA15" s="7"/>
      <c r="BB15" s="7"/>
      <c r="BC15" s="7"/>
      <c r="BD15" s="10">
        <f>+BD14/BD16</f>
        <v>0.13292476030762765</v>
      </c>
      <c r="BE15" s="10" t="e">
        <f>+BE14/BE16</f>
        <v>#DIV/0!</v>
      </c>
      <c r="BF15" s="10">
        <f>+BF14/BF16</f>
        <v>0.14667305379890105</v>
      </c>
      <c r="BG15" s="10">
        <f>+BG14/BG16</f>
        <v>0.1100523201363761</v>
      </c>
      <c r="BT15" s="21">
        <f>+BT14/BT16</f>
        <v>0.78689441312648789</v>
      </c>
      <c r="BU15" s="21">
        <f t="shared" ref="BU15:BY15" si="66">+BU14/BU16</f>
        <v>1.1529738045889244</v>
      </c>
      <c r="BV15" s="21">
        <f t="shared" si="66"/>
        <v>1.5068712848298595</v>
      </c>
      <c r="BW15" s="21">
        <f t="shared" si="66"/>
        <v>1.9164382703315239</v>
      </c>
      <c r="BX15" s="21">
        <f t="shared" si="66"/>
        <v>2.313209329450618</v>
      </c>
      <c r="BY15" s="21">
        <f t="shared" si="66"/>
        <v>2.7812324899251561</v>
      </c>
      <c r="BZ15" s="21">
        <f t="shared" ref="BZ15" si="67">+BZ14/BZ16</f>
        <v>3.2809878318132832</v>
      </c>
      <c r="CA15" s="21">
        <f t="shared" ref="CA15" si="68">+CA14/CA16</f>
        <v>3.6929075852166631</v>
      </c>
      <c r="CB15" s="21">
        <f t="shared" ref="CB15" si="69">+CB14/CB16</f>
        <v>4.1491626003437077</v>
      </c>
      <c r="CC15" s="21">
        <f t="shared" ref="CC15" si="70">+CC14/CC16</f>
        <v>4.4509750597584885</v>
      </c>
      <c r="CD15" s="21">
        <f t="shared" ref="CD15" si="71">+CD14/CD16</f>
        <v>4.7685609117491321</v>
      </c>
    </row>
    <row r="16" spans="1:234" s="6" customFormat="1" x14ac:dyDescent="0.2">
      <c r="B16" s="7" t="s">
        <v>1</v>
      </c>
      <c r="AZ16" s="6">
        <v>222.683393</v>
      </c>
      <c r="BB16" s="6">
        <v>225.96838700000001</v>
      </c>
      <c r="BD16" s="6">
        <v>242.16707199999999</v>
      </c>
      <c r="BF16" s="6">
        <v>245.900655</v>
      </c>
      <c r="BG16" s="6">
        <v>244.67635000000001</v>
      </c>
      <c r="BT16" s="6">
        <f>BD16</f>
        <v>242.16707199999999</v>
      </c>
      <c r="BU16" s="6">
        <f>+BT16</f>
        <v>242.16707199999999</v>
      </c>
      <c r="BV16" s="6">
        <f t="shared" ref="BV16:BY16" si="72">+BU16</f>
        <v>242.16707199999999</v>
      </c>
      <c r="BW16" s="6">
        <f t="shared" si="72"/>
        <v>242.16707199999999</v>
      </c>
      <c r="BX16" s="6">
        <f t="shared" si="72"/>
        <v>242.16707199999999</v>
      </c>
      <c r="BY16" s="6">
        <f t="shared" si="72"/>
        <v>242.16707199999999</v>
      </c>
      <c r="BZ16" s="6">
        <f t="shared" ref="BZ16:CD16" si="73">+BY16</f>
        <v>242.16707199999999</v>
      </c>
      <c r="CA16" s="6">
        <f t="shared" si="73"/>
        <v>242.16707199999999</v>
      </c>
      <c r="CB16" s="6">
        <f t="shared" si="73"/>
        <v>242.16707199999999</v>
      </c>
      <c r="CC16" s="6">
        <f t="shared" si="73"/>
        <v>242.16707199999999</v>
      </c>
      <c r="CD16" s="6">
        <f t="shared" si="73"/>
        <v>242.16707199999999</v>
      </c>
    </row>
    <row r="18" spans="2:82" x14ac:dyDescent="0.2">
      <c r="B18" t="s">
        <v>68</v>
      </c>
      <c r="AR18" s="5">
        <f t="shared" ref="AR18" si="74">+AR3/AN3-1</f>
        <v>1.2820512820512824</v>
      </c>
      <c r="AS18" s="5">
        <f t="shared" ref="AS18" si="75">+AS3/AO3-1</f>
        <v>1.0097087378640777</v>
      </c>
      <c r="AT18" s="5">
        <f t="shared" ref="AT18" si="76">+AT3/AP3-1</f>
        <v>0.88571428571428568</v>
      </c>
      <c r="AU18" s="5">
        <f t="shared" ref="AU18" si="77">+AU3/AQ3-1</f>
        <v>0.81875000000000009</v>
      </c>
      <c r="AV18" s="5">
        <f t="shared" ref="AV18:AY18" si="78">+AV3/AR3-1</f>
        <v>0.90449438202247179</v>
      </c>
      <c r="AW18" s="5">
        <f t="shared" si="78"/>
        <v>0.98550724637681175</v>
      </c>
      <c r="AX18" s="5">
        <f t="shared" si="78"/>
        <v>0.89393939393939403</v>
      </c>
      <c r="AY18" s="5">
        <f t="shared" si="78"/>
        <v>0.95532646048109959</v>
      </c>
      <c r="AZ18" s="5">
        <f t="shared" ref="AZ18:BG18" si="79">+AZ3/AV3-1</f>
        <v>0.77286135693215341</v>
      </c>
      <c r="BA18" s="5">
        <f t="shared" si="79"/>
        <v>0.63746958637469575</v>
      </c>
      <c r="BB18" s="5">
        <f t="shared" si="79"/>
        <v>0.4780000000000002</v>
      </c>
      <c r="BC18" s="5">
        <f t="shared" si="79"/>
        <v>0.4393673110720564</v>
      </c>
      <c r="BD18" s="5">
        <f>+BD3/AZ3-1</f>
        <v>0.78369384359400995</v>
      </c>
      <c r="BE18" s="5">
        <f t="shared" si="79"/>
        <v>0.66716196136701345</v>
      </c>
      <c r="BF18" s="5">
        <f t="shared" si="79"/>
        <v>0.59064952638700952</v>
      </c>
      <c r="BG18" s="5">
        <f>+BG3/BC3-1</f>
        <v>0.40171184371184365</v>
      </c>
      <c r="BH18" s="5"/>
      <c r="BI18" s="5"/>
      <c r="BJ18" s="5"/>
      <c r="BT18" s="5">
        <f>+BT3/BS3-1</f>
        <v>0.39999999999999991</v>
      </c>
      <c r="BU18" s="5">
        <f>+BU3/BT3-1</f>
        <v>0.30000000000000004</v>
      </c>
      <c r="BV18" s="5">
        <f>+BV3/BU3-1</f>
        <v>0.19999999999999996</v>
      </c>
      <c r="BW18" s="5">
        <f t="shared" ref="BW18:BY18" si="80">+BW3/BV3-1</f>
        <v>0.19999999999999996</v>
      </c>
      <c r="BX18" s="5">
        <f t="shared" si="80"/>
        <v>0.14999999999999991</v>
      </c>
      <c r="BY18" s="5">
        <f t="shared" si="80"/>
        <v>0.14999999999999991</v>
      </c>
      <c r="BZ18" s="5">
        <f t="shared" ref="BZ18:CD18" si="81">+BZ3/BY3-1</f>
        <v>0.14999999999999991</v>
      </c>
      <c r="CA18" s="5">
        <f t="shared" si="81"/>
        <v>0.10000000000000009</v>
      </c>
      <c r="CB18" s="5">
        <f t="shared" si="81"/>
        <v>0.10000000000000009</v>
      </c>
      <c r="CC18" s="5">
        <f t="shared" si="81"/>
        <v>5.0000000000000044E-2</v>
      </c>
      <c r="CD18" s="5">
        <f t="shared" si="81"/>
        <v>5.0000000000000044E-2</v>
      </c>
    </row>
    <row r="19" spans="2:82" x14ac:dyDescent="0.2">
      <c r="B19" s="7" t="s">
        <v>102</v>
      </c>
      <c r="AR19" s="5">
        <f t="shared" ref="AR19:AU19" si="82">+AR5/AR3</f>
        <v>-5.6179775280898875E-2</v>
      </c>
      <c r="AS19" s="5">
        <f t="shared" si="82"/>
        <v>1.9323671497584544E-2</v>
      </c>
      <c r="AT19" s="5">
        <f t="shared" si="82"/>
        <v>0.13257575757575757</v>
      </c>
      <c r="AU19" s="5">
        <f t="shared" si="82"/>
        <v>0.12714776632302405</v>
      </c>
      <c r="AV19" s="5">
        <f t="shared" ref="AV19:AY19" si="83">+AV5/AV3</f>
        <v>0.23008849557522124</v>
      </c>
      <c r="AW19" s="5">
        <f t="shared" si="83"/>
        <v>0.23600973236009729</v>
      </c>
      <c r="AX19" s="5">
        <f t="shared" si="83"/>
        <v>0.28399999999999997</v>
      </c>
      <c r="AY19" s="5">
        <f t="shared" si="83"/>
        <v>0.28998242530755713</v>
      </c>
      <c r="AZ19" s="5">
        <f t="shared" ref="AZ19:BC19" si="84">+AZ5/AZ3</f>
        <v>0.27787021630615644</v>
      </c>
      <c r="BA19" s="5">
        <f t="shared" si="84"/>
        <v>0.36701337295690933</v>
      </c>
      <c r="BB19" s="5">
        <f t="shared" si="84"/>
        <v>0.42083897158322064</v>
      </c>
      <c r="BC19" s="5">
        <f t="shared" si="84"/>
        <v>0.47741147741147749</v>
      </c>
      <c r="BD19" s="5">
        <f>+BD5/BD3</f>
        <v>0.53638059701492535</v>
      </c>
      <c r="BE19" s="5">
        <f t="shared" ref="BE19:BG19" si="85">+BE5/BE3</f>
        <v>0.55999999999999994</v>
      </c>
      <c r="BF19" s="5">
        <f t="shared" si="85"/>
        <v>0.53877957277390709</v>
      </c>
      <c r="BG19" s="5">
        <f t="shared" si="85"/>
        <v>0.5321872261546583</v>
      </c>
      <c r="BH19" s="5"/>
      <c r="BI19" s="5"/>
      <c r="BJ19" s="5"/>
      <c r="BS19" s="5">
        <f t="shared" ref="BS19:BV19" si="86">+BS5/BS3</f>
        <v>0.53185038044736888</v>
      </c>
      <c r="BT19" s="5">
        <f t="shared" si="86"/>
        <v>0.57999999999999996</v>
      </c>
      <c r="BU19" s="5">
        <f t="shared" si="86"/>
        <v>0.6</v>
      </c>
      <c r="BV19" s="5">
        <f t="shared" si="86"/>
        <v>0.62000000000000011</v>
      </c>
      <c r="BW19" s="5">
        <f t="shared" ref="BW19:BY19" si="87">+BW5/BW3</f>
        <v>0.63</v>
      </c>
      <c r="BX19" s="5">
        <f t="shared" si="87"/>
        <v>0.64</v>
      </c>
      <c r="BY19" s="5">
        <f t="shared" si="87"/>
        <v>0.65</v>
      </c>
      <c r="BZ19" s="5">
        <f t="shared" ref="BZ19:CD19" si="88">+BZ5/BZ3</f>
        <v>0.65000000000000013</v>
      </c>
      <c r="CA19" s="5">
        <f t="shared" si="88"/>
        <v>0.65</v>
      </c>
      <c r="CB19" s="5">
        <f t="shared" si="88"/>
        <v>0.65</v>
      </c>
      <c r="CC19" s="5">
        <f t="shared" si="88"/>
        <v>0.65</v>
      </c>
      <c r="CD19" s="5">
        <f t="shared" si="88"/>
        <v>0.65</v>
      </c>
    </row>
    <row r="21" spans="2:82" x14ac:dyDescent="0.2">
      <c r="B21" t="s">
        <v>93</v>
      </c>
      <c r="BD21" s="6">
        <f>+BD22-BD36</f>
        <v>-42.830000000000013</v>
      </c>
      <c r="BE21" s="6"/>
      <c r="BF21" s="6"/>
      <c r="BG21" s="6">
        <f>+BG22-BG36</f>
        <v>-0.90200000000000102</v>
      </c>
      <c r="BH21" s="6"/>
      <c r="BI21" s="6"/>
      <c r="BJ21" s="6"/>
      <c r="BS21" s="6">
        <f>+BF21</f>
        <v>0</v>
      </c>
      <c r="BT21" s="6">
        <f>+BS21+BT14</f>
        <v>190.55991599999993</v>
      </c>
      <c r="BU21" s="6">
        <f t="shared" ref="BU21:BY21" si="89">+BT21+BU14</f>
        <v>469.77220634999992</v>
      </c>
      <c r="BV21" s="6">
        <f t="shared" si="89"/>
        <v>834.68681327812499</v>
      </c>
      <c r="BW21" s="6">
        <f t="shared" si="89"/>
        <v>1298.7850578730545</v>
      </c>
      <c r="BX21" s="6">
        <f t="shared" si="89"/>
        <v>1858.968188109194</v>
      </c>
      <c r="BY21" s="6">
        <f t="shared" si="89"/>
        <v>2532.4911167456385</v>
      </c>
      <c r="BZ21" s="6">
        <f t="shared" ref="BZ21:CD21" si="90">+BY21+BZ14</f>
        <v>3327.0383332434894</v>
      </c>
      <c r="CA21" s="6">
        <f t="shared" si="90"/>
        <v>4221.3389503219987</v>
      </c>
      <c r="CB21" s="6">
        <f t="shared" si="90"/>
        <v>5226.1295084991407</v>
      </c>
      <c r="CC21" s="6">
        <f t="shared" si="90"/>
        <v>6304.0091062658794</v>
      </c>
      <c r="CD21" s="6">
        <f t="shared" si="90"/>
        <v>7458.7975399178167</v>
      </c>
    </row>
    <row r="22" spans="2:82" s="6" customFormat="1" x14ac:dyDescent="0.2">
      <c r="B22" s="11" t="s">
        <v>3</v>
      </c>
      <c r="BD22" s="6">
        <v>88.244</v>
      </c>
      <c r="BG22" s="6">
        <v>71.625</v>
      </c>
    </row>
    <row r="23" spans="2:82" s="6" customFormat="1" x14ac:dyDescent="0.2">
      <c r="B23" s="11" t="s">
        <v>78</v>
      </c>
      <c r="BD23" s="6">
        <v>30.113</v>
      </c>
      <c r="BG23" s="6">
        <v>99.412000000000006</v>
      </c>
      <c r="CC23" s="2" t="s">
        <v>106</v>
      </c>
      <c r="CD23" s="5">
        <v>0.05</v>
      </c>
    </row>
    <row r="24" spans="2:82" s="6" customFormat="1" x14ac:dyDescent="0.2">
      <c r="B24" s="11" t="s">
        <v>79</v>
      </c>
      <c r="BD24" s="6">
        <v>179.81</v>
      </c>
      <c r="BG24" s="6">
        <v>172.18799999999999</v>
      </c>
      <c r="CC24" s="2" t="s">
        <v>103</v>
      </c>
      <c r="CD24" s="5">
        <v>0.09</v>
      </c>
    </row>
    <row r="25" spans="2:82" s="6" customFormat="1" x14ac:dyDescent="0.2">
      <c r="B25" s="11" t="s">
        <v>80</v>
      </c>
      <c r="BD25" s="11">
        <v>5.524</v>
      </c>
      <c r="BG25" s="6">
        <v>8.5890000000000004</v>
      </c>
      <c r="CC25" s="2" t="s">
        <v>104</v>
      </c>
      <c r="CD25" s="5">
        <v>0.01</v>
      </c>
    </row>
    <row r="26" spans="2:82" s="6" customFormat="1" x14ac:dyDescent="0.2">
      <c r="B26" s="11" t="s">
        <v>81</v>
      </c>
      <c r="BD26" s="11">
        <v>54.326000000000001</v>
      </c>
      <c r="BG26" s="6">
        <v>57.71</v>
      </c>
      <c r="CC26" s="2" t="s">
        <v>105</v>
      </c>
      <c r="CD26" s="6">
        <f>NPV(CD24,BT14:IH14)</f>
        <v>9684.8650259456936</v>
      </c>
    </row>
    <row r="27" spans="2:82" s="6" customFormat="1" x14ac:dyDescent="0.2">
      <c r="B27" s="11" t="s">
        <v>82</v>
      </c>
      <c r="BD27" s="6">
        <f>0.479+3.53</f>
        <v>4.0089999999999995</v>
      </c>
      <c r="BG27" s="6">
        <f>0.452+3.53</f>
        <v>3.9819999999999998</v>
      </c>
      <c r="CC27" s="6" t="s">
        <v>107</v>
      </c>
      <c r="CD27" s="21">
        <f>+CD26/Main!L3</f>
        <v>40.020103412998736</v>
      </c>
    </row>
    <row r="28" spans="2:82" s="6" customFormat="1" x14ac:dyDescent="0.2">
      <c r="B28" s="11" t="s">
        <v>83</v>
      </c>
      <c r="BD28" s="11">
        <v>9.1519999999999992</v>
      </c>
      <c r="BG28" s="6">
        <v>8.02</v>
      </c>
    </row>
    <row r="29" spans="2:82" s="6" customFormat="1" x14ac:dyDescent="0.2">
      <c r="B29" s="11" t="s">
        <v>84</v>
      </c>
      <c r="BD29" s="11">
        <v>5.2210000000000001</v>
      </c>
      <c r="BG29" s="6">
        <f>8.188+80.855</f>
        <v>89.043000000000006</v>
      </c>
    </row>
    <row r="30" spans="2:82" s="6" customFormat="1" x14ac:dyDescent="0.2">
      <c r="B30" s="11" t="s">
        <v>85</v>
      </c>
      <c r="BD30" s="6">
        <f>SUM(BD22:BD29)</f>
        <v>376.39900000000006</v>
      </c>
      <c r="BE30" s="6">
        <f>SUM(BE22:BE29)</f>
        <v>0</v>
      </c>
      <c r="BF30" s="6">
        <f>SUM(BF22:BF29)</f>
        <v>0</v>
      </c>
      <c r="BG30" s="6">
        <f>SUM(BG22:BG29)</f>
        <v>510.56900000000002</v>
      </c>
    </row>
    <row r="31" spans="2:82" s="6" customFormat="1" x14ac:dyDescent="0.2"/>
    <row r="32" spans="2:82" s="6" customFormat="1" x14ac:dyDescent="0.2">
      <c r="B32" s="11" t="s">
        <v>86</v>
      </c>
      <c r="BD32" s="6">
        <v>14.179</v>
      </c>
      <c r="BG32" s="6">
        <v>20.606999999999999</v>
      </c>
    </row>
    <row r="33" spans="2:59" s="6" customFormat="1" x14ac:dyDescent="0.2">
      <c r="B33" s="11" t="s">
        <v>87</v>
      </c>
      <c r="BD33" s="11">
        <v>27.725999999999999</v>
      </c>
      <c r="BG33" s="6">
        <v>31.56</v>
      </c>
    </row>
    <row r="34" spans="2:59" s="6" customFormat="1" x14ac:dyDescent="0.2">
      <c r="B34" s="11" t="s">
        <v>88</v>
      </c>
      <c r="BD34" s="6">
        <f>1.13+1.619</f>
        <v>2.7489999999999997</v>
      </c>
      <c r="BG34" s="6">
        <f>1.512+0.143</f>
        <v>1.655</v>
      </c>
    </row>
    <row r="35" spans="2:59" s="6" customFormat="1" x14ac:dyDescent="0.2">
      <c r="B35" s="11" t="s">
        <v>89</v>
      </c>
      <c r="BD35" s="6">
        <f>1.142+9.182</f>
        <v>10.324</v>
      </c>
      <c r="BG35" s="6">
        <f>8.298+1.188</f>
        <v>9.4860000000000007</v>
      </c>
    </row>
    <row r="36" spans="2:59" s="6" customFormat="1" x14ac:dyDescent="0.2">
      <c r="B36" s="11" t="s">
        <v>4</v>
      </c>
      <c r="BD36" s="6">
        <v>131.07400000000001</v>
      </c>
      <c r="BG36" s="6">
        <v>72.527000000000001</v>
      </c>
    </row>
    <row r="37" spans="2:59" s="6" customFormat="1" x14ac:dyDescent="0.2">
      <c r="B37" s="11" t="s">
        <v>90</v>
      </c>
      <c r="BD37" s="11">
        <v>1.6879999999999999</v>
      </c>
      <c r="BG37" s="6">
        <v>1.3129999999999999</v>
      </c>
    </row>
    <row r="38" spans="2:59" s="6" customFormat="1" x14ac:dyDescent="0.2">
      <c r="B38" s="11" t="s">
        <v>92</v>
      </c>
      <c r="BD38" s="11">
        <v>0.39</v>
      </c>
      <c r="BG38" s="6">
        <v>2E-3</v>
      </c>
    </row>
    <row r="39" spans="2:59" s="6" customFormat="1" x14ac:dyDescent="0.2">
      <c r="B39" s="11" t="s">
        <v>112</v>
      </c>
      <c r="BD39" s="11">
        <v>188.26900000000001</v>
      </c>
      <c r="BG39" s="6">
        <v>373.41899999999998</v>
      </c>
    </row>
    <row r="40" spans="2:59" s="6" customFormat="1" x14ac:dyDescent="0.2">
      <c r="B40" s="11" t="s">
        <v>91</v>
      </c>
      <c r="BD40" s="6">
        <f>SUM(BD32:BD39)</f>
        <v>376.399</v>
      </c>
      <c r="BE40" s="6">
        <f>SUM(BE32:BE39)</f>
        <v>0</v>
      </c>
      <c r="BF40" s="6">
        <f>SUM(BF32:BF39)</f>
        <v>0</v>
      </c>
      <c r="BG40" s="6">
        <f>SUM(BG32:BG39)</f>
        <v>510.56899999999996</v>
      </c>
    </row>
  </sheetData>
  <hyperlinks>
    <hyperlink ref="A1" location="Main!A1" display="Main" xr:uid="{B150C4FD-8C1A-4F74-93EF-A498FE77B20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2024-10-01T20:45:09Z</dcterms:created>
  <dcterms:modified xsi:type="dcterms:W3CDTF">2025-05-08T14:38:56Z</dcterms:modified>
</cp:coreProperties>
</file>