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code\models\"/>
    </mc:Choice>
  </mc:AlternateContent>
  <xr:revisionPtr revIDLastSave="0" documentId="13_ncr:1_{77F5C6F8-A863-44DA-BB91-19D91C4CA28C}" xr6:coauthVersionLast="47" xr6:coauthVersionMax="47" xr10:uidLastSave="{00000000-0000-0000-0000-000000000000}"/>
  <bookViews>
    <workbookView xWindow="15060" yWindow="840" windowWidth="13545" windowHeight="14160" xr2:uid="{0A3C0766-B965-4E80-BF4D-C01553A2F842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9" i="2" l="1"/>
  <c r="C24" i="2"/>
  <c r="C29" i="2"/>
  <c r="C23" i="2"/>
  <c r="G38" i="2" s="1"/>
  <c r="G39" i="2"/>
  <c r="G24" i="2"/>
  <c r="G29" i="2"/>
  <c r="G23" i="2"/>
  <c r="G25" i="2" s="1"/>
  <c r="C15" i="2"/>
  <c r="G15" i="2"/>
  <c r="D29" i="2"/>
  <c r="D24" i="2"/>
  <c r="H29" i="2"/>
  <c r="H24" i="2"/>
  <c r="D23" i="2"/>
  <c r="H23" i="2"/>
  <c r="H25" i="2" s="1"/>
  <c r="H39" i="2" s="1"/>
  <c r="D15" i="2"/>
  <c r="H15" i="2"/>
  <c r="E24" i="2"/>
  <c r="E29" i="2"/>
  <c r="I29" i="2"/>
  <c r="I24" i="2"/>
  <c r="E23" i="2"/>
  <c r="E25" i="2" s="1"/>
  <c r="E39" i="2" s="1"/>
  <c r="I23" i="2"/>
  <c r="I15" i="2"/>
  <c r="E15" i="2"/>
  <c r="L7" i="1"/>
  <c r="F15" i="2"/>
  <c r="J15" i="2"/>
  <c r="J80" i="2"/>
  <c r="J73" i="2"/>
  <c r="J71" i="2"/>
  <c r="J68" i="2"/>
  <c r="J69" i="2" s="1"/>
  <c r="J57" i="2"/>
  <c r="J56" i="2"/>
  <c r="J54" i="2"/>
  <c r="J53" i="2"/>
  <c r="J55" i="2"/>
  <c r="J46" i="2"/>
  <c r="J41" i="2"/>
  <c r="F24" i="2"/>
  <c r="F29" i="2"/>
  <c r="F23" i="2"/>
  <c r="J29" i="2"/>
  <c r="J24" i="2"/>
  <c r="J23" i="2"/>
  <c r="L4" i="1"/>
  <c r="C25" i="2" l="1"/>
  <c r="C30" i="2" s="1"/>
  <c r="C32" i="2" s="1"/>
  <c r="C34" i="2" s="1"/>
  <c r="C35" i="2" s="1"/>
  <c r="G30" i="2"/>
  <c r="G32" i="2" s="1"/>
  <c r="G34" i="2" s="1"/>
  <c r="G35" i="2" s="1"/>
  <c r="H38" i="2"/>
  <c r="D25" i="2"/>
  <c r="D39" i="2" s="1"/>
  <c r="D30" i="2"/>
  <c r="D32" i="2" s="1"/>
  <c r="D34" i="2" s="1"/>
  <c r="D35" i="2" s="1"/>
  <c r="H30" i="2"/>
  <c r="H32" i="2" s="1"/>
  <c r="H34" i="2" s="1"/>
  <c r="H35" i="2" s="1"/>
  <c r="I25" i="2"/>
  <c r="I39" i="2" s="1"/>
  <c r="I38" i="2"/>
  <c r="E30" i="2"/>
  <c r="E32" i="2" s="1"/>
  <c r="E34" i="2" s="1"/>
  <c r="E35" i="2" s="1"/>
  <c r="I30" i="2"/>
  <c r="I32" i="2" s="1"/>
  <c r="I34" i="2" s="1"/>
  <c r="I35" i="2" s="1"/>
  <c r="J75" i="2"/>
  <c r="J49" i="2"/>
  <c r="J25" i="2"/>
  <c r="J59" i="2"/>
  <c r="J38" i="2"/>
  <c r="F25" i="2"/>
  <c r="J82" i="2"/>
  <c r="F30" i="2" l="1"/>
  <c r="F32" i="2" s="1"/>
  <c r="F34" i="2" s="1"/>
  <c r="F35" i="2" s="1"/>
  <c r="F39" i="2"/>
  <c r="J30" i="2"/>
  <c r="J32" i="2" s="1"/>
  <c r="J34" i="2" s="1"/>
  <c r="J61" i="2" s="1"/>
  <c r="J39" i="2"/>
  <c r="J35" i="2"/>
</calcChain>
</file>

<file path=xl/sharedStrings.xml><?xml version="1.0" encoding="utf-8"?>
<sst xmlns="http://schemas.openxmlformats.org/spreadsheetml/2006/main" count="104" uniqueCount="92">
  <si>
    <t>Price</t>
  </si>
  <si>
    <t>Shares</t>
  </si>
  <si>
    <t>MC</t>
  </si>
  <si>
    <t>Cash</t>
  </si>
  <si>
    <t>Debt</t>
  </si>
  <si>
    <t>EV</t>
  </si>
  <si>
    <t>Q122</t>
  </si>
  <si>
    <t>Main</t>
  </si>
  <si>
    <t>Revenue</t>
  </si>
  <si>
    <t>Subscription</t>
  </si>
  <si>
    <t>Maintenance</t>
  </si>
  <si>
    <t>Other</t>
  </si>
  <si>
    <t>Operating Income</t>
  </si>
  <si>
    <t>Operating Costs</t>
  </si>
  <si>
    <t>COGS</t>
  </si>
  <si>
    <t>Gross Profit</t>
  </si>
  <si>
    <t>M&amp;S</t>
  </si>
  <si>
    <t>R&amp;D</t>
  </si>
  <si>
    <t>G&amp;M</t>
  </si>
  <si>
    <t>EPS</t>
  </si>
  <si>
    <t>Net Income</t>
  </si>
  <si>
    <t>Taxes</t>
  </si>
  <si>
    <t>Pretax Income</t>
  </si>
  <si>
    <t>Interest</t>
  </si>
  <si>
    <t>AR</t>
  </si>
  <si>
    <t>Assets</t>
  </si>
  <si>
    <t>Prepaids</t>
  </si>
  <si>
    <t>PP&amp;E</t>
  </si>
  <si>
    <t>Lease</t>
  </si>
  <si>
    <t>Goodwill</t>
  </si>
  <si>
    <t>DT</t>
  </si>
  <si>
    <t>LTOA</t>
  </si>
  <si>
    <t>AP</t>
  </si>
  <si>
    <t>Compensation</t>
  </si>
  <si>
    <t>DR</t>
  </si>
  <si>
    <t>OL</t>
  </si>
  <si>
    <t>SE</t>
  </si>
  <si>
    <t>L+SE</t>
  </si>
  <si>
    <t>CFFO</t>
  </si>
  <si>
    <t>Model NI</t>
  </si>
  <si>
    <t>Reported NI</t>
  </si>
  <si>
    <t>D&amp;A</t>
  </si>
  <si>
    <t>SBC</t>
  </si>
  <si>
    <t>Asset Impairments</t>
  </si>
  <si>
    <t>WC</t>
  </si>
  <si>
    <t>CFFI</t>
  </si>
  <si>
    <t>Investments</t>
  </si>
  <si>
    <t>CapEx</t>
  </si>
  <si>
    <t>Acquisitions</t>
  </si>
  <si>
    <t>FX</t>
  </si>
  <si>
    <t>CIC</t>
  </si>
  <si>
    <t>CFFF</t>
  </si>
  <si>
    <t>Buybacks</t>
  </si>
  <si>
    <t>ESOP Taxes</t>
  </si>
  <si>
    <t>Issuance</t>
  </si>
  <si>
    <t>Revenue y/y</t>
  </si>
  <si>
    <t>AutoCAD</t>
  </si>
  <si>
    <t>Architecture, Engineering, Construction</t>
  </si>
  <si>
    <t>Manufacturing</t>
  </si>
  <si>
    <t>Media, Entertainment, Other</t>
  </si>
  <si>
    <t>Americas</t>
  </si>
  <si>
    <t>EMEA</t>
  </si>
  <si>
    <t>Asia Pacific</t>
  </si>
  <si>
    <t>Direct</t>
  </si>
  <si>
    <t>Indirect</t>
  </si>
  <si>
    <t>Design</t>
  </si>
  <si>
    <t>Make</t>
  </si>
  <si>
    <t>Construction Cloud</t>
  </si>
  <si>
    <t>Fusion 360</t>
  </si>
  <si>
    <t>Planning/Execution of Construction</t>
  </si>
  <si>
    <t>Modeling/Simulation/Design of Electronics</t>
  </si>
  <si>
    <t>ShotGrid</t>
  </si>
  <si>
    <t>PM for film, TV &amp; games</t>
  </si>
  <si>
    <t>Flagship engineering product</t>
  </si>
  <si>
    <t>Innovyze (Water infrastructure software)</t>
  </si>
  <si>
    <t>Civil 3D</t>
  </si>
  <si>
    <t>InfraWorks</t>
  </si>
  <si>
    <t>Upchain</t>
  </si>
  <si>
    <t>RPO</t>
  </si>
  <si>
    <t>Current RPO</t>
  </si>
  <si>
    <t>Tech Data/Ingram Micro 45% of revenue</t>
  </si>
  <si>
    <t>CEO: Andrew Anagnost</t>
  </si>
  <si>
    <t>CFO: Debbie Clifford</t>
  </si>
  <si>
    <t>Gross Margin</t>
  </si>
  <si>
    <t>FQ222</t>
  </si>
  <si>
    <t>FQ322</t>
  </si>
  <si>
    <t>FQ422</t>
  </si>
  <si>
    <t>FQ123</t>
  </si>
  <si>
    <t>FQ122</t>
  </si>
  <si>
    <t>FQ421</t>
  </si>
  <si>
    <t>FQ321</t>
  </si>
  <si>
    <t>FQ221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</si>
</sst>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3" fontId="1" fillId="0" borderId="0" xfId="0" applyNumberFormat="1" applyFont="1"/>
    <xf numFmtId="1" fontId="0" fillId="0" borderId="0" xfId="0" applyNumberFormat="1"/>
    <xf numFmtId="1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0</xdr:row>
      <xdr:rowOff>76200</xdr:rowOff>
    </xdr:from>
    <xdr:to>
      <xdr:col>10</xdr:col>
      <xdr:colOff>9525</xdr:colOff>
      <xdr:row>93</xdr:row>
      <xdr:rowOff>76200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F87BDBE-8DE8-E7E8-9EC0-6C94089E9735}"/>
            </a:ext>
          </a:extLst>
        </xdr:cNvPr>
        <xdr:cNvCxnSpPr/>
      </xdr:nvCxnSpPr>
      <xdr:spPr>
        <a:xfrm>
          <a:off x="7248525" y="76200"/>
          <a:ext cx="0" cy="150590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D8772-E195-4CF8-9812-0231D7CA0789}">
  <dimension ref="B2:M13"/>
  <sheetViews>
    <sheetView tabSelected="1" workbookViewId="0"/>
  </sheetViews>
  <sheetFormatPr defaultRowHeight="12.75" x14ac:dyDescent="0.2"/>
  <sheetData>
    <row r="2" spans="2:13" x14ac:dyDescent="0.2">
      <c r="B2" t="s">
        <v>67</v>
      </c>
      <c r="C2" t="s">
        <v>69</v>
      </c>
      <c r="K2" t="s">
        <v>0</v>
      </c>
      <c r="L2" s="1">
        <v>221.7</v>
      </c>
    </row>
    <row r="3" spans="2:13" x14ac:dyDescent="0.2">
      <c r="B3" t="s">
        <v>68</v>
      </c>
      <c r="C3" t="s">
        <v>70</v>
      </c>
      <c r="K3" t="s">
        <v>1</v>
      </c>
      <c r="L3" s="2">
        <v>217.27220500000001</v>
      </c>
      <c r="M3" s="3" t="s">
        <v>6</v>
      </c>
    </row>
    <row r="4" spans="2:13" x14ac:dyDescent="0.2">
      <c r="B4" t="s">
        <v>71</v>
      </c>
      <c r="C4" t="s">
        <v>72</v>
      </c>
      <c r="K4" t="s">
        <v>2</v>
      </c>
      <c r="L4" s="2">
        <f>+L2*L3</f>
        <v>48169.247848500003</v>
      </c>
    </row>
    <row r="5" spans="2:13" x14ac:dyDescent="0.2">
      <c r="B5" t="s">
        <v>56</v>
      </c>
      <c r="C5" t="s">
        <v>73</v>
      </c>
      <c r="K5" t="s">
        <v>3</v>
      </c>
      <c r="L5" s="2">
        <v>1624</v>
      </c>
      <c r="M5" s="3" t="s">
        <v>6</v>
      </c>
    </row>
    <row r="6" spans="2:13" x14ac:dyDescent="0.2">
      <c r="B6" t="s">
        <v>75</v>
      </c>
      <c r="K6" t="s">
        <v>4</v>
      </c>
      <c r="L6" s="2">
        <v>2629</v>
      </c>
      <c r="M6" s="3" t="s">
        <v>6</v>
      </c>
    </row>
    <row r="7" spans="2:13" x14ac:dyDescent="0.2">
      <c r="B7" t="s">
        <v>76</v>
      </c>
      <c r="K7" t="s">
        <v>5</v>
      </c>
      <c r="L7" s="2">
        <f>+L4-L5+L6</f>
        <v>49174.247848500003</v>
      </c>
    </row>
    <row r="9" spans="2:13" x14ac:dyDescent="0.2">
      <c r="B9" t="s">
        <v>74</v>
      </c>
    </row>
    <row r="10" spans="2:13" x14ac:dyDescent="0.2">
      <c r="B10" t="s">
        <v>77</v>
      </c>
    </row>
    <row r="12" spans="2:13" x14ac:dyDescent="0.2">
      <c r="B12" t="s">
        <v>80</v>
      </c>
      <c r="K12" t="s">
        <v>81</v>
      </c>
    </row>
    <row r="13" spans="2:13" x14ac:dyDescent="0.2">
      <c r="K13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B05EF-365B-4ED6-B916-73F15B4976CD}">
  <dimension ref="A1:J85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G23" sqref="G23:J23"/>
    </sheetView>
  </sheetViews>
  <sheetFormatPr defaultRowHeight="12.75" x14ac:dyDescent="0.2"/>
  <cols>
    <col min="1" max="1" width="5" bestFit="1" customWidth="1"/>
    <col min="2" max="2" width="17.42578125" customWidth="1"/>
    <col min="3" max="3" width="11.140625" style="3" customWidth="1"/>
    <col min="4" max="4" width="10.140625" style="3" bestFit="1" customWidth="1"/>
    <col min="5" max="5" width="11" style="3" customWidth="1"/>
    <col min="6" max="6" width="10" style="3" customWidth="1"/>
    <col min="7" max="7" width="9.140625" style="3"/>
    <col min="8" max="8" width="10.140625" style="3" bestFit="1" customWidth="1"/>
    <col min="9" max="10" width="9.140625" style="3"/>
  </cols>
  <sheetData>
    <row r="1" spans="1:10" x14ac:dyDescent="0.2">
      <c r="A1" s="4" t="s">
        <v>7</v>
      </c>
    </row>
    <row r="2" spans="1:10" x14ac:dyDescent="0.2">
      <c r="C2" s="3" t="s">
        <v>91</v>
      </c>
      <c r="D2" s="3" t="s">
        <v>90</v>
      </c>
      <c r="E2" s="3" t="s">
        <v>89</v>
      </c>
      <c r="F2" s="3" t="s">
        <v>88</v>
      </c>
      <c r="G2" s="3" t="s">
        <v>84</v>
      </c>
      <c r="H2" s="3" t="s">
        <v>85</v>
      </c>
      <c r="I2" s="3" t="s">
        <v>86</v>
      </c>
      <c r="J2" s="3" t="s">
        <v>87</v>
      </c>
    </row>
    <row r="3" spans="1:10" x14ac:dyDescent="0.2">
      <c r="C3" s="7">
        <v>44043</v>
      </c>
      <c r="D3" s="7">
        <v>44134</v>
      </c>
      <c r="E3" s="7">
        <v>44226</v>
      </c>
      <c r="F3" s="7">
        <v>44316</v>
      </c>
      <c r="G3" s="7">
        <v>44408</v>
      </c>
      <c r="H3" s="7">
        <v>44500</v>
      </c>
      <c r="I3" s="7">
        <v>44592</v>
      </c>
      <c r="J3" s="7">
        <v>44681</v>
      </c>
    </row>
    <row r="4" spans="1:10" s="2" customFormat="1" x14ac:dyDescent="0.2">
      <c r="B4" s="2" t="s">
        <v>63</v>
      </c>
      <c r="C4" s="8"/>
      <c r="D4" s="8"/>
      <c r="E4" s="8"/>
      <c r="F4" s="8">
        <v>328</v>
      </c>
      <c r="G4" s="8"/>
      <c r="H4" s="8"/>
      <c r="I4" s="8"/>
      <c r="J4" s="8">
        <v>401</v>
      </c>
    </row>
    <row r="5" spans="1:10" s="2" customFormat="1" x14ac:dyDescent="0.2">
      <c r="B5" s="2" t="s">
        <v>64</v>
      </c>
      <c r="C5" s="8"/>
      <c r="D5" s="8"/>
      <c r="E5" s="8"/>
      <c r="F5" s="8">
        <v>661</v>
      </c>
      <c r="G5" s="8"/>
      <c r="H5" s="8"/>
      <c r="I5" s="8"/>
      <c r="J5" s="8">
        <v>769</v>
      </c>
    </row>
    <row r="6" spans="1:10" s="2" customFormat="1" x14ac:dyDescent="0.2">
      <c r="C6" s="8"/>
      <c r="D6" s="8"/>
      <c r="E6" s="8"/>
      <c r="F6" s="8"/>
      <c r="G6" s="8"/>
      <c r="H6" s="8"/>
      <c r="I6" s="8"/>
      <c r="J6" s="8"/>
    </row>
    <row r="7" spans="1:10" s="2" customFormat="1" x14ac:dyDescent="0.2">
      <c r="B7" s="2" t="s">
        <v>65</v>
      </c>
      <c r="C7" s="8"/>
      <c r="D7" s="8"/>
      <c r="E7" s="8"/>
      <c r="F7" s="8">
        <v>865</v>
      </c>
      <c r="G7" s="8"/>
      <c r="H7" s="8"/>
      <c r="I7" s="8"/>
      <c r="J7" s="8">
        <v>1004</v>
      </c>
    </row>
    <row r="8" spans="1:10" s="2" customFormat="1" x14ac:dyDescent="0.2">
      <c r="B8" s="2" t="s">
        <v>66</v>
      </c>
      <c r="C8" s="8"/>
      <c r="D8" s="8"/>
      <c r="E8" s="8"/>
      <c r="F8" s="8">
        <v>81</v>
      </c>
      <c r="G8" s="8"/>
      <c r="H8" s="8"/>
      <c r="I8" s="8"/>
      <c r="J8" s="8">
        <v>103</v>
      </c>
    </row>
    <row r="9" spans="1:10" s="2" customFormat="1" x14ac:dyDescent="0.2">
      <c r="B9" s="2" t="s">
        <v>11</v>
      </c>
      <c r="C9" s="8"/>
      <c r="D9" s="8"/>
      <c r="E9" s="8"/>
      <c r="F9" s="8">
        <v>43</v>
      </c>
      <c r="G9" s="8"/>
      <c r="H9" s="8"/>
      <c r="I9" s="8"/>
      <c r="J9" s="8">
        <v>63</v>
      </c>
    </row>
    <row r="10" spans="1:10" s="2" customFormat="1" x14ac:dyDescent="0.2">
      <c r="C10" s="8"/>
      <c r="D10" s="8"/>
      <c r="E10" s="8"/>
      <c r="F10" s="8"/>
      <c r="G10" s="8"/>
      <c r="H10" s="8"/>
      <c r="I10" s="8"/>
      <c r="J10" s="8"/>
    </row>
    <row r="11" spans="1:10" s="6" customFormat="1" x14ac:dyDescent="0.2">
      <c r="B11" s="6" t="s">
        <v>60</v>
      </c>
      <c r="C11" s="9"/>
      <c r="D11" s="9"/>
      <c r="E11" s="9"/>
      <c r="F11" s="9">
        <v>391</v>
      </c>
      <c r="G11" s="9"/>
      <c r="H11" s="9"/>
      <c r="I11" s="9"/>
      <c r="J11" s="9">
        <v>484</v>
      </c>
    </row>
    <row r="12" spans="1:10" s="6" customFormat="1" x14ac:dyDescent="0.2">
      <c r="B12" s="6" t="s">
        <v>61</v>
      </c>
      <c r="C12" s="9"/>
      <c r="D12" s="9"/>
      <c r="E12" s="9"/>
      <c r="F12" s="9">
        <v>383</v>
      </c>
      <c r="G12" s="9"/>
      <c r="H12" s="9"/>
      <c r="I12" s="9"/>
      <c r="J12" s="9">
        <v>449</v>
      </c>
    </row>
    <row r="13" spans="1:10" s="6" customFormat="1" x14ac:dyDescent="0.2">
      <c r="B13" s="6" t="s">
        <v>62</v>
      </c>
      <c r="C13" s="9"/>
      <c r="D13" s="9"/>
      <c r="E13" s="9"/>
      <c r="F13" s="9">
        <v>215</v>
      </c>
      <c r="G13" s="9"/>
      <c r="H13" s="9"/>
      <c r="I13" s="9"/>
      <c r="J13" s="9">
        <v>237</v>
      </c>
    </row>
    <row r="14" spans="1:10" s="6" customFormat="1" x14ac:dyDescent="0.2">
      <c r="C14" s="9"/>
      <c r="D14" s="9"/>
      <c r="E14" s="9"/>
      <c r="F14" s="9"/>
      <c r="G14" s="9"/>
      <c r="H14" s="9"/>
      <c r="I14" s="9"/>
      <c r="J14" s="9"/>
    </row>
    <row r="15" spans="1:10" s="2" customFormat="1" x14ac:dyDescent="0.2">
      <c r="B15" s="2" t="s">
        <v>59</v>
      </c>
      <c r="C15" s="8">
        <f>53.3+5.4</f>
        <v>58.699999999999996</v>
      </c>
      <c r="D15" s="8">
        <f>54+6.1</f>
        <v>60.1</v>
      </c>
      <c r="E15" s="8">
        <f>59.5+7.6</f>
        <v>67.099999999999994</v>
      </c>
      <c r="F15" s="8">
        <f>55+9</f>
        <v>64</v>
      </c>
      <c r="G15" s="8">
        <f>58.5+10.4</f>
        <v>68.900000000000006</v>
      </c>
      <c r="H15" s="8">
        <f>63+8.3</f>
        <v>71.3</v>
      </c>
      <c r="I15" s="8">
        <f>82.4+10.6</f>
        <v>93</v>
      </c>
      <c r="J15" s="8">
        <f>68+13</f>
        <v>81</v>
      </c>
    </row>
    <row r="16" spans="1:10" s="2" customFormat="1" x14ac:dyDescent="0.2">
      <c r="B16" s="2" t="s">
        <v>58</v>
      </c>
      <c r="C16" s="8">
        <v>185.5</v>
      </c>
      <c r="D16" s="8">
        <v>194.1</v>
      </c>
      <c r="E16" s="8">
        <v>236.1</v>
      </c>
      <c r="F16" s="8">
        <v>197</v>
      </c>
      <c r="G16" s="8">
        <v>207.7</v>
      </c>
      <c r="H16" s="8">
        <v>225</v>
      </c>
      <c r="I16" s="8">
        <v>246</v>
      </c>
      <c r="J16" s="8">
        <v>225</v>
      </c>
    </row>
    <row r="17" spans="2:10" s="2" customFormat="1" x14ac:dyDescent="0.2">
      <c r="B17" s="2" t="s">
        <v>56</v>
      </c>
      <c r="C17" s="8">
        <v>271.89999999999998</v>
      </c>
      <c r="D17" s="8">
        <v>278.8</v>
      </c>
      <c r="E17" s="8">
        <v>286.5</v>
      </c>
      <c r="F17" s="8">
        <v>285</v>
      </c>
      <c r="G17" s="8">
        <v>304.39999999999998</v>
      </c>
      <c r="H17" s="8">
        <v>318.39999999999998</v>
      </c>
      <c r="I17" s="8">
        <v>345.1</v>
      </c>
      <c r="J17" s="8">
        <v>346</v>
      </c>
    </row>
    <row r="18" spans="2:10" s="2" customFormat="1" x14ac:dyDescent="0.2">
      <c r="B18" s="2" t="s">
        <v>57</v>
      </c>
      <c r="C18" s="8">
        <v>397</v>
      </c>
      <c r="D18" s="8">
        <v>419.4</v>
      </c>
      <c r="E18" s="8">
        <v>449.5</v>
      </c>
      <c r="F18" s="8">
        <v>443</v>
      </c>
      <c r="G18" s="8">
        <v>478.7</v>
      </c>
      <c r="H18" s="8">
        <v>511.1</v>
      </c>
      <c r="I18" s="8">
        <v>527.5</v>
      </c>
      <c r="J18" s="8">
        <v>518</v>
      </c>
    </row>
    <row r="19" spans="2:10" x14ac:dyDescent="0.2">
      <c r="F19" s="8"/>
      <c r="J19" s="8"/>
    </row>
    <row r="20" spans="2:10" s="2" customFormat="1" x14ac:dyDescent="0.2">
      <c r="B20" s="2" t="s">
        <v>9</v>
      </c>
      <c r="C20" s="8">
        <v>841.2</v>
      </c>
      <c r="D20" s="8">
        <v>884.4</v>
      </c>
      <c r="E20" s="8">
        <v>950.3</v>
      </c>
      <c r="F20" s="8">
        <v>927</v>
      </c>
      <c r="G20" s="8">
        <v>1016.7</v>
      </c>
      <c r="H20" s="8">
        <v>1070.7</v>
      </c>
      <c r="I20" s="8">
        <v>1121.5</v>
      </c>
      <c r="J20" s="8">
        <v>1089</v>
      </c>
    </row>
    <row r="21" spans="2:10" s="2" customFormat="1" x14ac:dyDescent="0.2">
      <c r="B21" s="2" t="s">
        <v>10</v>
      </c>
      <c r="C21" s="8">
        <v>51.2</v>
      </c>
      <c r="D21" s="8">
        <v>39.799999999999997</v>
      </c>
      <c r="E21" s="8">
        <v>30.2</v>
      </c>
      <c r="F21" s="8">
        <v>19</v>
      </c>
      <c r="G21" s="8">
        <v>16.899999999999999</v>
      </c>
      <c r="H21" s="8">
        <v>17.600000000000001</v>
      </c>
      <c r="I21" s="8">
        <v>22.7</v>
      </c>
      <c r="J21" s="8">
        <v>18</v>
      </c>
    </row>
    <row r="22" spans="2:10" s="2" customFormat="1" x14ac:dyDescent="0.2">
      <c r="B22" s="2" t="s">
        <v>11</v>
      </c>
      <c r="C22" s="8">
        <v>20.7</v>
      </c>
      <c r="D22" s="8">
        <v>28.2</v>
      </c>
      <c r="E22" s="8">
        <v>58.7</v>
      </c>
      <c r="F22" s="8">
        <v>43</v>
      </c>
      <c r="G22" s="8">
        <v>26.1</v>
      </c>
      <c r="H22" s="8">
        <v>37.5</v>
      </c>
      <c r="I22" s="8">
        <v>67.400000000000006</v>
      </c>
      <c r="J22" s="8">
        <v>63</v>
      </c>
    </row>
    <row r="23" spans="2:10" s="5" customFormat="1" x14ac:dyDescent="0.2">
      <c r="B23" s="5" t="s">
        <v>8</v>
      </c>
      <c r="C23" s="10">
        <f>SUM(C20:C22)</f>
        <v>913.10000000000014</v>
      </c>
      <c r="D23" s="10">
        <f>SUM(D20:D22)</f>
        <v>952.4</v>
      </c>
      <c r="E23" s="10">
        <f>SUM(E20:E22)</f>
        <v>1039.2</v>
      </c>
      <c r="F23" s="10">
        <f>SUM(F20:F22)</f>
        <v>989</v>
      </c>
      <c r="G23" s="10">
        <f>SUM(G20:G22)</f>
        <v>1059.7</v>
      </c>
      <c r="H23" s="10">
        <f>SUM(H20:H22)</f>
        <v>1125.8</v>
      </c>
      <c r="I23" s="10">
        <f>SUM(I20:I22)</f>
        <v>1211.6000000000001</v>
      </c>
      <c r="J23" s="10">
        <f>SUM(J20:J22)</f>
        <v>1170</v>
      </c>
    </row>
    <row r="24" spans="2:10" s="2" customFormat="1" x14ac:dyDescent="0.2">
      <c r="B24" s="2" t="s">
        <v>14</v>
      </c>
      <c r="C24" s="8">
        <f>58.5+15</f>
        <v>73.5</v>
      </c>
      <c r="D24" s="8">
        <f>60.7+15.4</f>
        <v>76.100000000000009</v>
      </c>
      <c r="E24" s="8">
        <f>65.5+16.6</f>
        <v>82.1</v>
      </c>
      <c r="F24" s="8">
        <f>68+14</f>
        <v>82</v>
      </c>
      <c r="G24" s="8">
        <f>76+15.8</f>
        <v>91.8</v>
      </c>
      <c r="H24" s="8">
        <f>74.8+17.7</f>
        <v>92.5</v>
      </c>
      <c r="I24" s="8">
        <f>79.8+19</f>
        <v>98.8</v>
      </c>
      <c r="J24" s="8">
        <f>84+19</f>
        <v>103</v>
      </c>
    </row>
    <row r="25" spans="2:10" s="2" customFormat="1" x14ac:dyDescent="0.2">
      <c r="B25" s="2" t="s">
        <v>15</v>
      </c>
      <c r="C25" s="8">
        <f>+C23-C24</f>
        <v>839.60000000000014</v>
      </c>
      <c r="D25" s="8">
        <f>+D23-D24</f>
        <v>876.3</v>
      </c>
      <c r="E25" s="8">
        <f>+E23-E24</f>
        <v>957.1</v>
      </c>
      <c r="F25" s="8">
        <f>+F23-F24</f>
        <v>907</v>
      </c>
      <c r="G25" s="8">
        <f>+G23-G24</f>
        <v>967.90000000000009</v>
      </c>
      <c r="H25" s="8">
        <f>+H23-H24</f>
        <v>1033.3</v>
      </c>
      <c r="I25" s="8">
        <f>+I23-I24</f>
        <v>1112.8000000000002</v>
      </c>
      <c r="J25" s="8">
        <f>+J23-J24</f>
        <v>1067</v>
      </c>
    </row>
    <row r="26" spans="2:10" s="2" customFormat="1" x14ac:dyDescent="0.2">
      <c r="B26" s="2" t="s">
        <v>16</v>
      </c>
      <c r="C26" s="8">
        <v>350.9</v>
      </c>
      <c r="D26" s="8">
        <v>359.3</v>
      </c>
      <c r="E26" s="8">
        <v>388.8</v>
      </c>
      <c r="F26" s="8">
        <v>377</v>
      </c>
      <c r="G26" s="8">
        <v>398.8</v>
      </c>
      <c r="H26" s="8">
        <v>419.4</v>
      </c>
      <c r="I26" s="8">
        <v>427.8</v>
      </c>
      <c r="J26" s="8">
        <v>419</v>
      </c>
    </row>
    <row r="27" spans="2:10" s="2" customFormat="1" x14ac:dyDescent="0.2">
      <c r="B27" s="2" t="s">
        <v>17</v>
      </c>
      <c r="C27" s="8">
        <v>232.5</v>
      </c>
      <c r="D27" s="8">
        <v>233</v>
      </c>
      <c r="E27" s="8">
        <v>249.6</v>
      </c>
      <c r="F27" s="8">
        <v>266</v>
      </c>
      <c r="G27" s="8">
        <v>276.89999999999998</v>
      </c>
      <c r="H27" s="8">
        <v>282.10000000000002</v>
      </c>
      <c r="I27" s="8">
        <v>290.3</v>
      </c>
      <c r="J27" s="8">
        <v>289</v>
      </c>
    </row>
    <row r="28" spans="2:10" s="2" customFormat="1" x14ac:dyDescent="0.2">
      <c r="B28" s="2" t="s">
        <v>18</v>
      </c>
      <c r="C28" s="8">
        <v>93.2</v>
      </c>
      <c r="D28" s="8">
        <v>98.8</v>
      </c>
      <c r="E28" s="8">
        <v>117.1</v>
      </c>
      <c r="F28" s="8">
        <v>112</v>
      </c>
      <c r="G28" s="8">
        <v>119.4</v>
      </c>
      <c r="H28" s="8">
        <v>112.8</v>
      </c>
      <c r="I28" s="8">
        <v>227.6</v>
      </c>
      <c r="J28" s="8">
        <v>120</v>
      </c>
    </row>
    <row r="29" spans="2:10" s="2" customFormat="1" x14ac:dyDescent="0.2">
      <c r="B29" s="2" t="s">
        <v>13</v>
      </c>
      <c r="C29" s="8">
        <f>SUM(C26:C28)</f>
        <v>676.6</v>
      </c>
      <c r="D29" s="8">
        <f>SUM(D26:D28)</f>
        <v>691.09999999999991</v>
      </c>
      <c r="E29" s="8">
        <f>SUM(E26:E28)</f>
        <v>755.5</v>
      </c>
      <c r="F29" s="8">
        <f>SUM(F26:F28)</f>
        <v>755</v>
      </c>
      <c r="G29" s="8">
        <f>SUM(G26:G28)</f>
        <v>795.1</v>
      </c>
      <c r="H29" s="8">
        <f>SUM(H26:H28)</f>
        <v>814.3</v>
      </c>
      <c r="I29" s="8">
        <f>SUM(I26:I28)</f>
        <v>945.7</v>
      </c>
      <c r="J29" s="8">
        <f>SUM(J26:J28)</f>
        <v>828</v>
      </c>
    </row>
    <row r="30" spans="2:10" s="2" customFormat="1" x14ac:dyDescent="0.2">
      <c r="B30" s="2" t="s">
        <v>12</v>
      </c>
      <c r="C30" s="8">
        <f>C25-C29</f>
        <v>163.00000000000011</v>
      </c>
      <c r="D30" s="8">
        <f>D25-D29</f>
        <v>185.20000000000005</v>
      </c>
      <c r="E30" s="8">
        <f>E25-E29</f>
        <v>201.60000000000002</v>
      </c>
      <c r="F30" s="8">
        <f>F25-F29</f>
        <v>152</v>
      </c>
      <c r="G30" s="8">
        <f>G25-G29</f>
        <v>172.80000000000007</v>
      </c>
      <c r="H30" s="8">
        <f>H25-H29</f>
        <v>219</v>
      </c>
      <c r="I30" s="8">
        <f>I25-I29</f>
        <v>167.10000000000014</v>
      </c>
      <c r="J30" s="8">
        <f>J25-J29</f>
        <v>239</v>
      </c>
    </row>
    <row r="31" spans="2:10" x14ac:dyDescent="0.2">
      <c r="B31" s="2" t="s">
        <v>23</v>
      </c>
      <c r="C31" s="8">
        <v>-17.100000000000001</v>
      </c>
      <c r="D31" s="8">
        <v>-11.9</v>
      </c>
      <c r="E31" s="8">
        <v>-13.3</v>
      </c>
      <c r="F31" s="8">
        <v>-3</v>
      </c>
      <c r="G31" s="8">
        <v>-9.3000000000000007</v>
      </c>
      <c r="H31" s="8">
        <v>-5.9</v>
      </c>
      <c r="I31" s="8">
        <v>-35.299999999999997</v>
      </c>
      <c r="J31" s="8">
        <v>-19</v>
      </c>
    </row>
    <row r="32" spans="2:10" x14ac:dyDescent="0.2">
      <c r="B32" s="2" t="s">
        <v>22</v>
      </c>
      <c r="C32" s="8">
        <f>+C30+C31</f>
        <v>145.90000000000012</v>
      </c>
      <c r="D32" s="8">
        <f>+D30+D31</f>
        <v>173.30000000000004</v>
      </c>
      <c r="E32" s="8">
        <f>+E30+E31</f>
        <v>188.3</v>
      </c>
      <c r="F32" s="8">
        <f>+F30+F31</f>
        <v>149</v>
      </c>
      <c r="G32" s="8">
        <f>+G30+G31</f>
        <v>163.50000000000006</v>
      </c>
      <c r="H32" s="8">
        <f>+H30+H31</f>
        <v>213.1</v>
      </c>
      <c r="I32" s="8">
        <f>+I30+I31</f>
        <v>131.80000000000013</v>
      </c>
      <c r="J32" s="8">
        <f>+J30+J31</f>
        <v>220</v>
      </c>
    </row>
    <row r="33" spans="2:10" s="2" customFormat="1" x14ac:dyDescent="0.2">
      <c r="B33" s="2" t="s">
        <v>21</v>
      </c>
      <c r="C33" s="8">
        <v>30.8</v>
      </c>
      <c r="D33" s="8">
        <v>23.9</v>
      </c>
      <c r="E33" s="8">
        <v>0</v>
      </c>
      <c r="F33" s="8">
        <v>0</v>
      </c>
      <c r="G33" s="8">
        <v>23.2</v>
      </c>
      <c r="H33" s="8">
        <v>50.7</v>
      </c>
      <c r="I33" s="8">
        <v>18</v>
      </c>
      <c r="J33" s="8">
        <v>49</v>
      </c>
    </row>
    <row r="34" spans="2:10" x14ac:dyDescent="0.2">
      <c r="B34" t="s">
        <v>20</v>
      </c>
      <c r="C34" s="8">
        <f>+C32-C33</f>
        <v>115.10000000000012</v>
      </c>
      <c r="D34" s="8">
        <f>+D32-D33</f>
        <v>149.40000000000003</v>
      </c>
      <c r="E34" s="8">
        <f>+E32-E33</f>
        <v>188.3</v>
      </c>
      <c r="F34" s="8">
        <f>+F32-F33</f>
        <v>149</v>
      </c>
      <c r="G34" s="8">
        <f>+G32-G33</f>
        <v>140.30000000000007</v>
      </c>
      <c r="H34" s="8">
        <f>+H32-H33</f>
        <v>162.39999999999998</v>
      </c>
      <c r="I34" s="8">
        <f>+I32-I33</f>
        <v>113.80000000000013</v>
      </c>
      <c r="J34" s="8">
        <f>+J32-J33</f>
        <v>171</v>
      </c>
    </row>
    <row r="35" spans="2:10" x14ac:dyDescent="0.2">
      <c r="B35" t="s">
        <v>19</v>
      </c>
      <c r="C35" s="11">
        <f>+C34/C36</f>
        <v>0.51800180018001862</v>
      </c>
      <c r="D35" s="11">
        <f>+D34/D36</f>
        <v>0.67206477732793535</v>
      </c>
      <c r="E35" s="11">
        <f>+E34/E36</f>
        <v>0.84629213483146071</v>
      </c>
      <c r="F35" s="11">
        <f>+F34/F36</f>
        <v>0.6711711711711712</v>
      </c>
      <c r="G35" s="11">
        <f>+G34/G36</f>
        <v>0.63056179775280929</v>
      </c>
      <c r="H35" s="11">
        <f>+H34/H36</f>
        <v>0.7298876404494381</v>
      </c>
      <c r="I35" s="11">
        <f>+I34/I36</f>
        <v>0.51446654611211629</v>
      </c>
      <c r="J35" s="11">
        <f>+J34/J36</f>
        <v>0.78082191780821919</v>
      </c>
    </row>
    <row r="36" spans="2:10" x14ac:dyDescent="0.2">
      <c r="B36" t="s">
        <v>1</v>
      </c>
      <c r="C36" s="8">
        <v>222.2</v>
      </c>
      <c r="D36" s="8">
        <v>222.3</v>
      </c>
      <c r="E36" s="8">
        <v>222.5</v>
      </c>
      <c r="F36" s="3">
        <v>222</v>
      </c>
      <c r="G36" s="8">
        <v>222.5</v>
      </c>
      <c r="H36" s="8">
        <v>222.5</v>
      </c>
      <c r="I36" s="8">
        <v>221.2</v>
      </c>
      <c r="J36" s="3">
        <v>219</v>
      </c>
    </row>
    <row r="38" spans="2:10" x14ac:dyDescent="0.2">
      <c r="B38" t="s">
        <v>55</v>
      </c>
      <c r="G38" s="12">
        <f>+G23/C23-1</f>
        <v>0.16055196583068665</v>
      </c>
      <c r="H38" s="12">
        <f>+H23/D23-1</f>
        <v>0.18206635867282661</v>
      </c>
      <c r="I38" s="12">
        <f>+I23/E23-1</f>
        <v>0.16589684372594315</v>
      </c>
      <c r="J38" s="12">
        <f>+J23/F23-1</f>
        <v>0.18301314459049545</v>
      </c>
    </row>
    <row r="39" spans="2:10" x14ac:dyDescent="0.2">
      <c r="B39" t="s">
        <v>83</v>
      </c>
      <c r="C39" s="12">
        <f t="shared" ref="C39:F39" si="0">+C25/C23</f>
        <v>0.91950498302486039</v>
      </c>
      <c r="D39" s="12">
        <f t="shared" si="0"/>
        <v>0.92009659806803856</v>
      </c>
      <c r="E39" s="12">
        <f t="shared" si="0"/>
        <v>0.92099692070823713</v>
      </c>
      <c r="F39" s="12">
        <f t="shared" si="0"/>
        <v>0.91708796764408496</v>
      </c>
      <c r="G39" s="12">
        <f>+G25/G23</f>
        <v>0.91337170897423803</v>
      </c>
      <c r="H39" s="12">
        <f>+H25/H23</f>
        <v>0.91783620536507371</v>
      </c>
      <c r="I39" s="12">
        <f>+I25/I23</f>
        <v>0.91845493562231761</v>
      </c>
      <c r="J39" s="12">
        <f>+J25/J23</f>
        <v>0.91196581196581195</v>
      </c>
    </row>
    <row r="41" spans="2:10" s="2" customFormat="1" x14ac:dyDescent="0.2">
      <c r="B41" s="2" t="s">
        <v>3</v>
      </c>
      <c r="C41" s="8"/>
      <c r="D41" s="8"/>
      <c r="E41" s="8"/>
      <c r="F41" s="8"/>
      <c r="G41" s="8"/>
      <c r="H41" s="8"/>
      <c r="I41" s="8"/>
      <c r="J41" s="8">
        <f>1518+67+39</f>
        <v>1624</v>
      </c>
    </row>
    <row r="42" spans="2:10" s="2" customFormat="1" x14ac:dyDescent="0.2">
      <c r="B42" s="2" t="s">
        <v>24</v>
      </c>
      <c r="C42" s="8"/>
      <c r="D42" s="8"/>
      <c r="E42" s="8"/>
      <c r="F42" s="8"/>
      <c r="G42" s="8"/>
      <c r="H42" s="8"/>
      <c r="I42" s="8"/>
      <c r="J42" s="8">
        <v>384</v>
      </c>
    </row>
    <row r="43" spans="2:10" s="2" customFormat="1" x14ac:dyDescent="0.2">
      <c r="B43" s="2" t="s">
        <v>26</v>
      </c>
      <c r="C43" s="8"/>
      <c r="D43" s="8"/>
      <c r="E43" s="8"/>
      <c r="F43" s="8"/>
      <c r="G43" s="8"/>
      <c r="H43" s="8"/>
      <c r="I43" s="8"/>
      <c r="J43" s="8">
        <v>389</v>
      </c>
    </row>
    <row r="44" spans="2:10" s="2" customFormat="1" x14ac:dyDescent="0.2">
      <c r="B44" s="2" t="s">
        <v>27</v>
      </c>
      <c r="C44" s="8"/>
      <c r="D44" s="8"/>
      <c r="E44" s="8"/>
      <c r="F44" s="8"/>
      <c r="G44" s="8"/>
      <c r="H44" s="8"/>
      <c r="I44" s="8"/>
      <c r="J44" s="8">
        <v>162</v>
      </c>
    </row>
    <row r="45" spans="2:10" s="2" customFormat="1" x14ac:dyDescent="0.2">
      <c r="B45" s="2" t="s">
        <v>28</v>
      </c>
      <c r="C45" s="8"/>
      <c r="D45" s="8"/>
      <c r="E45" s="8"/>
      <c r="F45" s="8"/>
      <c r="G45" s="8"/>
      <c r="H45" s="8"/>
      <c r="I45" s="8"/>
      <c r="J45" s="8">
        <v>303</v>
      </c>
    </row>
    <row r="46" spans="2:10" s="2" customFormat="1" x14ac:dyDescent="0.2">
      <c r="B46" s="2" t="s">
        <v>29</v>
      </c>
      <c r="C46" s="8"/>
      <c r="D46" s="8"/>
      <c r="E46" s="8"/>
      <c r="F46" s="8"/>
      <c r="G46" s="8"/>
      <c r="H46" s="8"/>
      <c r="I46" s="8"/>
      <c r="J46" s="8">
        <f>479+3642</f>
        <v>4121</v>
      </c>
    </row>
    <row r="47" spans="2:10" s="2" customFormat="1" x14ac:dyDescent="0.2">
      <c r="B47" s="2" t="s">
        <v>30</v>
      </c>
      <c r="C47" s="8"/>
      <c r="D47" s="8"/>
      <c r="E47" s="8"/>
      <c r="F47" s="8"/>
      <c r="G47" s="8"/>
      <c r="H47" s="8"/>
      <c r="I47" s="8"/>
      <c r="J47" s="8">
        <v>759</v>
      </c>
    </row>
    <row r="48" spans="2:10" s="2" customFormat="1" x14ac:dyDescent="0.2">
      <c r="B48" s="2" t="s">
        <v>31</v>
      </c>
      <c r="C48" s="8"/>
      <c r="D48" s="8"/>
      <c r="E48" s="8"/>
      <c r="F48" s="8"/>
      <c r="G48" s="8"/>
      <c r="H48" s="8"/>
      <c r="I48" s="8"/>
      <c r="J48" s="8">
        <v>519</v>
      </c>
    </row>
    <row r="49" spans="2:10" s="2" customFormat="1" x14ac:dyDescent="0.2">
      <c r="B49" s="2" t="s">
        <v>25</v>
      </c>
      <c r="C49" s="8"/>
      <c r="D49" s="8"/>
      <c r="E49" s="8"/>
      <c r="F49" s="8"/>
      <c r="G49" s="8"/>
      <c r="H49" s="8"/>
      <c r="I49" s="8"/>
      <c r="J49" s="8">
        <f>SUM(J41:J48)</f>
        <v>8261</v>
      </c>
    </row>
    <row r="50" spans="2:10" s="2" customFormat="1" x14ac:dyDescent="0.2">
      <c r="C50" s="8"/>
      <c r="D50" s="8"/>
      <c r="E50" s="8"/>
      <c r="F50" s="8"/>
      <c r="G50" s="8"/>
      <c r="H50" s="8"/>
      <c r="I50" s="8"/>
      <c r="J50" s="8"/>
    </row>
    <row r="51" spans="2:10" s="2" customFormat="1" x14ac:dyDescent="0.2">
      <c r="B51" s="2" t="s">
        <v>32</v>
      </c>
      <c r="C51" s="8"/>
      <c r="D51" s="8"/>
      <c r="E51" s="8"/>
      <c r="F51" s="8"/>
      <c r="G51" s="8"/>
      <c r="H51" s="8"/>
      <c r="I51" s="8"/>
      <c r="J51" s="8">
        <v>135</v>
      </c>
    </row>
    <row r="52" spans="2:10" s="2" customFormat="1" x14ac:dyDescent="0.2">
      <c r="B52" s="2" t="s">
        <v>33</v>
      </c>
      <c r="C52" s="8"/>
      <c r="D52" s="8"/>
      <c r="E52" s="8"/>
      <c r="F52" s="8"/>
      <c r="G52" s="8"/>
      <c r="H52" s="8"/>
      <c r="I52" s="8"/>
      <c r="J52" s="8">
        <v>220</v>
      </c>
    </row>
    <row r="53" spans="2:10" s="2" customFormat="1" x14ac:dyDescent="0.2">
      <c r="B53" s="2" t="s">
        <v>21</v>
      </c>
      <c r="C53" s="8"/>
      <c r="D53" s="8"/>
      <c r="E53" s="8"/>
      <c r="F53" s="8"/>
      <c r="G53" s="8"/>
      <c r="H53" s="8"/>
      <c r="I53" s="8"/>
      <c r="J53" s="8">
        <f>50+37+34</f>
        <v>121</v>
      </c>
    </row>
    <row r="54" spans="2:10" s="2" customFormat="1" x14ac:dyDescent="0.2">
      <c r="B54" s="2" t="s">
        <v>34</v>
      </c>
      <c r="C54" s="8"/>
      <c r="D54" s="8"/>
      <c r="E54" s="8"/>
      <c r="F54" s="8"/>
      <c r="G54" s="8"/>
      <c r="H54" s="8"/>
      <c r="I54" s="8"/>
      <c r="J54" s="8">
        <f>2809+940</f>
        <v>3749</v>
      </c>
    </row>
    <row r="55" spans="2:10" s="2" customFormat="1" x14ac:dyDescent="0.2">
      <c r="B55" s="2" t="s">
        <v>28</v>
      </c>
      <c r="C55" s="8"/>
      <c r="D55" s="8"/>
      <c r="E55" s="8"/>
      <c r="F55" s="8"/>
      <c r="G55" s="8"/>
      <c r="H55" s="8"/>
      <c r="I55" s="8"/>
      <c r="J55" s="8">
        <f>77+347</f>
        <v>424</v>
      </c>
    </row>
    <row r="56" spans="2:10" s="2" customFormat="1" x14ac:dyDescent="0.2">
      <c r="B56" s="2" t="s">
        <v>4</v>
      </c>
      <c r="C56" s="8"/>
      <c r="D56" s="8"/>
      <c r="E56" s="8"/>
      <c r="F56" s="8"/>
      <c r="G56" s="8"/>
      <c r="H56" s="8"/>
      <c r="I56" s="8"/>
      <c r="J56" s="8">
        <f>350+2279</f>
        <v>2629</v>
      </c>
    </row>
    <row r="57" spans="2:10" s="2" customFormat="1" x14ac:dyDescent="0.2">
      <c r="B57" s="2" t="s">
        <v>35</v>
      </c>
      <c r="C57" s="8"/>
      <c r="D57" s="8"/>
      <c r="E57" s="8"/>
      <c r="F57" s="8"/>
      <c r="G57" s="8"/>
      <c r="H57" s="8"/>
      <c r="I57" s="8"/>
      <c r="J57" s="8">
        <f>160+142</f>
        <v>302</v>
      </c>
    </row>
    <row r="58" spans="2:10" s="2" customFormat="1" x14ac:dyDescent="0.2">
      <c r="B58" s="2" t="s">
        <v>36</v>
      </c>
      <c r="C58" s="8"/>
      <c r="D58" s="8"/>
      <c r="E58" s="8"/>
      <c r="F58" s="8"/>
      <c r="G58" s="8"/>
      <c r="H58" s="8"/>
      <c r="I58" s="8"/>
      <c r="J58" s="8">
        <v>681</v>
      </c>
    </row>
    <row r="59" spans="2:10" s="2" customFormat="1" x14ac:dyDescent="0.2">
      <c r="B59" s="2" t="s">
        <v>37</v>
      </c>
      <c r="C59" s="8"/>
      <c r="D59" s="8"/>
      <c r="E59" s="8"/>
      <c r="F59" s="8"/>
      <c r="G59" s="8"/>
      <c r="H59" s="8"/>
      <c r="I59" s="8"/>
      <c r="J59" s="8">
        <f>SUM(J51:J58)</f>
        <v>8261</v>
      </c>
    </row>
    <row r="61" spans="2:10" x14ac:dyDescent="0.2">
      <c r="B61" s="2" t="s">
        <v>39</v>
      </c>
      <c r="C61" s="8"/>
      <c r="D61" s="8"/>
      <c r="E61" s="8"/>
      <c r="F61" s="8"/>
      <c r="J61" s="8">
        <f>+J34</f>
        <v>171</v>
      </c>
    </row>
    <row r="62" spans="2:10" x14ac:dyDescent="0.2">
      <c r="B62" s="2" t="s">
        <v>40</v>
      </c>
      <c r="C62" s="8"/>
      <c r="D62" s="8"/>
      <c r="E62" s="8"/>
      <c r="J62" s="3">
        <v>146</v>
      </c>
    </row>
    <row r="63" spans="2:10" x14ac:dyDescent="0.2">
      <c r="B63" s="2" t="s">
        <v>41</v>
      </c>
      <c r="C63" s="8"/>
      <c r="D63" s="8"/>
      <c r="E63" s="8"/>
      <c r="J63" s="3">
        <v>38</v>
      </c>
    </row>
    <row r="64" spans="2:10" x14ac:dyDescent="0.2">
      <c r="B64" s="2" t="s">
        <v>42</v>
      </c>
      <c r="C64" s="8"/>
      <c r="D64" s="8"/>
      <c r="E64" s="8"/>
      <c r="J64" s="3">
        <v>152</v>
      </c>
    </row>
    <row r="65" spans="2:10" x14ac:dyDescent="0.2">
      <c r="B65" s="2" t="s">
        <v>30</v>
      </c>
      <c r="C65" s="8"/>
      <c r="D65" s="8"/>
      <c r="E65" s="8"/>
      <c r="J65" s="3">
        <v>-22</v>
      </c>
    </row>
    <row r="66" spans="2:10" x14ac:dyDescent="0.2">
      <c r="B66" s="2" t="s">
        <v>43</v>
      </c>
      <c r="C66" s="8"/>
      <c r="D66" s="8"/>
      <c r="E66" s="8"/>
      <c r="J66" s="3">
        <v>2</v>
      </c>
    </row>
    <row r="67" spans="2:10" x14ac:dyDescent="0.2">
      <c r="B67" s="2" t="s">
        <v>11</v>
      </c>
      <c r="C67" s="8"/>
      <c r="D67" s="8"/>
      <c r="E67" s="8"/>
      <c r="J67" s="3">
        <v>27</v>
      </c>
    </row>
    <row r="68" spans="2:10" x14ac:dyDescent="0.2">
      <c r="B68" s="2" t="s">
        <v>44</v>
      </c>
      <c r="C68" s="8"/>
      <c r="D68" s="8"/>
      <c r="E68" s="8"/>
      <c r="J68" s="3">
        <f>332-23-218-38+38</f>
        <v>91</v>
      </c>
    </row>
    <row r="69" spans="2:10" x14ac:dyDescent="0.2">
      <c r="B69" t="s">
        <v>38</v>
      </c>
      <c r="J69" s="3">
        <f>SUM(J62:J68)</f>
        <v>434</v>
      </c>
    </row>
    <row r="71" spans="2:10" x14ac:dyDescent="0.2">
      <c r="B71" s="2" t="s">
        <v>46</v>
      </c>
      <c r="C71" s="8"/>
      <c r="D71" s="8"/>
      <c r="E71" s="8"/>
      <c r="J71" s="3">
        <f>-29+202</f>
        <v>173</v>
      </c>
    </row>
    <row r="72" spans="2:10" x14ac:dyDescent="0.2">
      <c r="B72" s="2" t="s">
        <v>47</v>
      </c>
      <c r="C72" s="8"/>
      <c r="D72" s="8"/>
      <c r="E72" s="8"/>
      <c r="J72" s="3">
        <v>-12</v>
      </c>
    </row>
    <row r="73" spans="2:10" x14ac:dyDescent="0.2">
      <c r="B73" s="2" t="s">
        <v>48</v>
      </c>
      <c r="C73" s="8"/>
      <c r="D73" s="8"/>
      <c r="E73" s="8"/>
      <c r="J73" s="3">
        <f>-4-96</f>
        <v>-100</v>
      </c>
    </row>
    <row r="74" spans="2:10" x14ac:dyDescent="0.2">
      <c r="B74" s="2" t="s">
        <v>11</v>
      </c>
      <c r="C74" s="8"/>
      <c r="D74" s="8"/>
      <c r="E74" s="8"/>
      <c r="J74" s="3">
        <v>-30</v>
      </c>
    </row>
    <row r="75" spans="2:10" x14ac:dyDescent="0.2">
      <c r="B75" t="s">
        <v>45</v>
      </c>
      <c r="J75" s="3">
        <f>SUM(J71:J74)</f>
        <v>31</v>
      </c>
    </row>
    <row r="77" spans="2:10" x14ac:dyDescent="0.2">
      <c r="B77" s="2" t="s">
        <v>54</v>
      </c>
      <c r="C77" s="8"/>
      <c r="D77" s="8"/>
      <c r="E77" s="8"/>
      <c r="J77" s="3">
        <v>67</v>
      </c>
    </row>
    <row r="78" spans="2:10" x14ac:dyDescent="0.2">
      <c r="B78" t="s">
        <v>53</v>
      </c>
      <c r="J78" s="3">
        <v>-70</v>
      </c>
    </row>
    <row r="79" spans="2:10" x14ac:dyDescent="0.2">
      <c r="B79" t="s">
        <v>52</v>
      </c>
      <c r="J79" s="3">
        <v>-457</v>
      </c>
    </row>
    <row r="80" spans="2:10" x14ac:dyDescent="0.2">
      <c r="B80" t="s">
        <v>51</v>
      </c>
      <c r="J80" s="3">
        <f>SUM(J77:J79)</f>
        <v>-460</v>
      </c>
    </row>
    <row r="81" spans="2:10" x14ac:dyDescent="0.2">
      <c r="B81" t="s">
        <v>49</v>
      </c>
      <c r="J81" s="3">
        <v>-15</v>
      </c>
    </row>
    <row r="82" spans="2:10" x14ac:dyDescent="0.2">
      <c r="B82" t="s">
        <v>50</v>
      </c>
      <c r="J82" s="3">
        <f>+J81+J80+J75+J69</f>
        <v>-10</v>
      </c>
    </row>
    <row r="84" spans="2:10" x14ac:dyDescent="0.2">
      <c r="B84" t="s">
        <v>78</v>
      </c>
      <c r="J84" s="3">
        <v>4683</v>
      </c>
    </row>
    <row r="85" spans="2:10" x14ac:dyDescent="0.2">
      <c r="B85" t="s">
        <v>79</v>
      </c>
      <c r="J85" s="3">
        <v>3142</v>
      </c>
    </row>
  </sheetData>
  <hyperlinks>
    <hyperlink ref="A1" location="Main!A1" display="Main" xr:uid="{4E2C1BC3-4AAF-4938-8DE4-E1646159893A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2022-08-07T05:42:53Z</dcterms:created>
  <dcterms:modified xsi:type="dcterms:W3CDTF">2022-08-07T06:21:46Z</dcterms:modified>
</cp:coreProperties>
</file>