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DFB0EA2-B626-44FB-ACA3-E5312183736E}" xr6:coauthVersionLast="47" xr6:coauthVersionMax="47" xr10:uidLastSave="{00000000-0000-0000-0000-000000000000}"/>
  <bookViews>
    <workbookView xWindow="-31080" yWindow="255" windowWidth="25590" windowHeight="15345" xr2:uid="{E4C0A9B2-FB73-47CE-AC12-B64CBDEFEBB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6" i="2" l="1"/>
  <c r="U52" i="2"/>
  <c r="U51" i="2"/>
  <c r="U50" i="2"/>
  <c r="U49" i="2"/>
  <c r="U48" i="2"/>
  <c r="U40" i="2"/>
  <c r="U39" i="2"/>
  <c r="U42" i="2" s="1"/>
  <c r="U38" i="2"/>
  <c r="U37" i="2"/>
  <c r="U29" i="2"/>
  <c r="U24" i="2"/>
  <c r="T46" i="2"/>
  <c r="S46" i="2"/>
  <c r="F19" i="2"/>
  <c r="F16" i="2"/>
  <c r="F11" i="2"/>
  <c r="F10" i="2"/>
  <c r="F9" i="2"/>
  <c r="J19" i="2"/>
  <c r="J16" i="2"/>
  <c r="J11" i="2"/>
  <c r="J10" i="2"/>
  <c r="J9" i="2"/>
  <c r="F7" i="2"/>
  <c r="J7" i="2"/>
  <c r="F6" i="2"/>
  <c r="J6" i="2"/>
  <c r="S14" i="2"/>
  <c r="T14" i="2"/>
  <c r="U14" i="2"/>
  <c r="U12" i="2"/>
  <c r="T12" i="2"/>
  <c r="S12" i="2"/>
  <c r="S8" i="2"/>
  <c r="S22" i="2" s="1"/>
  <c r="T8" i="2"/>
  <c r="T22" i="2" s="1"/>
  <c r="U8" i="2"/>
  <c r="U22" i="2" s="1"/>
  <c r="T21" i="2"/>
  <c r="U21" i="2"/>
  <c r="T2" i="2"/>
  <c r="U2" i="2" s="1"/>
  <c r="K6" i="1"/>
  <c r="K5" i="1"/>
  <c r="E14" i="2"/>
  <c r="E12" i="2"/>
  <c r="E8" i="2"/>
  <c r="E22" i="2" s="1"/>
  <c r="I21" i="2"/>
  <c r="I14" i="2"/>
  <c r="I12" i="2"/>
  <c r="I8" i="2"/>
  <c r="I22" i="2" s="1"/>
  <c r="D45" i="2"/>
  <c r="E45" i="2" s="1"/>
  <c r="F45" i="2" s="1"/>
  <c r="D44" i="2"/>
  <c r="H45" i="2"/>
  <c r="H44" i="2"/>
  <c r="I44" i="2" s="1"/>
  <c r="J44" i="2" s="1"/>
  <c r="H21" i="2"/>
  <c r="D14" i="2"/>
  <c r="D12" i="2"/>
  <c r="D8" i="2"/>
  <c r="D22" i="2" s="1"/>
  <c r="H14" i="2"/>
  <c r="H12" i="2"/>
  <c r="H8" i="2"/>
  <c r="H22" i="2" s="1"/>
  <c r="G46" i="2"/>
  <c r="C46" i="2"/>
  <c r="G21" i="2"/>
  <c r="C14" i="2"/>
  <c r="G14" i="2"/>
  <c r="C8" i="2"/>
  <c r="C22" i="2" s="1"/>
  <c r="C12" i="2"/>
  <c r="C13" i="2" s="1"/>
  <c r="G12" i="2"/>
  <c r="G8" i="2"/>
  <c r="K4" i="1"/>
  <c r="K7" i="1" s="1"/>
  <c r="C15" i="2" l="1"/>
  <c r="C17" i="2" s="1"/>
  <c r="C18" i="2" s="1"/>
  <c r="U32" i="2"/>
  <c r="U33" i="2" s="1"/>
  <c r="D46" i="2"/>
  <c r="J8" i="2"/>
  <c r="F8" i="2"/>
  <c r="F22" i="2" s="1"/>
  <c r="F12" i="2"/>
  <c r="G13" i="2"/>
  <c r="G15" i="2" s="1"/>
  <c r="G17" i="2" s="1"/>
  <c r="G18" i="2" s="1"/>
  <c r="J14" i="2"/>
  <c r="H46" i="2"/>
  <c r="J21" i="2"/>
  <c r="J12" i="2"/>
  <c r="J13" i="2" s="1"/>
  <c r="J15" i="2" s="1"/>
  <c r="J17" i="2" s="1"/>
  <c r="J18" i="2" s="1"/>
  <c r="J22" i="2"/>
  <c r="G22" i="2"/>
  <c r="E44" i="2"/>
  <c r="F14" i="2"/>
  <c r="I45" i="2"/>
  <c r="J45" i="2" s="1"/>
  <c r="J46" i="2" s="1"/>
  <c r="T13" i="2"/>
  <c r="T15" i="2" s="1"/>
  <c r="T17" i="2" s="1"/>
  <c r="T18" i="2" s="1"/>
  <c r="S13" i="2"/>
  <c r="S15" i="2" s="1"/>
  <c r="S17" i="2" s="1"/>
  <c r="S18" i="2" s="1"/>
  <c r="U13" i="2"/>
  <c r="U15" i="2" s="1"/>
  <c r="U17" i="2" s="1"/>
  <c r="U18" i="2" s="1"/>
  <c r="E13" i="2"/>
  <c r="E15" i="2" s="1"/>
  <c r="E17" i="2" s="1"/>
  <c r="E18" i="2" s="1"/>
  <c r="I13" i="2"/>
  <c r="I15" i="2" s="1"/>
  <c r="I17" i="2" s="1"/>
  <c r="I18" i="2" s="1"/>
  <c r="D13" i="2"/>
  <c r="D15" i="2" s="1"/>
  <c r="D17" i="2" s="1"/>
  <c r="D18" i="2" s="1"/>
  <c r="H13" i="2"/>
  <c r="H15" i="2" s="1"/>
  <c r="H17" i="2" s="1"/>
  <c r="H18" i="2" s="1"/>
  <c r="F13" i="2" l="1"/>
  <c r="F15" i="2" s="1"/>
  <c r="F17" i="2" s="1"/>
  <c r="F18" i="2" s="1"/>
  <c r="F44" i="2"/>
  <c r="F46" i="2" s="1"/>
  <c r="E46" i="2"/>
  <c r="I46" i="2"/>
</calcChain>
</file>

<file path=xl/sharedStrings.xml><?xml version="1.0" encoding="utf-8"?>
<sst xmlns="http://schemas.openxmlformats.org/spreadsheetml/2006/main" count="67" uniqueCount="61">
  <si>
    <t>Price</t>
  </si>
  <si>
    <t>Shares</t>
  </si>
  <si>
    <t>MC</t>
  </si>
  <si>
    <t>Cash</t>
  </si>
  <si>
    <t>Debt</t>
  </si>
  <si>
    <t>EV</t>
  </si>
  <si>
    <t>Q124</t>
  </si>
  <si>
    <t>Main</t>
  </si>
  <si>
    <t>Revenue</t>
  </si>
  <si>
    <t>Q123</t>
  </si>
  <si>
    <t>Q223</t>
  </si>
  <si>
    <t>Q323</t>
  </si>
  <si>
    <t>Q423</t>
  </si>
  <si>
    <t>Q224</t>
  </si>
  <si>
    <t>Q324</t>
  </si>
  <si>
    <t>Q424</t>
  </si>
  <si>
    <t>COGS</t>
  </si>
  <si>
    <t>Gross Profit</t>
  </si>
  <si>
    <t>Operating Expenses</t>
  </si>
  <si>
    <t>Operating Income</t>
  </si>
  <si>
    <t>G&amp;A</t>
  </si>
  <si>
    <t>S&amp;M</t>
  </si>
  <si>
    <t>R&amp;D</t>
  </si>
  <si>
    <t>Interest Income</t>
  </si>
  <si>
    <t>Pretax Income</t>
  </si>
  <si>
    <t>Taxes</t>
  </si>
  <si>
    <t>Net Income</t>
  </si>
  <si>
    <t>S/O</t>
  </si>
  <si>
    <t>EPS</t>
  </si>
  <si>
    <t>Revenue y/y</t>
  </si>
  <si>
    <t>CFFO</t>
  </si>
  <si>
    <t>CX</t>
  </si>
  <si>
    <t>FCF</t>
  </si>
  <si>
    <t>Gross Margin</t>
  </si>
  <si>
    <t>Q125</t>
  </si>
  <si>
    <t>Q225</t>
  </si>
  <si>
    <t>Q325</t>
  </si>
  <si>
    <t>Q425</t>
  </si>
  <si>
    <t>Security</t>
  </si>
  <si>
    <t>Delivery</t>
  </si>
  <si>
    <t>Compute</t>
  </si>
  <si>
    <t>PP&amp;E</t>
  </si>
  <si>
    <t>Prepaids</t>
  </si>
  <si>
    <t>AR</t>
  </si>
  <si>
    <t>Assets</t>
  </si>
  <si>
    <t>Goodwill</t>
  </si>
  <si>
    <t>Tangible</t>
  </si>
  <si>
    <t>Lease</t>
  </si>
  <si>
    <t>DTA</t>
  </si>
  <si>
    <t>Other</t>
  </si>
  <si>
    <t>AP</t>
  </si>
  <si>
    <t>AE</t>
  </si>
  <si>
    <t>DR</t>
  </si>
  <si>
    <t>OCL</t>
  </si>
  <si>
    <t>SE</t>
  </si>
  <si>
    <t>L+SE</t>
  </si>
  <si>
    <t>ROE</t>
  </si>
  <si>
    <t>ROTE</t>
  </si>
  <si>
    <t>ROA</t>
  </si>
  <si>
    <t>ROTA</t>
  </si>
  <si>
    <t>Buffett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</si>
</sst>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  <xf numFmtId="9" fontId="0" fillId="0" borderId="0" xfId="0" applyNumberFormat="1"/>
    <xf numFmtId="3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25571BB-E24D-46E8-BE35-10A6FE3338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29766</xdr:colOff>
      <xdr:row>0</xdr:row>
      <xdr:rowOff>47625</xdr:rowOff>
    </xdr:from>
    <xdr:to>
      <xdr:col>10</xdr:col>
      <xdr:colOff>29766</xdr:colOff>
      <xdr:row>59</xdr:row>
      <xdr:rowOff>130968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4DD39BC-0A1E-E9A8-B31B-13A7A861883E}"/>
            </a:ext>
          </a:extLst>
        </xdr:cNvPr>
        <xdr:cNvCxnSpPr/>
      </xdr:nvCxnSpPr>
      <xdr:spPr>
        <a:xfrm>
          <a:off x="6429375" y="47625"/>
          <a:ext cx="0" cy="58697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</xdr:colOff>
      <xdr:row>0</xdr:row>
      <xdr:rowOff>20139</xdr:rowOff>
    </xdr:from>
    <xdr:to>
      <xdr:col>21</xdr:col>
      <xdr:colOff>30480</xdr:colOff>
      <xdr:row>62</xdr:row>
      <xdr:rowOff>146957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1C6DE78-0AB5-7B4D-4FC6-53BEC42420D4}"/>
            </a:ext>
          </a:extLst>
        </xdr:cNvPr>
        <xdr:cNvCxnSpPr/>
      </xdr:nvCxnSpPr>
      <xdr:spPr>
        <a:xfrm>
          <a:off x="13159740" y="20139"/>
          <a:ext cx="0" cy="1028427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FF7A-CE56-4C96-AAA5-F1810DDF8E0D}">
  <dimension ref="J2:L7"/>
  <sheetViews>
    <sheetView tabSelected="1" zoomScale="175" zoomScaleNormal="175" workbookViewId="0">
      <selection activeCell="J1" sqref="J1:M8"/>
    </sheetView>
  </sheetViews>
  <sheetFormatPr defaultRowHeight="12.75" x14ac:dyDescent="0.2"/>
  <cols>
    <col min="1" max="8" width="6.7109375" customWidth="1"/>
  </cols>
  <sheetData>
    <row r="2" spans="10:12" x14ac:dyDescent="0.2">
      <c r="J2" t="s">
        <v>0</v>
      </c>
      <c r="K2" s="1">
        <v>82.87</v>
      </c>
    </row>
    <row r="3" spans="10:12" x14ac:dyDescent="0.2">
      <c r="J3" t="s">
        <v>1</v>
      </c>
      <c r="K3" s="2">
        <v>150.31753599999999</v>
      </c>
      <c r="L3" s="3" t="s">
        <v>15</v>
      </c>
    </row>
    <row r="4" spans="10:12" x14ac:dyDescent="0.2">
      <c r="J4" t="s">
        <v>2</v>
      </c>
      <c r="K4" s="2">
        <f>+K2*K3</f>
        <v>12456.81420832</v>
      </c>
    </row>
    <row r="5" spans="10:12" x14ac:dyDescent="0.2">
      <c r="J5" t="s">
        <v>3</v>
      </c>
      <c r="K5" s="2">
        <f>517.707+1078.876+275.592</f>
        <v>1872.1750000000002</v>
      </c>
      <c r="L5" s="3" t="s">
        <v>15</v>
      </c>
    </row>
    <row r="6" spans="10:12" x14ac:dyDescent="0.2">
      <c r="J6" t="s">
        <v>4</v>
      </c>
      <c r="K6" s="2">
        <f>1149.116+2396.695</f>
        <v>3545.8110000000001</v>
      </c>
      <c r="L6" s="3" t="s">
        <v>15</v>
      </c>
    </row>
    <row r="7" spans="10:12" x14ac:dyDescent="0.2">
      <c r="J7" t="s">
        <v>5</v>
      </c>
      <c r="K7" s="2">
        <f>+K4-K5+K6</f>
        <v>14130.45020832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4AB6-123E-4A50-BBB6-598F15567D6B}">
  <dimension ref="A1:W52"/>
  <sheetViews>
    <sheetView zoomScale="250" zoomScaleNormal="250" workbookViewId="0">
      <pane xSplit="2" ySplit="2" topLeftCell="R37" activePane="bottomRight" state="frozen"/>
      <selection pane="topRight" activeCell="C1" sqref="C1"/>
      <selection pane="bottomLeft" activeCell="A3" sqref="A3"/>
      <selection pane="bottomRight" activeCell="U46" sqref="S46:U46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3"/>
  </cols>
  <sheetData>
    <row r="1" spans="1:23" x14ac:dyDescent="0.2">
      <c r="A1" s="4" t="s">
        <v>7</v>
      </c>
    </row>
    <row r="2" spans="1:23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6</v>
      </c>
      <c r="H2" s="3" t="s">
        <v>13</v>
      </c>
      <c r="I2" s="3" t="s">
        <v>14</v>
      </c>
      <c r="J2" s="3" t="s">
        <v>15</v>
      </c>
      <c r="K2" s="3" t="s">
        <v>34</v>
      </c>
      <c r="L2" s="3" t="s">
        <v>35</v>
      </c>
      <c r="M2" s="3" t="s">
        <v>36</v>
      </c>
      <c r="N2" s="3" t="s">
        <v>37</v>
      </c>
      <c r="Q2">
        <v>2020</v>
      </c>
      <c r="R2">
        <v>2021</v>
      </c>
      <c r="S2">
        <v>2022</v>
      </c>
      <c r="T2">
        <f>+S2+1</f>
        <v>2023</v>
      </c>
      <c r="U2">
        <f>+T2+1</f>
        <v>2024</v>
      </c>
      <c r="V2">
        <v>2025</v>
      </c>
      <c r="W2">
        <v>2026</v>
      </c>
    </row>
    <row r="3" spans="1:23" s="2" customFormat="1" x14ac:dyDescent="0.2">
      <c r="B3" s="2" t="s">
        <v>38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S3" s="2">
        <v>1541.941</v>
      </c>
      <c r="T3" s="2">
        <v>1765.2670000000001</v>
      </c>
      <c r="U3" s="2">
        <v>2042.6610000000001</v>
      </c>
    </row>
    <row r="4" spans="1:23" s="2" customFormat="1" x14ac:dyDescent="0.2">
      <c r="B4" s="2" t="s">
        <v>39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S4" s="2">
        <v>1669.2570000000001</v>
      </c>
      <c r="T4" s="2">
        <v>1542.434</v>
      </c>
      <c r="U4" s="2">
        <v>1318.1310000000001</v>
      </c>
    </row>
    <row r="5" spans="1:23" s="2" customFormat="1" x14ac:dyDescent="0.2">
      <c r="B5" s="2" t="s">
        <v>40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S5" s="2">
        <v>405.45600000000002</v>
      </c>
      <c r="T5" s="2">
        <v>504.21899999999999</v>
      </c>
      <c r="U5" s="2">
        <v>630.37599999999998</v>
      </c>
    </row>
    <row r="6" spans="1:23" s="6" customFormat="1" x14ac:dyDescent="0.2">
      <c r="B6" s="6" t="s">
        <v>8</v>
      </c>
      <c r="C6" s="7">
        <v>915.69799999999998</v>
      </c>
      <c r="D6" s="7">
        <v>935.721</v>
      </c>
      <c r="E6" s="7">
        <v>965.48400000000004</v>
      </c>
      <c r="F6" s="7">
        <f>+T6-E6-D6-C6</f>
        <v>995.01700000000017</v>
      </c>
      <c r="G6" s="7">
        <v>986.97</v>
      </c>
      <c r="H6" s="7">
        <v>979.58</v>
      </c>
      <c r="I6" s="7">
        <v>1004.679</v>
      </c>
      <c r="J6" s="7">
        <f>+U6-I6-H6-G6</f>
        <v>1019.9390000000001</v>
      </c>
      <c r="K6" s="7"/>
      <c r="L6" s="7"/>
      <c r="M6" s="7"/>
      <c r="N6" s="7"/>
      <c r="S6" s="6">
        <v>3616.654</v>
      </c>
      <c r="T6" s="6">
        <v>3811.92</v>
      </c>
      <c r="U6" s="6">
        <v>3991.1680000000001</v>
      </c>
    </row>
    <row r="7" spans="1:23" s="2" customFormat="1" x14ac:dyDescent="0.2">
      <c r="B7" s="2" t="s">
        <v>16</v>
      </c>
      <c r="C7" s="5">
        <v>361.31599999999997</v>
      </c>
      <c r="D7" s="5">
        <v>373.27499999999998</v>
      </c>
      <c r="E7" s="5">
        <v>383.07499999999999</v>
      </c>
      <c r="F7" s="10">
        <f>+T7-E7-D7-C7</f>
        <v>393.39700000000011</v>
      </c>
      <c r="G7" s="5">
        <v>394.74299999999999</v>
      </c>
      <c r="H7" s="5">
        <v>402.88799999999998</v>
      </c>
      <c r="I7" s="5">
        <v>408.80599999999998</v>
      </c>
      <c r="J7" s="10">
        <f>+U7-I7-H7-G7</f>
        <v>414.35599999999994</v>
      </c>
      <c r="K7" s="10"/>
      <c r="L7" s="10"/>
      <c r="M7" s="10"/>
      <c r="N7" s="10"/>
      <c r="S7" s="2">
        <v>1383.819</v>
      </c>
      <c r="T7" s="2">
        <v>1511.0630000000001</v>
      </c>
      <c r="U7" s="2">
        <v>1620.7929999999999</v>
      </c>
    </row>
    <row r="8" spans="1:23" s="2" customFormat="1" x14ac:dyDescent="0.2">
      <c r="B8" s="2" t="s">
        <v>17</v>
      </c>
      <c r="C8" s="5">
        <f>+C6-C7</f>
        <v>554.38200000000006</v>
      </c>
      <c r="D8" s="5">
        <f>+D6-D7</f>
        <v>562.44600000000003</v>
      </c>
      <c r="E8" s="5">
        <f>+E6-E7</f>
        <v>582.40900000000011</v>
      </c>
      <c r="F8" s="5">
        <f>+F6-F7</f>
        <v>601.62000000000012</v>
      </c>
      <c r="G8" s="5">
        <f>+G6-G7</f>
        <v>592.22700000000009</v>
      </c>
      <c r="H8" s="5">
        <f>+H6-H7</f>
        <v>576.69200000000001</v>
      </c>
      <c r="I8" s="5">
        <f>+I6-I7</f>
        <v>595.87300000000005</v>
      </c>
      <c r="J8" s="5">
        <f>+J6-J7</f>
        <v>605.58300000000008</v>
      </c>
      <c r="K8" s="5"/>
      <c r="L8" s="5"/>
      <c r="M8" s="5"/>
      <c r="N8" s="5"/>
      <c r="S8" s="2">
        <f>+S6-S7</f>
        <v>2232.835</v>
      </c>
      <c r="T8" s="2">
        <f>+T6-T7</f>
        <v>2300.857</v>
      </c>
      <c r="U8" s="2">
        <f>+U6-U7</f>
        <v>2370.375</v>
      </c>
    </row>
    <row r="9" spans="1:23" s="2" customFormat="1" x14ac:dyDescent="0.2">
      <c r="B9" s="2" t="s">
        <v>22</v>
      </c>
      <c r="C9" s="5">
        <v>91.863</v>
      </c>
      <c r="D9" s="5">
        <v>99.040999999999997</v>
      </c>
      <c r="E9" s="5">
        <v>105.94199999999999</v>
      </c>
      <c r="F9" s="10">
        <f t="shared" ref="F9:F11" si="0">+T9-E9-D9-C9</f>
        <v>109.202</v>
      </c>
      <c r="G9" s="5">
        <v>116.932</v>
      </c>
      <c r="H9" s="5">
        <v>113.352</v>
      </c>
      <c r="I9" s="5">
        <v>120.34699999999999</v>
      </c>
      <c r="J9" s="10">
        <f t="shared" ref="J9:J11" si="1">+U9-I9-H9-G9</f>
        <v>120.24499999999999</v>
      </c>
      <c r="K9" s="10"/>
      <c r="L9" s="10"/>
      <c r="M9" s="10"/>
      <c r="N9" s="10"/>
      <c r="S9" s="2">
        <v>391.43400000000003</v>
      </c>
      <c r="T9" s="2">
        <v>406.048</v>
      </c>
      <c r="U9" s="2">
        <v>470.87599999999998</v>
      </c>
    </row>
    <row r="10" spans="1:23" s="2" customFormat="1" x14ac:dyDescent="0.2">
      <c r="B10" s="2" t="s">
        <v>21</v>
      </c>
      <c r="C10" s="5">
        <v>129.107</v>
      </c>
      <c r="D10" s="5">
        <v>136.554</v>
      </c>
      <c r="E10" s="5">
        <v>132.309</v>
      </c>
      <c r="F10" s="10">
        <f t="shared" si="0"/>
        <v>135.25600000000006</v>
      </c>
      <c r="G10" s="5">
        <v>134.57</v>
      </c>
      <c r="H10" s="5">
        <v>139.03899999999999</v>
      </c>
      <c r="I10" s="5">
        <v>138.55099999999999</v>
      </c>
      <c r="J10" s="10">
        <f t="shared" si="1"/>
        <v>144.62099999999998</v>
      </c>
      <c r="K10" s="10"/>
      <c r="L10" s="10"/>
      <c r="M10" s="10"/>
      <c r="N10" s="10"/>
      <c r="S10" s="2">
        <v>502.40899999999999</v>
      </c>
      <c r="T10" s="2">
        <v>533.226</v>
      </c>
      <c r="U10" s="2">
        <v>556.78099999999995</v>
      </c>
    </row>
    <row r="11" spans="1:23" s="2" customFormat="1" x14ac:dyDescent="0.2">
      <c r="B11" s="2" t="s">
        <v>20</v>
      </c>
      <c r="C11" s="5">
        <v>146.13900000000001</v>
      </c>
      <c r="D11" s="5">
        <v>151.81100000000001</v>
      </c>
      <c r="E11" s="5">
        <v>147.32599999999999</v>
      </c>
      <c r="F11" s="10">
        <f t="shared" si="0"/>
        <v>155.57499999999993</v>
      </c>
      <c r="G11" s="5">
        <v>152.43</v>
      </c>
      <c r="H11" s="5">
        <v>153.85400000000001</v>
      </c>
      <c r="I11" s="5">
        <v>159.95699999999999</v>
      </c>
      <c r="J11" s="10">
        <f t="shared" si="1"/>
        <v>155.54399999999993</v>
      </c>
      <c r="K11" s="10"/>
      <c r="L11" s="10"/>
      <c r="M11" s="10"/>
      <c r="N11" s="10"/>
      <c r="S11" s="2">
        <v>584.20600000000002</v>
      </c>
      <c r="T11" s="2">
        <v>600.851</v>
      </c>
      <c r="U11" s="2">
        <v>621.78499999999997</v>
      </c>
    </row>
    <row r="12" spans="1:23" s="2" customFormat="1" x14ac:dyDescent="0.2">
      <c r="B12" s="2" t="s">
        <v>18</v>
      </c>
      <c r="C12" s="5">
        <f>+C9+C10+C11</f>
        <v>367.10900000000004</v>
      </c>
      <c r="D12" s="5">
        <f>+D9+D10+D11</f>
        <v>387.40600000000001</v>
      </c>
      <c r="E12" s="5">
        <f>+E9+E10+E11</f>
        <v>385.577</v>
      </c>
      <c r="F12" s="5">
        <f>+F9+F10+F11</f>
        <v>400.03300000000002</v>
      </c>
      <c r="G12" s="5">
        <f>+G9+G10+G11</f>
        <v>403.93200000000002</v>
      </c>
      <c r="H12" s="5">
        <f>+H9+H10+H11</f>
        <v>406.245</v>
      </c>
      <c r="I12" s="5">
        <f>+I9+I10+I11</f>
        <v>418.85499999999996</v>
      </c>
      <c r="J12" s="5">
        <f>+J9+J10+J11</f>
        <v>420.40999999999991</v>
      </c>
      <c r="K12" s="5"/>
      <c r="L12" s="5"/>
      <c r="M12" s="5"/>
      <c r="N12" s="5"/>
      <c r="S12" s="5">
        <f>+S9+S10+S11</f>
        <v>1478.049</v>
      </c>
      <c r="T12" s="5">
        <f>+T9+T10+T11</f>
        <v>1540.125</v>
      </c>
      <c r="U12" s="5">
        <f>+U9+U10+U11</f>
        <v>1649.442</v>
      </c>
    </row>
    <row r="13" spans="1:23" s="2" customFormat="1" x14ac:dyDescent="0.2">
      <c r="B13" s="2" t="s">
        <v>19</v>
      </c>
      <c r="C13" s="5">
        <f>C8-C12</f>
        <v>187.27300000000002</v>
      </c>
      <c r="D13" s="5">
        <f>D8-D12</f>
        <v>175.04000000000002</v>
      </c>
      <c r="E13" s="5">
        <f>E8-E12</f>
        <v>196.83200000000011</v>
      </c>
      <c r="F13" s="5">
        <f>F8-F12</f>
        <v>201.5870000000001</v>
      </c>
      <c r="G13" s="5">
        <f>G8-G12</f>
        <v>188.29500000000007</v>
      </c>
      <c r="H13" s="5">
        <f>H8-H12</f>
        <v>170.447</v>
      </c>
      <c r="I13" s="5">
        <f>I8-I12</f>
        <v>177.01800000000009</v>
      </c>
      <c r="J13" s="5">
        <f>J8-J12</f>
        <v>185.17300000000017</v>
      </c>
      <c r="K13" s="5"/>
      <c r="L13" s="5"/>
      <c r="M13" s="5"/>
      <c r="N13" s="5"/>
      <c r="S13" s="5">
        <f>S8-S12</f>
        <v>754.78600000000006</v>
      </c>
      <c r="T13" s="5">
        <f>T8-T12</f>
        <v>760.73199999999997</v>
      </c>
      <c r="U13" s="5">
        <f>U8-U12</f>
        <v>720.93299999999999</v>
      </c>
    </row>
    <row r="14" spans="1:23" s="2" customFormat="1" x14ac:dyDescent="0.2">
      <c r="B14" s="2" t="s">
        <v>23</v>
      </c>
      <c r="C14" s="5">
        <f>5.292-2.681</f>
        <v>2.6109999999999998</v>
      </c>
      <c r="D14" s="5">
        <f>4.509-3.157</f>
        <v>1.3520000000000003</v>
      </c>
      <c r="E14" s="5">
        <f>11.412-4.987</f>
        <v>6.4250000000000007</v>
      </c>
      <c r="F14" s="10">
        <f t="shared" ref="F14" si="2">+T14-E14-D14-C14</f>
        <v>17.097000000000001</v>
      </c>
      <c r="G14" s="5">
        <f>27.841-6.818</f>
        <v>21.023000000000003</v>
      </c>
      <c r="H14" s="5">
        <f>26.628-6.829</f>
        <v>19.798999999999999</v>
      </c>
      <c r="I14" s="5">
        <f>23.065-6.735</f>
        <v>16.330000000000002</v>
      </c>
      <c r="J14" s="10">
        <f t="shared" ref="J14:J16" si="3">+U14-I14-H14-G14</f>
        <v>16.010999999999996</v>
      </c>
      <c r="K14" s="10"/>
      <c r="L14" s="10"/>
      <c r="M14" s="10"/>
      <c r="N14" s="10"/>
      <c r="S14" s="2">
        <f>3.258-11.096</f>
        <v>-7.8380000000000001</v>
      </c>
      <c r="T14" s="2">
        <f>45.194-17.709</f>
        <v>27.485000000000003</v>
      </c>
      <c r="U14" s="2">
        <f>100.28-27.117</f>
        <v>73.162999999999997</v>
      </c>
    </row>
    <row r="15" spans="1:23" x14ac:dyDescent="0.2">
      <c r="B15" s="2" t="s">
        <v>24</v>
      </c>
      <c r="C15" s="5">
        <f>+C13+C14</f>
        <v>189.88400000000001</v>
      </c>
      <c r="D15" s="5">
        <f>+D13+D14</f>
        <v>176.39200000000002</v>
      </c>
      <c r="E15" s="5">
        <f>+E13+E14</f>
        <v>203.25700000000012</v>
      </c>
      <c r="F15" s="5">
        <f>+F13+F14</f>
        <v>218.68400000000011</v>
      </c>
      <c r="G15" s="5">
        <f>+G13+G14</f>
        <v>209.31800000000007</v>
      </c>
      <c r="H15" s="5">
        <f>+H13+H14</f>
        <v>190.24600000000001</v>
      </c>
      <c r="I15" s="5">
        <f>+I13+I14</f>
        <v>193.3480000000001</v>
      </c>
      <c r="J15" s="5">
        <f>+J13+J14</f>
        <v>201.18400000000017</v>
      </c>
      <c r="K15" s="5"/>
      <c r="L15" s="5"/>
      <c r="M15" s="5"/>
      <c r="N15" s="5"/>
      <c r="S15" s="2">
        <f t="shared" ref="S15:T15" si="4">+S13+S14</f>
        <v>746.94800000000009</v>
      </c>
      <c r="T15" s="2">
        <f t="shared" si="4"/>
        <v>788.21699999999998</v>
      </c>
      <c r="U15" s="2">
        <f>+U13+U14</f>
        <v>794.096</v>
      </c>
    </row>
    <row r="16" spans="1:23" x14ac:dyDescent="0.2">
      <c r="B16" s="2" t="s">
        <v>25</v>
      </c>
      <c r="C16" s="5">
        <v>29.78</v>
      </c>
      <c r="D16" s="5">
        <v>21.190999999999999</v>
      </c>
      <c r="E16" s="5">
        <v>20.326000000000001</v>
      </c>
      <c r="F16" s="10">
        <f t="shared" ref="F16" si="5">+T16-E16-D16-C16</f>
        <v>35.075999999999993</v>
      </c>
      <c r="G16" s="5">
        <v>12.843999999999999</v>
      </c>
      <c r="H16" s="5">
        <v>35.148000000000003</v>
      </c>
      <c r="I16" s="5">
        <v>15.898999999999999</v>
      </c>
      <c r="J16" s="10">
        <f t="shared" si="3"/>
        <v>18.203999999999994</v>
      </c>
      <c r="K16" s="10"/>
      <c r="L16" s="10"/>
      <c r="M16" s="10"/>
      <c r="N16" s="10"/>
      <c r="S16" s="2">
        <v>126.696</v>
      </c>
      <c r="T16" s="2">
        <v>106.373</v>
      </c>
      <c r="U16" s="2">
        <v>82.094999999999999</v>
      </c>
    </row>
    <row r="17" spans="2:21" x14ac:dyDescent="0.2">
      <c r="B17" s="2" t="s">
        <v>26</v>
      </c>
      <c r="C17" s="5">
        <f>+C15-C16</f>
        <v>160.10400000000001</v>
      </c>
      <c r="D17" s="5">
        <f>+D15-D16</f>
        <v>155.20100000000002</v>
      </c>
      <c r="E17" s="5">
        <f>+E15-E16</f>
        <v>182.93100000000013</v>
      </c>
      <c r="F17" s="5">
        <f>+F15-F16</f>
        <v>183.60800000000012</v>
      </c>
      <c r="G17" s="5">
        <f>+G15-G16</f>
        <v>196.47400000000007</v>
      </c>
      <c r="H17" s="5">
        <f>+H15-H16</f>
        <v>155.09800000000001</v>
      </c>
      <c r="I17" s="5">
        <f>+I15-I16</f>
        <v>177.4490000000001</v>
      </c>
      <c r="J17" s="5">
        <f>+J15-J16</f>
        <v>182.98000000000019</v>
      </c>
      <c r="K17" s="5"/>
      <c r="L17" s="5"/>
      <c r="M17" s="5"/>
      <c r="N17" s="5"/>
      <c r="S17" s="2">
        <f t="shared" ref="S17:T17" si="6">+S15-S16</f>
        <v>620.25200000000007</v>
      </c>
      <c r="T17" s="2">
        <f t="shared" si="6"/>
        <v>681.84399999999994</v>
      </c>
      <c r="U17" s="2">
        <f>+U15-U16</f>
        <v>712.00099999999998</v>
      </c>
    </row>
    <row r="18" spans="2:21" x14ac:dyDescent="0.2">
      <c r="B18" s="2" t="s">
        <v>28</v>
      </c>
      <c r="C18" s="8">
        <f>+C17/C19</f>
        <v>1.0254203093476801</v>
      </c>
      <c r="D18" s="8">
        <f>+D17/D19</f>
        <v>1.0113845191392861</v>
      </c>
      <c r="E18" s="8">
        <f>+E17/E19</f>
        <v>1.1803827689448696</v>
      </c>
      <c r="F18" s="8">
        <f>+F17/F19</f>
        <v>1.1815414711995735</v>
      </c>
      <c r="G18" s="8">
        <f>+G17/G19</f>
        <v>1.2477233180496112</v>
      </c>
      <c r="H18" s="8">
        <f>+H17/H19</f>
        <v>1.0098314972523896</v>
      </c>
      <c r="I18" s="8">
        <f>+I17/I19</f>
        <v>1.1579809449229972</v>
      </c>
      <c r="J18" s="8">
        <f>+J17/J19</f>
        <v>1.1855182512018465</v>
      </c>
      <c r="K18" s="8"/>
      <c r="L18" s="8"/>
      <c r="M18" s="8"/>
      <c r="N18" s="8"/>
      <c r="S18" s="8">
        <f t="shared" ref="S18:U18" si="7">+S17/S19</f>
        <v>3.8652931755438815</v>
      </c>
      <c r="T18" s="8">
        <f t="shared" si="7"/>
        <v>4.3877552333700134</v>
      </c>
      <c r="U18" s="8">
        <f t="shared" si="7"/>
        <v>4.6130188019125855</v>
      </c>
    </row>
    <row r="19" spans="2:21" s="2" customFormat="1" x14ac:dyDescent="0.2">
      <c r="B19" s="2" t="s">
        <v>27</v>
      </c>
      <c r="C19" s="5">
        <v>156.13499999999999</v>
      </c>
      <c r="D19" s="5">
        <v>153.45400000000001</v>
      </c>
      <c r="E19" s="5">
        <v>154.976</v>
      </c>
      <c r="F19" s="5">
        <f>+T19</f>
        <v>155.39699999999999</v>
      </c>
      <c r="G19" s="5">
        <v>157.46600000000001</v>
      </c>
      <c r="H19" s="5">
        <v>153.58799999999999</v>
      </c>
      <c r="I19" s="5">
        <v>153.24</v>
      </c>
      <c r="J19" s="5">
        <f>+U19</f>
        <v>154.346</v>
      </c>
      <c r="K19" s="5"/>
      <c r="L19" s="5"/>
      <c r="M19" s="5"/>
      <c r="N19" s="5"/>
      <c r="S19" s="2">
        <v>160.46700000000001</v>
      </c>
      <c r="T19" s="2">
        <v>155.39699999999999</v>
      </c>
      <c r="U19" s="2">
        <v>154.346</v>
      </c>
    </row>
    <row r="21" spans="2:21" x14ac:dyDescent="0.2">
      <c r="B21" s="2" t="s">
        <v>29</v>
      </c>
      <c r="G21" s="9">
        <f>+G6/C6-1</f>
        <v>7.783352153220835E-2</v>
      </c>
      <c r="H21" s="9">
        <f>+H6/D6-1</f>
        <v>4.6871877407902662E-2</v>
      </c>
      <c r="I21" s="9">
        <f>+I6/E6-1</f>
        <v>4.0596219098400388E-2</v>
      </c>
      <c r="J21" s="9">
        <f>+J6/F6-1</f>
        <v>2.5046808245487107E-2</v>
      </c>
      <c r="K21" s="9"/>
      <c r="L21" s="9"/>
      <c r="M21" s="9"/>
      <c r="N21" s="9"/>
      <c r="T21" s="9">
        <f>+T6/S6-1</f>
        <v>5.3990788170502402E-2</v>
      </c>
      <c r="U21" s="9">
        <f>+U6/T6-1</f>
        <v>4.7023022518835722E-2</v>
      </c>
    </row>
    <row r="22" spans="2:21" x14ac:dyDescent="0.2">
      <c r="B22" s="2" t="s">
        <v>33</v>
      </c>
      <c r="C22" s="9">
        <f>C8/C6</f>
        <v>0.60542012759665309</v>
      </c>
      <c r="D22" s="9">
        <f>D8/D6</f>
        <v>0.60108301512950979</v>
      </c>
      <c r="E22" s="9">
        <f>E8/E6</f>
        <v>0.60323008977880532</v>
      </c>
      <c r="F22" s="9">
        <f>F8/F6</f>
        <v>0.60463288566929008</v>
      </c>
      <c r="G22" s="9">
        <f>G8/G6</f>
        <v>0.60004559409100588</v>
      </c>
      <c r="H22" s="9">
        <f>H8/H6</f>
        <v>0.58871353028849094</v>
      </c>
      <c r="I22" s="9">
        <f>I8/I6</f>
        <v>0.59309789494953125</v>
      </c>
      <c r="J22" s="9">
        <f>J8/J6</f>
        <v>0.59374433176886077</v>
      </c>
      <c r="K22" s="9"/>
      <c r="L22" s="9"/>
      <c r="M22" s="9"/>
      <c r="N22" s="9"/>
      <c r="S22" s="9">
        <f t="shared" ref="S22:U22" si="8">S8/S6</f>
        <v>0.61737589495705147</v>
      </c>
      <c r="T22" s="9">
        <f t="shared" si="8"/>
        <v>0.60359530105563597</v>
      </c>
      <c r="U22" s="9">
        <f t="shared" si="8"/>
        <v>0.5939050924441166</v>
      </c>
    </row>
    <row r="24" spans="2:21" s="2" customFormat="1" x14ac:dyDescent="0.2">
      <c r="B24" s="2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U24" s="2">
        <f>517.707+1078.876+275.592</f>
        <v>1872.1750000000002</v>
      </c>
    </row>
    <row r="25" spans="2:21" s="2" customFormat="1" x14ac:dyDescent="0.2">
      <c r="B25" s="2" t="s">
        <v>43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U25" s="2">
        <v>727.68700000000001</v>
      </c>
    </row>
    <row r="26" spans="2:21" s="2" customFormat="1" x14ac:dyDescent="0.2">
      <c r="B26" s="2" t="s">
        <v>42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U26" s="2">
        <v>253.827</v>
      </c>
    </row>
    <row r="27" spans="2:21" s="2" customFormat="1" x14ac:dyDescent="0.2">
      <c r="B27" s="2" t="s">
        <v>41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U27" s="6">
        <v>1995.0709999999999</v>
      </c>
    </row>
    <row r="28" spans="2:21" x14ac:dyDescent="0.2">
      <c r="B28" s="2" t="s">
        <v>47</v>
      </c>
      <c r="U28" s="2">
        <v>1006.7380000000001</v>
      </c>
    </row>
    <row r="29" spans="2:21" x14ac:dyDescent="0.2">
      <c r="B29" s="2" t="s">
        <v>45</v>
      </c>
      <c r="U29" s="2">
        <f>727.585+3151.077</f>
        <v>3878.6620000000003</v>
      </c>
    </row>
    <row r="30" spans="2:21" x14ac:dyDescent="0.2">
      <c r="B30" s="2" t="s">
        <v>48</v>
      </c>
      <c r="U30" s="2">
        <v>483.24900000000002</v>
      </c>
    </row>
    <row r="31" spans="2:21" x14ac:dyDescent="0.2">
      <c r="B31" s="2" t="s">
        <v>49</v>
      </c>
      <c r="U31" s="2">
        <v>151.376</v>
      </c>
    </row>
    <row r="32" spans="2:21" x14ac:dyDescent="0.2">
      <c r="B32" t="s">
        <v>44</v>
      </c>
      <c r="U32" s="2">
        <f>SUM(U24:U31)</f>
        <v>10368.785</v>
      </c>
    </row>
    <row r="33" spans="2:21" x14ac:dyDescent="0.2">
      <c r="B33" t="s">
        <v>46</v>
      </c>
      <c r="U33" s="2">
        <f>+U32-U29</f>
        <v>6490.1229999999996</v>
      </c>
    </row>
    <row r="35" spans="2:21" s="2" customFormat="1" x14ac:dyDescent="0.2">
      <c r="B35" s="2" t="s">
        <v>50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U35" s="2">
        <v>130.447</v>
      </c>
    </row>
    <row r="36" spans="2:21" s="2" customFormat="1" x14ac:dyDescent="0.2">
      <c r="B36" s="2" t="s">
        <v>51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U36" s="2">
        <v>370.88799999999998</v>
      </c>
    </row>
    <row r="37" spans="2:21" s="2" customFormat="1" x14ac:dyDescent="0.2">
      <c r="B37" s="2" t="s">
        <v>52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U37" s="2">
        <f>149.222+26.314</f>
        <v>175.536</v>
      </c>
    </row>
    <row r="38" spans="2:21" s="2" customFormat="1" x14ac:dyDescent="0.2">
      <c r="B38" s="2" t="s">
        <v>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U38" s="2">
        <f>1149.116+2396.695</f>
        <v>3545.8110000000001</v>
      </c>
    </row>
    <row r="39" spans="2:21" x14ac:dyDescent="0.2">
      <c r="B39" s="2" t="s">
        <v>47</v>
      </c>
      <c r="U39" s="2">
        <f>259.134+829.66</f>
        <v>1088.7939999999999</v>
      </c>
    </row>
    <row r="40" spans="2:21" x14ac:dyDescent="0.2">
      <c r="B40" s="2" t="s">
        <v>53</v>
      </c>
      <c r="U40" s="2">
        <f>32.516+130.37+16.066</f>
        <v>178.952</v>
      </c>
    </row>
    <row r="41" spans="2:21" x14ac:dyDescent="0.2">
      <c r="B41" s="2" t="s">
        <v>54</v>
      </c>
      <c r="U41" s="2">
        <v>4878.357</v>
      </c>
    </row>
    <row r="42" spans="2:21" x14ac:dyDescent="0.2">
      <c r="B42" s="2" t="s">
        <v>55</v>
      </c>
      <c r="U42" s="2">
        <f>SUM(U35:U41)</f>
        <v>10368.785</v>
      </c>
    </row>
    <row r="44" spans="2:21" s="2" customFormat="1" x14ac:dyDescent="0.2">
      <c r="B44" s="2" t="s">
        <v>30</v>
      </c>
      <c r="C44" s="5">
        <v>233.499</v>
      </c>
      <c r="D44" s="5">
        <f>599.81-C44</f>
        <v>366.31099999999992</v>
      </c>
      <c r="E44" s="5">
        <f>959.246-D44-C44</f>
        <v>359.43600000000004</v>
      </c>
      <c r="F44" s="10">
        <f t="shared" ref="F44:F45" si="9">+T44-E44-D44-C44</f>
        <v>389.1930000000001</v>
      </c>
      <c r="G44" s="5">
        <v>351.87799999999999</v>
      </c>
      <c r="H44" s="5">
        <f>782.841-G44</f>
        <v>430.96300000000002</v>
      </c>
      <c r="I44" s="5">
        <f>1175.383-H44-G44</f>
        <v>392.54200000000009</v>
      </c>
      <c r="J44" s="10">
        <f t="shared" ref="J44:J45" si="10">+U44-I44-H44-G44</f>
        <v>343.78799999999995</v>
      </c>
      <c r="K44" s="10"/>
      <c r="L44" s="10"/>
      <c r="M44" s="10"/>
      <c r="N44" s="10"/>
      <c r="S44" s="2">
        <v>1274.6759999999999</v>
      </c>
      <c r="T44" s="2">
        <v>1348.4390000000001</v>
      </c>
      <c r="U44" s="2">
        <v>1519.171</v>
      </c>
    </row>
    <row r="45" spans="2:21" s="2" customFormat="1" x14ac:dyDescent="0.2">
      <c r="B45" s="2" t="s">
        <v>31</v>
      </c>
      <c r="C45" s="5">
        <v>141.69999999999999</v>
      </c>
      <c r="D45" s="5">
        <f>254.005-C45</f>
        <v>112.30500000000001</v>
      </c>
      <c r="E45" s="5">
        <f>387.505-D45-C45</f>
        <v>133.5</v>
      </c>
      <c r="F45" s="10">
        <f t="shared" si="9"/>
        <v>70.403999999999996</v>
      </c>
      <c r="G45" s="5">
        <v>93.751000000000005</v>
      </c>
      <c r="H45" s="5">
        <f>184.745-G45</f>
        <v>90.994</v>
      </c>
      <c r="I45" s="5">
        <f>297.548-H45-G45</f>
        <v>112.803</v>
      </c>
      <c r="J45" s="10">
        <f t="shared" si="10"/>
        <v>92.884999999999991</v>
      </c>
      <c r="K45" s="10"/>
      <c r="L45" s="10"/>
      <c r="M45" s="10"/>
      <c r="N45" s="10"/>
      <c r="S45" s="2">
        <v>241.26599999999999</v>
      </c>
      <c r="T45" s="2">
        <v>457.90899999999999</v>
      </c>
      <c r="U45" s="2">
        <v>390.43299999999999</v>
      </c>
    </row>
    <row r="46" spans="2:21" s="2" customFormat="1" x14ac:dyDescent="0.2">
      <c r="B46" s="2" t="s">
        <v>32</v>
      </c>
      <c r="C46" s="5">
        <f>+C44-C45</f>
        <v>91.799000000000007</v>
      </c>
      <c r="D46" s="5">
        <f>+D44-D45</f>
        <v>254.00599999999991</v>
      </c>
      <c r="E46" s="5">
        <f>+E44-E45</f>
        <v>225.93600000000004</v>
      </c>
      <c r="F46" s="5">
        <f>+F44-F45</f>
        <v>318.7890000000001</v>
      </c>
      <c r="G46" s="5">
        <f>+G44-G45</f>
        <v>258.12699999999995</v>
      </c>
      <c r="H46" s="5">
        <f>+H44-H45</f>
        <v>339.96900000000005</v>
      </c>
      <c r="I46" s="5">
        <f>+I44-I45</f>
        <v>279.73900000000009</v>
      </c>
      <c r="J46" s="5">
        <f>+J44-J45</f>
        <v>250.90299999999996</v>
      </c>
      <c r="K46" s="5"/>
      <c r="L46" s="5"/>
      <c r="M46" s="5"/>
      <c r="N46" s="5"/>
      <c r="S46" s="2">
        <f>+S44-S45</f>
        <v>1033.4099999999999</v>
      </c>
      <c r="T46" s="2">
        <f>+T44-T45</f>
        <v>890.53000000000009</v>
      </c>
      <c r="U46" s="12">
        <f>+U44-U45</f>
        <v>1128.7380000000001</v>
      </c>
    </row>
    <row r="48" spans="2:21" x14ac:dyDescent="0.2">
      <c r="B48" s="2" t="s">
        <v>56</v>
      </c>
      <c r="U48" s="11">
        <f>U46/U41</f>
        <v>0.23137667046507668</v>
      </c>
    </row>
    <row r="49" spans="2:21" x14ac:dyDescent="0.2">
      <c r="B49" s="2" t="s">
        <v>57</v>
      </c>
      <c r="U49" s="11">
        <f>(U46)/(U41-U29)</f>
        <v>1.1290823701228878</v>
      </c>
    </row>
    <row r="50" spans="2:21" x14ac:dyDescent="0.2">
      <c r="B50" s="2" t="s">
        <v>58</v>
      </c>
      <c r="U50" s="11">
        <f>(U46/U32)</f>
        <v>0.10885923471264956</v>
      </c>
    </row>
    <row r="51" spans="2:21" x14ac:dyDescent="0.2">
      <c r="B51" s="2" t="s">
        <v>59</v>
      </c>
      <c r="U51" s="11">
        <f>U46/(U33)</f>
        <v>0.17391627246509814</v>
      </c>
    </row>
    <row r="52" spans="2:21" x14ac:dyDescent="0.2">
      <c r="B52" s="2" t="s">
        <v>60</v>
      </c>
      <c r="U52" s="11">
        <f>U46/U27</f>
        <v>0.56576332371128657</v>
      </c>
    </row>
  </sheetData>
  <hyperlinks>
    <hyperlink ref="A1" location="Main!A1" display="Main" xr:uid="{B26C0C3B-A47F-437E-8B10-6423D0C1D115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2025-03-03T15:26:37Z</dcterms:created>
  <dcterms:modified xsi:type="dcterms:W3CDTF">2025-03-03T16:11:57Z</dcterms:modified>
</cp:coreProperties>
</file>