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4037F30-A330-4ED3-A3E8-77EC6299F3AE}" xr6:coauthVersionLast="47" xr6:coauthVersionMax="47" xr10:uidLastSave="{00000000-0000-0000-0000-000000000000}"/>
  <bookViews>
    <workbookView xWindow="38710" yWindow="1330" windowWidth="24980" windowHeight="11030" activeTab="1" xr2:uid="{09AE9FEE-F9BE-4797-AA29-D61C430F1EED}"/>
  </bookViews>
  <sheets>
    <sheet name="Main" sheetId="1" r:id="rId1"/>
    <sheet name="efruxifermin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L4" i="3" s="1"/>
  <c r="M4" i="3" s="1"/>
  <c r="N4" i="3" s="1"/>
  <c r="N3" i="3"/>
  <c r="O3" i="3" s="1"/>
  <c r="N9" i="3"/>
  <c r="O9" i="3" s="1"/>
  <c r="P9" i="3" s="1"/>
  <c r="Q9" i="3" s="1"/>
  <c r="N8" i="3"/>
  <c r="N10" i="3" s="1"/>
  <c r="H3" i="3"/>
  <c r="I3" i="3" s="1"/>
  <c r="J3" i="3" s="1"/>
  <c r="K3" i="3" s="1"/>
  <c r="L3" i="3" s="1"/>
  <c r="M3" i="3" s="1"/>
  <c r="D15" i="3"/>
  <c r="C15" i="3"/>
  <c r="E9" i="3"/>
  <c r="F9" i="3" s="1"/>
  <c r="E10" i="3"/>
  <c r="D10" i="3"/>
  <c r="D11" i="3" s="1"/>
  <c r="D13" i="3" s="1"/>
  <c r="C10" i="3"/>
  <c r="C11" i="3" s="1"/>
  <c r="C13" i="3" s="1"/>
  <c r="C17" i="3" s="1"/>
  <c r="D17" i="3" s="1"/>
  <c r="H8" i="3"/>
  <c r="I8" i="3" s="1"/>
  <c r="J8" i="3" s="1"/>
  <c r="K8" i="3" s="1"/>
  <c r="L8" i="3" s="1"/>
  <c r="M8" i="3" s="1"/>
  <c r="D7" i="3"/>
  <c r="C7" i="3"/>
  <c r="D4" i="3"/>
  <c r="E4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L3" i="1"/>
  <c r="L4" i="1" s="1"/>
  <c r="L7" i="1" s="1"/>
  <c r="L5" i="1"/>
  <c r="O4" i="3" l="1"/>
  <c r="P4" i="3" s="1"/>
  <c r="Q4" i="3" s="1"/>
  <c r="N5" i="3"/>
  <c r="P3" i="3"/>
  <c r="Q3" i="3" s="1"/>
  <c r="N6" i="3"/>
  <c r="N7" i="3" s="1"/>
  <c r="N11" i="3" s="1"/>
  <c r="O8" i="3"/>
  <c r="E5" i="3"/>
  <c r="F4" i="3"/>
  <c r="G4" i="3" s="1"/>
  <c r="H4" i="3" s="1"/>
  <c r="G9" i="3"/>
  <c r="F10" i="3"/>
  <c r="F5" i="3"/>
  <c r="H9" i="3"/>
  <c r="G10" i="3"/>
  <c r="O5" i="3" l="1"/>
  <c r="O10" i="3"/>
  <c r="P8" i="3"/>
  <c r="P5" i="3"/>
  <c r="Q5" i="3"/>
  <c r="F6" i="3"/>
  <c r="F7" i="3" s="1"/>
  <c r="F11" i="3" s="1"/>
  <c r="H5" i="3"/>
  <c r="I4" i="3"/>
  <c r="E6" i="3"/>
  <c r="E7" i="3"/>
  <c r="E11" i="3" s="1"/>
  <c r="E13" i="3" s="1"/>
  <c r="G5" i="3"/>
  <c r="I9" i="3"/>
  <c r="H10" i="3"/>
  <c r="O6" i="3" l="1"/>
  <c r="O7" i="3"/>
  <c r="O11" i="3" s="1"/>
  <c r="P10" i="3"/>
  <c r="Q8" i="3"/>
  <c r="Q10" i="3" s="1"/>
  <c r="Q6" i="3"/>
  <c r="Q7" i="3" s="1"/>
  <c r="Q11" i="3" s="1"/>
  <c r="P6" i="3"/>
  <c r="P7" i="3" s="1"/>
  <c r="P11" i="3" s="1"/>
  <c r="E17" i="3"/>
  <c r="F12" i="3" s="1"/>
  <c r="E15" i="3"/>
  <c r="F13" i="3"/>
  <c r="G6" i="3"/>
  <c r="G7" i="3" s="1"/>
  <c r="G11" i="3" s="1"/>
  <c r="I5" i="3"/>
  <c r="J4" i="3"/>
  <c r="H6" i="3"/>
  <c r="H7" i="3" s="1"/>
  <c r="H11" i="3" s="1"/>
  <c r="I10" i="3"/>
  <c r="J9" i="3"/>
  <c r="F17" i="3" l="1"/>
  <c r="G12" i="3" s="1"/>
  <c r="G13" i="3" s="1"/>
  <c r="F15" i="3"/>
  <c r="J5" i="3"/>
  <c r="I6" i="3"/>
  <c r="I7" i="3" s="1"/>
  <c r="I11" i="3" s="1"/>
  <c r="K9" i="3"/>
  <c r="J10" i="3"/>
  <c r="G17" i="3" l="1"/>
  <c r="H12" i="3" s="1"/>
  <c r="H13" i="3" s="1"/>
  <c r="G14" i="3"/>
  <c r="G15" i="3" s="1"/>
  <c r="J6" i="3"/>
  <c r="J7" i="3"/>
  <c r="J11" i="3" s="1"/>
  <c r="K5" i="3"/>
  <c r="H14" i="3"/>
  <c r="L9" i="3"/>
  <c r="K10" i="3"/>
  <c r="H17" i="3" l="1"/>
  <c r="I12" i="3" s="1"/>
  <c r="I13" i="3" s="1"/>
  <c r="I14" i="3" s="1"/>
  <c r="I15" i="3" s="1"/>
  <c r="H15" i="3"/>
  <c r="L5" i="3"/>
  <c r="M5" i="3"/>
  <c r="K6" i="3"/>
  <c r="K7" i="3" s="1"/>
  <c r="K11" i="3" s="1"/>
  <c r="M9" i="3"/>
  <c r="M10" i="3" s="1"/>
  <c r="L10" i="3"/>
  <c r="I17" i="3" l="1"/>
  <c r="J12" i="3" s="1"/>
  <c r="J13" i="3" s="1"/>
  <c r="J17" i="3" s="1"/>
  <c r="K12" i="3" s="1"/>
  <c r="K13" i="3" s="1"/>
  <c r="M6" i="3"/>
  <c r="M7" i="3"/>
  <c r="M11" i="3" s="1"/>
  <c r="L6" i="3"/>
  <c r="L7" i="3" s="1"/>
  <c r="L11" i="3" s="1"/>
  <c r="J14" i="3"/>
  <c r="J15" i="3" s="1"/>
  <c r="K17" i="3" l="1"/>
  <c r="L12" i="3" s="1"/>
  <c r="L13" i="3" s="1"/>
  <c r="K14" i="3"/>
  <c r="K15" i="3" s="1"/>
  <c r="L17" i="3" l="1"/>
  <c r="M12" i="3" s="1"/>
  <c r="M13" i="3" s="1"/>
  <c r="L14" i="3"/>
  <c r="L15" i="3" s="1"/>
  <c r="M17" i="3" l="1"/>
  <c r="N12" i="3" s="1"/>
  <c r="N13" i="3" s="1"/>
  <c r="N17" i="3" s="1"/>
  <c r="M14" i="3"/>
  <c r="M15" i="3" s="1"/>
  <c r="O12" i="3" l="1"/>
  <c r="O13" i="3" s="1"/>
  <c r="N14" i="3"/>
  <c r="N15" i="3" s="1"/>
  <c r="O14" i="3" l="1"/>
  <c r="O15" i="3"/>
  <c r="O17" i="3"/>
  <c r="P12" i="3" s="1"/>
  <c r="P13" i="3" s="1"/>
  <c r="P17" i="3" l="1"/>
  <c r="Q12" i="3" s="1"/>
  <c r="Q13" i="3" s="1"/>
  <c r="P14" i="3"/>
  <c r="P15" i="3" s="1"/>
  <c r="Q17" i="3" l="1"/>
  <c r="Q14" i="3"/>
  <c r="Q15" i="3" s="1"/>
  <c r="O21" i="3" s="1"/>
  <c r="O22" i="3" s="1"/>
</calcChain>
</file>

<file path=xl/sharedStrings.xml><?xml version="1.0" encoding="utf-8"?>
<sst xmlns="http://schemas.openxmlformats.org/spreadsheetml/2006/main" count="70" uniqueCount="62">
  <si>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</si>
  <si>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</si>
  <si>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</si>
  <si>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</si>
  <si>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</si>
  <si>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</si>
  <si>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</si>
  <si>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</si>
  <si>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</si>
  <si>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Name</t>
  </si>
  <si>
    <t>efruxifermin</t>
  </si>
  <si>
    <t>Indication</t>
  </si>
  <si>
    <t>MASH</t>
  </si>
  <si>
    <t>Brand</t>
  </si>
  <si>
    <t>Generic</t>
  </si>
  <si>
    <t>Clinical Trials</t>
  </si>
  <si>
    <t>Main</t>
  </si>
  <si>
    <t>MOA</t>
  </si>
  <si>
    <t>FGF21 mimetic</t>
  </si>
  <si>
    <t>50mg qw vs. placebo</t>
  </si>
  <si>
    <t>Q424</t>
  </si>
  <si>
    <t>NAFL</t>
  </si>
  <si>
    <t>NASH</t>
  </si>
  <si>
    <t>39% reversal of cirrhosis with no worsening of MASH vs. 15% for placebo at 96 weeks.</t>
  </si>
  <si>
    <t>29% reversal of cirrhosis with no worsening of MASH vs. 12% in placebo using ITT at 96 weeks.</t>
  </si>
  <si>
    <t>Phase III "SYNCHRONY Real World" n=601 - results 1H26</t>
  </si>
  <si>
    <t>40% regression of fibrosis at 96 weeks vs. 0% for placebo.</t>
  </si>
  <si>
    <t>n=61 placebo, 12% histology endpoint</t>
  </si>
  <si>
    <t>n=57 28mg, 21% histology endpoint</t>
  </si>
  <si>
    <t>n=63 50mg, 29% histology endpoint</t>
  </si>
  <si>
    <t>histology endpoint: &gt;= 1 stage fibrosis improvement without worsening MASH</t>
  </si>
  <si>
    <t>CEO: Andrew Cheng</t>
  </si>
  <si>
    <t>Phase IIb "SYMMETRY" n=182 F4 MASH</t>
  </si>
  <si>
    <t>NAFLD/MAFLD: 1.27B global cases. MAFLD prevalence 32.4%</t>
  </si>
  <si>
    <t>MASH - 2-5% of MAFLD = 0.6-1.5% global prevalence. In the US, 3m patients?</t>
  </si>
  <si>
    <t>Revenue</t>
  </si>
  <si>
    <t>Patients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</si>
  <si>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</si>
  <si>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</si>
  <si>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</si>
  <si>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</si>
  <si>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</si>
  <si>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</si>
  <si>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</si>
  <si>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</si>
  <si>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ROIC</t>
  </si>
  <si>
    <t>Taxes</t>
  </si>
  <si>
    <t>Net Income</t>
  </si>
  <si>
    <t>Discount</t>
  </si>
  <si>
    <t>NPV</t>
  </si>
  <si>
    <t>Share</t>
  </si>
  <si>
    <t>Mechanism</t>
  </si>
  <si>
    <t>FGF21 analog</t>
  </si>
  <si>
    <t>14%, 22%, 24% for placebo, 28mg, 50mg at 36 weeks</t>
  </si>
  <si>
    <t>Phase IIb "HARMONY" pre-cirrhotic MASH (F2-F3)</t>
  </si>
  <si>
    <t xml:space="preserve">The trial previously met its primary endpoint of ≥1 stage improvement in fibrosis with no worsening of MASH after 24 weeks of treatment for both the 50mg EFX (41%, p&lt;0.001) and 28mg EFX (39%, p&lt;0.001) dose groups, compared to 20% for the placebo arm. At week 96, the response rates on this endpoint increased to 75% (p&lt;0.001) for 50mg EFX and 46% for 28mg EFX, compared to 24% for placebo. </t>
  </si>
  <si>
    <t>Economics</t>
  </si>
  <si>
    <t>Amgen</t>
  </si>
  <si>
    <t>IP</t>
  </si>
  <si>
    <t>12 years BLA exclusivity, more patents until 2045, probably hard to make?</t>
  </si>
  <si>
    <t>Phase III "SYNCHRONY Histology" n=1650 - results 1H2027</t>
  </si>
  <si>
    <t>Phase III "SYNCHRONY Outcomes" n=1150 F4 MASH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</si>
</sst>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 applyFont="1"/>
    <xf numFmtId="0" fontId="4" fillId="0" borderId="0" xfId="0" applyFont="1"/>
    <xf numFmtId="0" fontId="3" fillId="0" borderId="1" xfId="1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3" fontId="5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98855</xdr:colOff>
      <xdr:row>11</xdr:row>
      <xdr:rowOff>136071</xdr:rowOff>
    </xdr:from>
    <xdr:to>
      <xdr:col>28</xdr:col>
      <xdr:colOff>113511</xdr:colOff>
      <xdr:row>46</xdr:row>
      <xdr:rowOff>32008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8C5C5-6FF6-AAEB-93C1-656192880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7498" y="1442357"/>
          <a:ext cx="9131442" cy="5610936"/>
        </a:xfrm>
        <a:prstGeom prst="rect">
          <a:avLst/>
        </a:prstGeom>
      </xdr:spPr>
    </xdr:pic>
    <xdr:clientData/>
  </xdr:twoCellAnchor>
  <xdr:twoCellAnchor editAs="oneCell">
    <xdr:from>
      <xdr:col>12</xdr:col>
      <xdr:colOff>492125</xdr:colOff>
      <xdr:row>49</xdr:row>
      <xdr:rowOff>31750</xdr:rowOff>
    </xdr:from>
    <xdr:to>
      <xdr:col>36</xdr:col>
      <xdr:colOff>601583</xdr:colOff>
      <xdr:row>103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3A7038-9FD8-0B2C-D342-ADE07807D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7175500"/>
          <a:ext cx="14587458" cy="868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BDB3-9737-4434-AA52-D8DF00036297}">
  <dimension ref="B2:M12"/>
  <sheetViews>
    <sheetView zoomScale="160" zoomScaleNormal="160" workbookViewId="0">
      <selection activeCell="K13" sqref="K13"/>
    </sheetView>
  </sheetViews>
  <sheetFormatPr defaultRowHeight="12.5" x14ac:dyDescent="0.25"/>
  <cols>
    <col min="1" max="1" width="4.26953125" style="1" customWidth="1"/>
    <col min="2" max="2" width="10.26953125" style="1" bestFit="1" customWidth="1"/>
    <col min="3" max="3" width="8.7265625" style="1"/>
    <col min="4" max="4" width="13.36328125" style="1" bestFit="1" customWidth="1"/>
    <col min="5" max="16384" width="8.7265625" style="1"/>
  </cols>
  <sheetData>
    <row r="2" spans="2:13" x14ac:dyDescent="0.25">
      <c r="B2" s="13" t="s">
        <v>9</v>
      </c>
      <c r="C2" s="14" t="s">
        <v>11</v>
      </c>
      <c r="D2" s="14" t="s">
        <v>17</v>
      </c>
      <c r="E2" s="14"/>
      <c r="F2" s="14"/>
      <c r="G2" s="14"/>
      <c r="H2" s="15"/>
      <c r="K2" s="1" t="s">
        <v>0</v>
      </c>
      <c r="L2" s="2">
        <v>38.619999999999997</v>
      </c>
    </row>
    <row r="3" spans="2:13" x14ac:dyDescent="0.25">
      <c r="B3" s="7" t="s">
        <v>10</v>
      </c>
      <c r="C3" s="1" t="s">
        <v>12</v>
      </c>
      <c r="D3" s="1" t="s">
        <v>18</v>
      </c>
      <c r="H3" s="8"/>
      <c r="K3" s="1" t="s">
        <v>1</v>
      </c>
      <c r="L3" s="3">
        <f>70.573609+6.427+1.958</f>
        <v>78.958608999999996</v>
      </c>
      <c r="M3" s="4" t="s">
        <v>20</v>
      </c>
    </row>
    <row r="4" spans="2:13" x14ac:dyDescent="0.25">
      <c r="B4" s="9"/>
      <c r="H4" s="8"/>
      <c r="K4" s="1" t="s">
        <v>2</v>
      </c>
      <c r="L4" s="3">
        <f>+L2*L3</f>
        <v>3049.3814795799994</v>
      </c>
    </row>
    <row r="5" spans="2:13" x14ac:dyDescent="0.25">
      <c r="B5" s="9"/>
      <c r="H5" s="8"/>
      <c r="K5" s="1" t="s">
        <v>3</v>
      </c>
      <c r="L5" s="3">
        <f>797.8+(6.427*48)</f>
        <v>1106.2959999999998</v>
      </c>
      <c r="M5" s="4" t="s">
        <v>20</v>
      </c>
    </row>
    <row r="6" spans="2:13" x14ac:dyDescent="0.25">
      <c r="B6" s="10"/>
      <c r="C6" s="11"/>
      <c r="D6" s="11"/>
      <c r="E6" s="11"/>
      <c r="F6" s="11"/>
      <c r="G6" s="11"/>
      <c r="H6" s="12"/>
      <c r="K6" s="1" t="s">
        <v>4</v>
      </c>
      <c r="L6" s="3">
        <v>35.122999999999998</v>
      </c>
      <c r="M6" s="4" t="s">
        <v>6</v>
      </c>
    </row>
    <row r="7" spans="2:13" x14ac:dyDescent="0.25">
      <c r="K7" s="1" t="s">
        <v>5</v>
      </c>
      <c r="L7" s="3">
        <f>+L4-L5+L6</f>
        <v>1978.2084795799997</v>
      </c>
    </row>
    <row r="9" spans="2:13" x14ac:dyDescent="0.25">
      <c r="K9" s="1" t="s">
        <v>7</v>
      </c>
      <c r="L9" s="3">
        <v>1492.347</v>
      </c>
      <c r="M9" s="4" t="s">
        <v>6</v>
      </c>
    </row>
    <row r="10" spans="2:13" x14ac:dyDescent="0.25">
      <c r="K10" s="1" t="s">
        <v>8</v>
      </c>
      <c r="L10" s="3">
        <v>756.13199999999995</v>
      </c>
      <c r="M10" s="4" t="s">
        <v>6</v>
      </c>
    </row>
    <row r="12" spans="2:13" x14ac:dyDescent="0.25">
      <c r="K12" s="1" t="s">
        <v>31</v>
      </c>
    </row>
  </sheetData>
  <hyperlinks>
    <hyperlink ref="B3" location="efruxifermin!A1" display="efruxifermin" xr:uid="{EB8C439D-7AF5-445F-BE64-B682586E4D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330C-F7EE-45BE-95D0-AA2123ECF138}">
  <dimension ref="A1:G30"/>
  <sheetViews>
    <sheetView tabSelected="1" zoomScale="115" zoomScaleNormal="115" workbookViewId="0">
      <selection activeCell="C13" sqref="C13"/>
    </sheetView>
  </sheetViews>
  <sheetFormatPr defaultRowHeight="12.5" x14ac:dyDescent="0.25"/>
  <cols>
    <col min="1" max="1" width="4.7265625" style="1" bestFit="1" customWidth="1"/>
    <col min="2" max="2" width="11.6328125" style="1" bestFit="1" customWidth="1"/>
    <col min="3" max="16384" width="8.7265625" style="1"/>
  </cols>
  <sheetData>
    <row r="1" spans="1:3" x14ac:dyDescent="0.25">
      <c r="A1" s="5" t="s">
        <v>16</v>
      </c>
    </row>
    <row r="2" spans="1:3" x14ac:dyDescent="0.25">
      <c r="B2" s="1" t="s">
        <v>13</v>
      </c>
    </row>
    <row r="3" spans="1:3" x14ac:dyDescent="0.25">
      <c r="B3" s="1" t="s">
        <v>14</v>
      </c>
      <c r="C3" s="1" t="s">
        <v>10</v>
      </c>
    </row>
    <row r="4" spans="1:3" x14ac:dyDescent="0.25">
      <c r="B4" s="1" t="s">
        <v>51</v>
      </c>
      <c r="C4" s="1" t="s">
        <v>52</v>
      </c>
    </row>
    <row r="5" spans="1:3" x14ac:dyDescent="0.25">
      <c r="B5" s="1" t="s">
        <v>11</v>
      </c>
      <c r="C5" s="1" t="s">
        <v>34</v>
      </c>
    </row>
    <row r="6" spans="1:3" x14ac:dyDescent="0.25">
      <c r="C6" s="1" t="s">
        <v>33</v>
      </c>
    </row>
    <row r="7" spans="1:3" x14ac:dyDescent="0.25">
      <c r="C7" s="1" t="s">
        <v>21</v>
      </c>
    </row>
    <row r="8" spans="1:3" x14ac:dyDescent="0.25">
      <c r="C8" s="1" t="s">
        <v>22</v>
      </c>
    </row>
    <row r="9" spans="1:3" x14ac:dyDescent="0.25">
      <c r="B9" s="1" t="s">
        <v>56</v>
      </c>
      <c r="C9" s="1" t="s">
        <v>57</v>
      </c>
    </row>
    <row r="10" spans="1:3" x14ac:dyDescent="0.25">
      <c r="B10" s="1" t="s">
        <v>58</v>
      </c>
      <c r="C10" s="1" t="s">
        <v>59</v>
      </c>
    </row>
    <row r="11" spans="1:3" x14ac:dyDescent="0.25">
      <c r="B11" s="1" t="s">
        <v>15</v>
      </c>
    </row>
    <row r="12" spans="1:3" ht="13" x14ac:dyDescent="0.3">
      <c r="C12" s="6" t="s">
        <v>61</v>
      </c>
    </row>
    <row r="13" spans="1:3" x14ac:dyDescent="0.25">
      <c r="C13" s="1" t="s">
        <v>19</v>
      </c>
    </row>
    <row r="15" spans="1:3" ht="13" x14ac:dyDescent="0.3">
      <c r="C15" s="6" t="s">
        <v>25</v>
      </c>
    </row>
    <row r="16" spans="1:3" ht="13" x14ac:dyDescent="0.3">
      <c r="C16" s="6"/>
    </row>
    <row r="17" spans="3:7" ht="13" x14ac:dyDescent="0.3">
      <c r="C17" s="6" t="s">
        <v>60</v>
      </c>
    </row>
    <row r="20" spans="3:7" ht="13" x14ac:dyDescent="0.3">
      <c r="C20" s="6" t="s">
        <v>32</v>
      </c>
    </row>
    <row r="21" spans="3:7" x14ac:dyDescent="0.25">
      <c r="C21" s="1" t="s">
        <v>53</v>
      </c>
    </row>
    <row r="22" spans="3:7" x14ac:dyDescent="0.25">
      <c r="C22" s="1" t="s">
        <v>23</v>
      </c>
    </row>
    <row r="23" spans="3:7" x14ac:dyDescent="0.25">
      <c r="C23" s="1" t="s">
        <v>24</v>
      </c>
    </row>
    <row r="24" spans="3:7" x14ac:dyDescent="0.25">
      <c r="C24" s="1" t="s">
        <v>27</v>
      </c>
    </row>
    <row r="25" spans="3:7" x14ac:dyDescent="0.25">
      <c r="C25" s="1" t="s">
        <v>28</v>
      </c>
      <c r="G25" s="1" t="s">
        <v>30</v>
      </c>
    </row>
    <row r="26" spans="3:7" x14ac:dyDescent="0.25">
      <c r="C26" s="1" t="s">
        <v>29</v>
      </c>
    </row>
    <row r="28" spans="3:7" ht="13" x14ac:dyDescent="0.3">
      <c r="C28" s="6" t="s">
        <v>54</v>
      </c>
    </row>
    <row r="29" spans="3:7" x14ac:dyDescent="0.25">
      <c r="C29" s="1" t="s">
        <v>26</v>
      </c>
    </row>
    <row r="30" spans="3:7" x14ac:dyDescent="0.25">
      <c r="C30" s="1" t="s">
        <v>55</v>
      </c>
    </row>
  </sheetData>
  <hyperlinks>
    <hyperlink ref="A1" location="Main!A1" display="Main" xr:uid="{644C7AF8-686C-40FA-A794-3CE36BBCC4B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028E-0F39-4B15-A353-C5A0AF11E04F}">
  <dimension ref="A1:R23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1" max="1" width="4.6328125" style="1" bestFit="1" customWidth="1"/>
    <col min="2" max="2" width="17.08984375" style="1" customWidth="1"/>
    <col min="3" max="14" width="8.7265625" style="1"/>
    <col min="15" max="15" width="9.54296875" style="1" bestFit="1" customWidth="1"/>
    <col min="16" max="16384" width="8.7265625" style="1"/>
  </cols>
  <sheetData>
    <row r="1" spans="1:18" x14ac:dyDescent="0.25">
      <c r="A1" s="1" t="s">
        <v>16</v>
      </c>
    </row>
    <row r="2" spans="1:18" x14ac:dyDescent="0.25">
      <c r="C2" s="1">
        <v>2025</v>
      </c>
      <c r="D2" s="1">
        <f>+C2+1</f>
        <v>2026</v>
      </c>
      <c r="E2" s="1">
        <f>+D2+1</f>
        <v>2027</v>
      </c>
      <c r="F2" s="1">
        <f>+E2+1</f>
        <v>2028</v>
      </c>
      <c r="G2" s="1">
        <f>+F2+1</f>
        <v>2029</v>
      </c>
      <c r="H2" s="1">
        <f>+G2+1</f>
        <v>2030</v>
      </c>
      <c r="I2" s="1">
        <f>+H2+1</f>
        <v>2031</v>
      </c>
      <c r="J2" s="1">
        <f>+I2+1</f>
        <v>2032</v>
      </c>
      <c r="K2" s="1">
        <f>+J2+1</f>
        <v>2033</v>
      </c>
      <c r="L2" s="1">
        <f>+K2+1</f>
        <v>2034</v>
      </c>
      <c r="M2" s="1">
        <f>+L2+1</f>
        <v>2035</v>
      </c>
      <c r="N2" s="1">
        <f>+M2+1</f>
        <v>2036</v>
      </c>
      <c r="O2" s="1">
        <f>+N2+1</f>
        <v>2037</v>
      </c>
      <c r="P2" s="1">
        <f>+O2+1</f>
        <v>2038</v>
      </c>
      <c r="Q2" s="1">
        <f>+P2+1</f>
        <v>2039</v>
      </c>
      <c r="R2" s="1">
        <f>+Q2+1</f>
        <v>2040</v>
      </c>
    </row>
    <row r="3" spans="1:18" x14ac:dyDescent="0.25">
      <c r="B3" s="1" t="s">
        <v>36</v>
      </c>
      <c r="E3" s="3">
        <v>10</v>
      </c>
      <c r="F3" s="3">
        <v>15</v>
      </c>
      <c r="G3" s="3">
        <v>20</v>
      </c>
      <c r="H3" s="3">
        <f t="shared" ref="H3:M3" si="0">+G3*1.1</f>
        <v>22</v>
      </c>
      <c r="I3" s="3">
        <f t="shared" si="0"/>
        <v>24.200000000000003</v>
      </c>
      <c r="J3" s="3">
        <f t="shared" si="0"/>
        <v>26.620000000000005</v>
      </c>
      <c r="K3" s="3">
        <f t="shared" si="0"/>
        <v>29.282000000000007</v>
      </c>
      <c r="L3" s="3">
        <f t="shared" si="0"/>
        <v>32.210200000000007</v>
      </c>
      <c r="M3" s="3">
        <f t="shared" si="0"/>
        <v>35.43122000000001</v>
      </c>
      <c r="N3" s="3">
        <f t="shared" ref="N3:P3" si="1">+M3*1.03</f>
        <v>36.494156600000011</v>
      </c>
      <c r="O3" s="3">
        <f t="shared" si="1"/>
        <v>37.588981298000014</v>
      </c>
      <c r="P3" s="3">
        <f>+O3*1.03</f>
        <v>38.716650736940018</v>
      </c>
      <c r="Q3" s="3">
        <f t="shared" ref="Q3:Q4" si="2">+P3*1.03</f>
        <v>39.878150259048219</v>
      </c>
    </row>
    <row r="4" spans="1:18" s="3" customFormat="1" x14ac:dyDescent="0.25">
      <c r="B4" s="3" t="s">
        <v>0</v>
      </c>
      <c r="C4" s="3">
        <v>50</v>
      </c>
      <c r="D4" s="3">
        <f>+C4*1.05</f>
        <v>52.5</v>
      </c>
      <c r="E4" s="3">
        <f>+D4*1.05</f>
        <v>55.125</v>
      </c>
      <c r="F4" s="3">
        <f t="shared" ref="F4:M4" si="3">+E4*1.05</f>
        <v>57.881250000000001</v>
      </c>
      <c r="G4" s="3">
        <f t="shared" si="3"/>
        <v>60.775312500000005</v>
      </c>
      <c r="H4" s="3">
        <f t="shared" si="3"/>
        <v>63.814078125000009</v>
      </c>
      <c r="I4" s="3">
        <f t="shared" si="3"/>
        <v>67.004782031250016</v>
      </c>
      <c r="J4" s="3">
        <f t="shared" si="3"/>
        <v>70.355021132812524</v>
      </c>
      <c r="K4" s="3">
        <f t="shared" ref="K4:N4" si="4">+J4*1.03</f>
        <v>72.465671766796902</v>
      </c>
      <c r="L4" s="3">
        <f t="shared" si="4"/>
        <v>74.639641919800809</v>
      </c>
      <c r="M4" s="3">
        <f t="shared" si="4"/>
        <v>76.878831177394829</v>
      </c>
      <c r="N4" s="3">
        <f t="shared" ref="N4:P4" si="5">+M4*1.03</f>
        <v>79.185196112716682</v>
      </c>
      <c r="O4" s="3">
        <f t="shared" si="5"/>
        <v>81.56075199609819</v>
      </c>
      <c r="P4" s="3">
        <f>+O4*1.03</f>
        <v>84.007574555981137</v>
      </c>
      <c r="Q4" s="3">
        <f t="shared" si="2"/>
        <v>86.527801792660568</v>
      </c>
    </row>
    <row r="5" spans="1:18" s="16" customFormat="1" ht="13" x14ac:dyDescent="0.3">
      <c r="B5" s="16" t="s">
        <v>35</v>
      </c>
      <c r="C5" s="16">
        <v>0</v>
      </c>
      <c r="D5" s="16">
        <v>0</v>
      </c>
      <c r="E5" s="17">
        <f>+E3*E4</f>
        <v>551.25</v>
      </c>
      <c r="F5" s="17">
        <f>+F3*F4</f>
        <v>868.21875</v>
      </c>
      <c r="G5" s="17">
        <f>+G3*G4</f>
        <v>1215.5062500000001</v>
      </c>
      <c r="H5" s="17">
        <f>+H3*H4</f>
        <v>1403.9097187500001</v>
      </c>
      <c r="I5" s="17">
        <f>+I3*I4</f>
        <v>1621.5157251562505</v>
      </c>
      <c r="J5" s="17">
        <f>+J3*J4</f>
        <v>1872.8506625554696</v>
      </c>
      <c r="K5" s="17">
        <f>+K3*K4</f>
        <v>2121.9398006753472</v>
      </c>
      <c r="L5" s="17">
        <f>+L3*L4</f>
        <v>2404.1577941651685</v>
      </c>
      <c r="M5" s="17">
        <f>+M3*M4</f>
        <v>2723.910780789136</v>
      </c>
      <c r="N5" s="17">
        <f t="shared" ref="N5:Q5" si="6">+N3*N4</f>
        <v>2889.7969473391945</v>
      </c>
      <c r="O5" s="17">
        <f t="shared" si="6"/>
        <v>3065.7855814321524</v>
      </c>
      <c r="P5" s="17">
        <f t="shared" si="6"/>
        <v>3252.4919233413707</v>
      </c>
      <c r="Q5" s="17">
        <f t="shared" si="6"/>
        <v>3450.5686814728601</v>
      </c>
    </row>
    <row r="6" spans="1:18" s="3" customFormat="1" x14ac:dyDescent="0.25">
      <c r="B6" s="3" t="s">
        <v>37</v>
      </c>
      <c r="C6" s="3">
        <v>0</v>
      </c>
      <c r="D6" s="3">
        <v>0</v>
      </c>
      <c r="E6" s="3">
        <f>+E5*0.15</f>
        <v>82.6875</v>
      </c>
      <c r="F6" s="3">
        <f t="shared" ref="F6:M6" si="7">+F5*0.15</f>
        <v>130.23281249999999</v>
      </c>
      <c r="G6" s="3">
        <f t="shared" si="7"/>
        <v>182.32593750000001</v>
      </c>
      <c r="H6" s="3">
        <f t="shared" si="7"/>
        <v>210.58645781250002</v>
      </c>
      <c r="I6" s="3">
        <f t="shared" si="7"/>
        <v>243.22735877343757</v>
      </c>
      <c r="J6" s="3">
        <f t="shared" si="7"/>
        <v>280.92759938332046</v>
      </c>
      <c r="K6" s="3">
        <f t="shared" si="7"/>
        <v>318.29097010130209</v>
      </c>
      <c r="L6" s="3">
        <f t="shared" si="7"/>
        <v>360.62366912477529</v>
      </c>
      <c r="M6" s="3">
        <f t="shared" si="7"/>
        <v>408.58661711837038</v>
      </c>
      <c r="N6" s="3">
        <f t="shared" ref="N6" si="8">+N5*0.15</f>
        <v>433.46954210087915</v>
      </c>
      <c r="O6" s="3">
        <f t="shared" ref="O6" si="9">+O5*0.15</f>
        <v>459.86783721482283</v>
      </c>
      <c r="P6" s="3">
        <f t="shared" ref="P6" si="10">+P5*0.15</f>
        <v>487.87378850120558</v>
      </c>
      <c r="Q6" s="3">
        <f t="shared" ref="Q6" si="11">+Q5*0.15</f>
        <v>517.58530222092895</v>
      </c>
    </row>
    <row r="7" spans="1:18" s="3" customFormat="1" x14ac:dyDescent="0.25">
      <c r="B7" s="3" t="s">
        <v>38</v>
      </c>
      <c r="C7" s="3">
        <f>+C5-C6</f>
        <v>0</v>
      </c>
      <c r="D7" s="3">
        <f t="shared" ref="D7:M7" si="12">+D5-D6</f>
        <v>0</v>
      </c>
      <c r="E7" s="3">
        <f t="shared" si="12"/>
        <v>468.5625</v>
      </c>
      <c r="F7" s="3">
        <f t="shared" si="12"/>
        <v>737.98593749999998</v>
      </c>
      <c r="G7" s="3">
        <f t="shared" si="12"/>
        <v>1033.1803125000001</v>
      </c>
      <c r="H7" s="3">
        <f t="shared" si="12"/>
        <v>1193.3232609375002</v>
      </c>
      <c r="I7" s="3">
        <f t="shared" si="12"/>
        <v>1378.2883663828129</v>
      </c>
      <c r="J7" s="3">
        <f t="shared" si="12"/>
        <v>1591.9230631721491</v>
      </c>
      <c r="K7" s="3">
        <f t="shared" si="12"/>
        <v>1803.6488305740452</v>
      </c>
      <c r="L7" s="3">
        <f t="shared" si="12"/>
        <v>2043.5341250403933</v>
      </c>
      <c r="M7" s="3">
        <f t="shared" si="12"/>
        <v>2315.3241636707658</v>
      </c>
      <c r="N7" s="3">
        <f t="shared" ref="N7" si="13">+N5-N6</f>
        <v>2456.3274052383154</v>
      </c>
      <c r="O7" s="3">
        <f t="shared" ref="O7" si="14">+O5-O6</f>
        <v>2605.9177442173295</v>
      </c>
      <c r="P7" s="3">
        <f t="shared" ref="P7" si="15">+P5-P6</f>
        <v>2764.6181348401651</v>
      </c>
      <c r="Q7" s="3">
        <f t="shared" ref="Q7" si="16">+Q5-Q6</f>
        <v>2932.9833792519312</v>
      </c>
    </row>
    <row r="8" spans="1:18" s="3" customFormat="1" x14ac:dyDescent="0.25">
      <c r="B8" s="3" t="s">
        <v>39</v>
      </c>
      <c r="C8" s="3">
        <v>0</v>
      </c>
      <c r="D8" s="3">
        <v>50</v>
      </c>
      <c r="E8" s="3">
        <v>800</v>
      </c>
      <c r="F8" s="3">
        <v>700</v>
      </c>
      <c r="G8" s="3">
        <v>600</v>
      </c>
      <c r="H8" s="3">
        <f>+G8*0.95</f>
        <v>570</v>
      </c>
      <c r="I8" s="3">
        <f t="shared" ref="I8:M8" si="17">+H8*0.95</f>
        <v>541.5</v>
      </c>
      <c r="J8" s="3">
        <f t="shared" si="17"/>
        <v>514.42499999999995</v>
      </c>
      <c r="K8" s="3">
        <f t="shared" si="17"/>
        <v>488.70374999999996</v>
      </c>
      <c r="L8" s="3">
        <f t="shared" si="17"/>
        <v>464.26856249999992</v>
      </c>
      <c r="M8" s="3">
        <f t="shared" si="17"/>
        <v>441.05513437499991</v>
      </c>
      <c r="N8" s="3">
        <f t="shared" ref="N8:Q8" si="18">+M8*0.95</f>
        <v>419.00237765624991</v>
      </c>
      <c r="O8" s="3">
        <f t="shared" si="18"/>
        <v>398.05225877343742</v>
      </c>
      <c r="P8" s="3">
        <f t="shared" si="18"/>
        <v>378.14964583476552</v>
      </c>
      <c r="Q8" s="3">
        <f t="shared" si="18"/>
        <v>359.24216354302723</v>
      </c>
    </row>
    <row r="9" spans="1:18" s="3" customFormat="1" x14ac:dyDescent="0.25">
      <c r="B9" s="3" t="s">
        <v>40</v>
      </c>
      <c r="C9" s="3">
        <v>200</v>
      </c>
      <c r="D9" s="3">
        <v>200</v>
      </c>
      <c r="E9" s="3">
        <f>+D9*0.8</f>
        <v>160</v>
      </c>
      <c r="F9" s="3">
        <f t="shared" ref="F9:M9" si="19">+E9*0.8</f>
        <v>128</v>
      </c>
      <c r="G9" s="3">
        <f t="shared" si="19"/>
        <v>102.4</v>
      </c>
      <c r="H9" s="3">
        <f t="shared" si="19"/>
        <v>81.920000000000016</v>
      </c>
      <c r="I9" s="3">
        <f t="shared" si="19"/>
        <v>65.536000000000016</v>
      </c>
      <c r="J9" s="3">
        <f t="shared" si="19"/>
        <v>52.428800000000017</v>
      </c>
      <c r="K9" s="3">
        <f t="shared" si="19"/>
        <v>41.943040000000018</v>
      </c>
      <c r="L9" s="3">
        <f t="shared" si="19"/>
        <v>33.554432000000013</v>
      </c>
      <c r="M9" s="3">
        <f t="shared" si="19"/>
        <v>26.843545600000013</v>
      </c>
      <c r="N9" s="3">
        <f t="shared" ref="N9:Q9" si="20">+M9*0.8</f>
        <v>21.474836480000011</v>
      </c>
      <c r="O9" s="3">
        <f t="shared" si="20"/>
        <v>17.179869184000008</v>
      </c>
      <c r="P9" s="3">
        <f t="shared" si="20"/>
        <v>13.743895347200008</v>
      </c>
      <c r="Q9" s="3">
        <f t="shared" si="20"/>
        <v>10.995116277760006</v>
      </c>
    </row>
    <row r="10" spans="1:18" x14ac:dyDescent="0.25">
      <c r="B10" s="1" t="s">
        <v>41</v>
      </c>
      <c r="C10" s="3">
        <f>+C8+C9</f>
        <v>200</v>
      </c>
      <c r="D10" s="3">
        <f t="shared" ref="D10:M10" si="21">+D8+D9</f>
        <v>250</v>
      </c>
      <c r="E10" s="3">
        <f t="shared" si="21"/>
        <v>960</v>
      </c>
      <c r="F10" s="3">
        <f t="shared" si="21"/>
        <v>828</v>
      </c>
      <c r="G10" s="3">
        <f t="shared" si="21"/>
        <v>702.4</v>
      </c>
      <c r="H10" s="3">
        <f t="shared" si="21"/>
        <v>651.92000000000007</v>
      </c>
      <c r="I10" s="3">
        <f t="shared" si="21"/>
        <v>607.03600000000006</v>
      </c>
      <c r="J10" s="3">
        <f t="shared" si="21"/>
        <v>566.85379999999998</v>
      </c>
      <c r="K10" s="3">
        <f t="shared" si="21"/>
        <v>530.64679000000001</v>
      </c>
      <c r="L10" s="3">
        <f t="shared" si="21"/>
        <v>497.82299449999994</v>
      </c>
      <c r="M10" s="3">
        <f t="shared" si="21"/>
        <v>467.89867997499994</v>
      </c>
      <c r="N10" s="3">
        <f t="shared" ref="N10" si="22">+N8+N9</f>
        <v>440.47721413624993</v>
      </c>
      <c r="O10" s="3">
        <f t="shared" ref="O10" si="23">+O8+O9</f>
        <v>415.2321279574374</v>
      </c>
      <c r="P10" s="3">
        <f t="shared" ref="P10" si="24">+P8+P9</f>
        <v>391.89354118196553</v>
      </c>
      <c r="Q10" s="3">
        <f t="shared" ref="Q10" si="25">+Q8+Q9</f>
        <v>370.23727982078725</v>
      </c>
    </row>
    <row r="11" spans="1:18" x14ac:dyDescent="0.25">
      <c r="B11" s="1" t="s">
        <v>42</v>
      </c>
      <c r="C11" s="3">
        <f>+C7-C10</f>
        <v>-200</v>
      </c>
      <c r="D11" s="3">
        <f t="shared" ref="D11:M11" si="26">+D7-D10</f>
        <v>-250</v>
      </c>
      <c r="E11" s="3">
        <f t="shared" si="26"/>
        <v>-491.4375</v>
      </c>
      <c r="F11" s="3">
        <f t="shared" si="26"/>
        <v>-90.014062500000023</v>
      </c>
      <c r="G11" s="3">
        <f t="shared" si="26"/>
        <v>330.78031250000015</v>
      </c>
      <c r="H11" s="3">
        <f t="shared" si="26"/>
        <v>541.40326093750014</v>
      </c>
      <c r="I11" s="3">
        <f t="shared" si="26"/>
        <v>771.25236638281285</v>
      </c>
      <c r="J11" s="3">
        <f t="shared" si="26"/>
        <v>1025.069263172149</v>
      </c>
      <c r="K11" s="3">
        <f t="shared" si="26"/>
        <v>1273.0020405740452</v>
      </c>
      <c r="L11" s="3">
        <f t="shared" si="26"/>
        <v>1545.7111305403932</v>
      </c>
      <c r="M11" s="3">
        <f t="shared" si="26"/>
        <v>1847.4254836957657</v>
      </c>
      <c r="N11" s="3">
        <f t="shared" ref="N11" si="27">+N7-N10</f>
        <v>2015.8501911020653</v>
      </c>
      <c r="O11" s="3">
        <f t="shared" ref="O11" si="28">+O7-O10</f>
        <v>2190.685616259892</v>
      </c>
      <c r="P11" s="3">
        <f t="shared" ref="P11" si="29">+P7-P10</f>
        <v>2372.7245936581994</v>
      </c>
      <c r="Q11" s="3">
        <f t="shared" ref="Q11" si="30">+Q7-Q10</f>
        <v>2562.7460994311441</v>
      </c>
    </row>
    <row r="12" spans="1:18" x14ac:dyDescent="0.25">
      <c r="B12" s="1" t="s">
        <v>43</v>
      </c>
      <c r="C12" s="1">
        <v>0</v>
      </c>
      <c r="D12" s="1">
        <v>0</v>
      </c>
      <c r="E12" s="1">
        <v>0</v>
      </c>
      <c r="F12" s="3">
        <f>+E17*$O$20</f>
        <v>1.6456250000000001</v>
      </c>
      <c r="G12" s="3">
        <f>+F17*$O$20</f>
        <v>0.7619406249999997</v>
      </c>
      <c r="H12" s="3">
        <f>+G17*$O$20</f>
        <v>4.0773631562500015</v>
      </c>
      <c r="I12" s="3">
        <f>+H17*$O$20</f>
        <v>9.5321693971875039</v>
      </c>
      <c r="J12" s="3">
        <f>+I17*$O$20</f>
        <v>17.340014754987507</v>
      </c>
      <c r="K12" s="3">
        <f>+J17*$O$20</f>
        <v>27.764107534258873</v>
      </c>
      <c r="L12" s="3">
        <f>+K17*$O$20</f>
        <v>40.771769015341917</v>
      </c>
      <c r="M12" s="3">
        <f>+L17*$O$20</f>
        <v>56.63659801089927</v>
      </c>
      <c r="N12" s="3">
        <f t="shared" ref="N12:Q12" si="31">+M17*$O$20</f>
        <v>75.677218827965916</v>
      </c>
      <c r="O12" s="3">
        <f t="shared" si="31"/>
        <v>96.592492927266235</v>
      </c>
      <c r="P12" s="3">
        <f t="shared" si="31"/>
        <v>119.46527401913782</v>
      </c>
      <c r="Q12" s="3">
        <f t="shared" si="31"/>
        <v>144.38717269591118</v>
      </c>
    </row>
    <row r="13" spans="1:18" x14ac:dyDescent="0.25">
      <c r="B13" s="1" t="s">
        <v>44</v>
      </c>
      <c r="C13" s="3">
        <f>+C11+C12</f>
        <v>-200</v>
      </c>
      <c r="D13" s="3">
        <f t="shared" ref="D13:M13" si="32">+D11+D12</f>
        <v>-250</v>
      </c>
      <c r="E13" s="3">
        <f t="shared" si="32"/>
        <v>-491.4375</v>
      </c>
      <c r="F13" s="3">
        <f t="shared" si="32"/>
        <v>-88.368437500000027</v>
      </c>
      <c r="G13" s="3">
        <f t="shared" si="32"/>
        <v>331.54225312500017</v>
      </c>
      <c r="H13" s="3">
        <f t="shared" si="32"/>
        <v>545.48062409375018</v>
      </c>
      <c r="I13" s="3">
        <f t="shared" si="32"/>
        <v>780.7845357800004</v>
      </c>
      <c r="J13" s="3">
        <f t="shared" si="32"/>
        <v>1042.4092779271366</v>
      </c>
      <c r="K13" s="3">
        <f t="shared" si="32"/>
        <v>1300.7661481083042</v>
      </c>
      <c r="L13" s="3">
        <f t="shared" si="32"/>
        <v>1586.4828995557352</v>
      </c>
      <c r="M13" s="3">
        <f t="shared" si="32"/>
        <v>1904.0620817066649</v>
      </c>
      <c r="N13" s="3">
        <f t="shared" ref="N13" si="33">+N11+N12</f>
        <v>2091.5274099300314</v>
      </c>
      <c r="O13" s="3">
        <f t="shared" ref="O13" si="34">+O11+O12</f>
        <v>2287.2781091871584</v>
      </c>
      <c r="P13" s="3">
        <f t="shared" ref="P13" si="35">+P11+P12</f>
        <v>2492.1898676773371</v>
      </c>
      <c r="Q13" s="3">
        <f t="shared" ref="Q13" si="36">+Q11+Q12</f>
        <v>2707.1332721270551</v>
      </c>
    </row>
    <row r="14" spans="1:18" x14ac:dyDescent="0.25">
      <c r="B14" s="1" t="s">
        <v>46</v>
      </c>
      <c r="C14" s="1">
        <v>0</v>
      </c>
      <c r="D14" s="1">
        <v>0</v>
      </c>
      <c r="E14" s="1">
        <v>0</v>
      </c>
      <c r="F14" s="1">
        <v>0</v>
      </c>
      <c r="G14" s="3">
        <f>+G13*0.2</f>
        <v>66.308450625000035</v>
      </c>
      <c r="H14" s="3">
        <f t="shared" ref="H14:M14" si="37">+H13*0.2</f>
        <v>109.09612481875004</v>
      </c>
      <c r="I14" s="3">
        <f t="shared" si="37"/>
        <v>156.1569071560001</v>
      </c>
      <c r="J14" s="3">
        <f t="shared" si="37"/>
        <v>208.48185558542733</v>
      </c>
      <c r="K14" s="3">
        <f t="shared" si="37"/>
        <v>260.15322962166084</v>
      </c>
      <c r="L14" s="3">
        <f t="shared" si="37"/>
        <v>317.29657991114709</v>
      </c>
      <c r="M14" s="3">
        <f t="shared" si="37"/>
        <v>380.81241634133301</v>
      </c>
      <c r="N14" s="3">
        <f t="shared" ref="N14" si="38">+N13*0.2</f>
        <v>418.30548198600627</v>
      </c>
      <c r="O14" s="3">
        <f t="shared" ref="O14" si="39">+O13*0.2</f>
        <v>457.45562183743169</v>
      </c>
      <c r="P14" s="3">
        <f t="shared" ref="P14" si="40">+P13*0.2</f>
        <v>498.43797353546745</v>
      </c>
      <c r="Q14" s="3">
        <f t="shared" ref="Q14" si="41">+Q13*0.2</f>
        <v>541.42665442541102</v>
      </c>
    </row>
    <row r="15" spans="1:18" x14ac:dyDescent="0.25">
      <c r="B15" s="1" t="s">
        <v>47</v>
      </c>
      <c r="C15" s="3">
        <f>+C13-C14</f>
        <v>-200</v>
      </c>
      <c r="D15" s="3">
        <f t="shared" ref="D15:M15" si="42">+D13-D14</f>
        <v>-250</v>
      </c>
      <c r="E15" s="3">
        <f t="shared" si="42"/>
        <v>-491.4375</v>
      </c>
      <c r="F15" s="3">
        <f t="shared" si="42"/>
        <v>-88.368437500000027</v>
      </c>
      <c r="G15" s="3">
        <f t="shared" si="42"/>
        <v>265.23380250000014</v>
      </c>
      <c r="H15" s="3">
        <f t="shared" si="42"/>
        <v>436.38449927500017</v>
      </c>
      <c r="I15" s="3">
        <f t="shared" si="42"/>
        <v>624.62762862400029</v>
      </c>
      <c r="J15" s="3">
        <f t="shared" si="42"/>
        <v>833.9274223417093</v>
      </c>
      <c r="K15" s="3">
        <f t="shared" si="42"/>
        <v>1040.6129184866434</v>
      </c>
      <c r="L15" s="3">
        <f t="shared" si="42"/>
        <v>1269.1863196445881</v>
      </c>
      <c r="M15" s="3">
        <f t="shared" si="42"/>
        <v>1523.249665365332</v>
      </c>
      <c r="N15" s="3">
        <f t="shared" ref="N15" si="43">+N13-N14</f>
        <v>1673.2219279440251</v>
      </c>
      <c r="O15" s="3">
        <f t="shared" ref="O15" si="44">+O13-O14</f>
        <v>1829.8224873497268</v>
      </c>
      <c r="P15" s="3">
        <f t="shared" ref="P15" si="45">+P13-P14</f>
        <v>1993.7518941418698</v>
      </c>
      <c r="Q15" s="3">
        <f t="shared" ref="Q15" si="46">+Q13-Q14</f>
        <v>2165.7066177016441</v>
      </c>
    </row>
    <row r="17" spans="2:17" x14ac:dyDescent="0.25">
      <c r="B17" s="1" t="s">
        <v>3</v>
      </c>
      <c r="C17" s="3">
        <f>1106+C13</f>
        <v>906</v>
      </c>
      <c r="D17" s="3">
        <f>+C17+D13</f>
        <v>656</v>
      </c>
      <c r="E17" s="3">
        <f>+D17+E13</f>
        <v>164.5625</v>
      </c>
      <c r="F17" s="3">
        <f>+E17+F13</f>
        <v>76.194062499999973</v>
      </c>
      <c r="G17" s="3">
        <f t="shared" ref="G17:Q17" si="47">+F17+G13</f>
        <v>407.73631562500015</v>
      </c>
      <c r="H17" s="3">
        <f t="shared" si="47"/>
        <v>953.21693971875038</v>
      </c>
      <c r="I17" s="3">
        <f t="shared" si="47"/>
        <v>1734.0014754987508</v>
      </c>
      <c r="J17" s="3">
        <f t="shared" si="47"/>
        <v>2776.4107534258874</v>
      </c>
      <c r="K17" s="3">
        <f t="shared" si="47"/>
        <v>4077.1769015341915</v>
      </c>
      <c r="L17" s="3">
        <f t="shared" si="47"/>
        <v>5663.659801089927</v>
      </c>
      <c r="M17" s="3">
        <f t="shared" si="47"/>
        <v>7567.7218827965917</v>
      </c>
      <c r="N17" s="3">
        <f t="shared" si="47"/>
        <v>9659.249292726623</v>
      </c>
      <c r="O17" s="3">
        <f t="shared" si="47"/>
        <v>11946.527401913781</v>
      </c>
      <c r="P17" s="3">
        <f t="shared" si="47"/>
        <v>14438.717269591118</v>
      </c>
      <c r="Q17" s="3">
        <f t="shared" si="47"/>
        <v>17145.850541718173</v>
      </c>
    </row>
    <row r="19" spans="2:17" x14ac:dyDescent="0.25">
      <c r="N19" s="1" t="s">
        <v>48</v>
      </c>
      <c r="O19" s="18">
        <v>0.1</v>
      </c>
    </row>
    <row r="20" spans="2:17" x14ac:dyDescent="0.25">
      <c r="N20" s="1" t="s">
        <v>45</v>
      </c>
      <c r="O20" s="18">
        <v>0.01</v>
      </c>
    </row>
    <row r="21" spans="2:17" x14ac:dyDescent="0.25">
      <c r="N21" s="1" t="s">
        <v>49</v>
      </c>
      <c r="O21" s="3">
        <f>NPV(O19,C15:Q15)+Main!L5-Main!L6</f>
        <v>4944.927224685378</v>
      </c>
    </row>
    <row r="22" spans="2:17" x14ac:dyDescent="0.25">
      <c r="N22" s="1" t="s">
        <v>50</v>
      </c>
      <c r="O22" s="2">
        <f>O21/Main!L3</f>
        <v>62.626827996493432</v>
      </c>
    </row>
    <row r="23" spans="2:17" x14ac:dyDescent="0.25">
      <c r="O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efruxifermin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2025-01-27T13:12:47Z</dcterms:created>
  <dcterms:modified xsi:type="dcterms:W3CDTF">2025-04-22T18:35:01Z</dcterms:modified>
</cp:coreProperties>
</file>