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1790C63-822B-4B77-A388-3BF2D1E75663}" xr6:coauthVersionLast="47" xr6:coauthVersionMax="47" xr10:uidLastSave="{00000000-0000-0000-0000-000000000000}"/>
  <bookViews>
    <workbookView xWindow="-35400" yWindow="2280" windowWidth="29220" windowHeight="17160" activeTab="1" xr2:uid="{8FCE8A41-16C1-4EF7-92D6-76FBB8A04D3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71" i="2"/>
  <c r="L29" i="2"/>
  <c r="L71" i="2"/>
  <c r="S29" i="2"/>
  <c r="R29" i="2"/>
  <c r="Q29" i="2"/>
  <c r="P29" i="2"/>
  <c r="O29" i="2"/>
  <c r="N29" i="2"/>
  <c r="M29" i="2"/>
  <c r="O71" i="2"/>
  <c r="N71" i="2"/>
  <c r="M71" i="2"/>
  <c r="R2" i="2"/>
  <c r="Q2" i="2" s="1"/>
  <c r="P2" i="2" s="1"/>
  <c r="O2" i="2" s="1"/>
  <c r="N2" i="2" s="1"/>
  <c r="M2" i="2" s="1"/>
  <c r="L2" i="2" s="1"/>
  <c r="K2" i="2" s="1"/>
  <c r="W71" i="2"/>
  <c r="V71" i="2"/>
  <c r="U71" i="2"/>
  <c r="W52" i="2"/>
  <c r="V52" i="2"/>
  <c r="U52" i="2"/>
  <c r="W32" i="2"/>
  <c r="V32" i="2"/>
  <c r="U32" i="2"/>
  <c r="T32" i="2"/>
  <c r="S32" i="2"/>
  <c r="W31" i="2"/>
  <c r="V31" i="2"/>
  <c r="U31" i="2"/>
  <c r="T31" i="2"/>
  <c r="S31" i="2"/>
  <c r="X29" i="2"/>
  <c r="W29" i="2"/>
  <c r="V29" i="2"/>
  <c r="U29" i="2"/>
  <c r="T29" i="2"/>
  <c r="X71" i="2"/>
  <c r="Y71" i="2"/>
  <c r="Z71" i="2"/>
  <c r="AA71" i="2"/>
  <c r="Z22" i="2"/>
  <c r="Y22" i="2"/>
  <c r="X22" i="2"/>
  <c r="AA29" i="2"/>
  <c r="Z29" i="2"/>
  <c r="Y29" i="2"/>
  <c r="Z20" i="2"/>
  <c r="Y20" i="2"/>
  <c r="X20" i="2"/>
  <c r="Z16" i="2"/>
  <c r="Z31" i="2" s="1"/>
  <c r="Y16" i="2"/>
  <c r="Y31" i="2" s="1"/>
  <c r="X16" i="2"/>
  <c r="X31" i="2" s="1"/>
  <c r="F35" i="2"/>
  <c r="F40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C22" i="2"/>
  <c r="AB22" i="2"/>
  <c r="AA22" i="2"/>
  <c r="K7" i="1"/>
  <c r="AC71" i="2"/>
  <c r="AB71" i="2"/>
  <c r="AC20" i="2"/>
  <c r="AB20" i="2"/>
  <c r="AA20" i="2"/>
  <c r="AA16" i="2"/>
  <c r="AA31" i="2" s="1"/>
  <c r="AC30" i="2"/>
  <c r="AC13" i="2"/>
  <c r="AC14" i="2" s="1"/>
  <c r="AC16" i="2" s="1"/>
  <c r="AC31" i="2" s="1"/>
  <c r="AB13" i="2"/>
  <c r="AB14" i="2" s="1"/>
  <c r="AB29" i="2" s="1"/>
  <c r="G69" i="2"/>
  <c r="G63" i="2"/>
  <c r="G64" i="2" s="1"/>
  <c r="G58" i="2"/>
  <c r="G59" i="2" s="1"/>
  <c r="G44" i="2"/>
  <c r="G50" i="2" s="1"/>
  <c r="G40" i="2"/>
  <c r="G35" i="2"/>
  <c r="G34" i="2" s="1"/>
  <c r="F20" i="2"/>
  <c r="F21" i="2" s="1"/>
  <c r="F23" i="2" s="1"/>
  <c r="F25" i="2" s="1"/>
  <c r="F26" i="2" s="1"/>
  <c r="E20" i="2"/>
  <c r="E21" i="2" s="1"/>
  <c r="E23" i="2" s="1"/>
  <c r="E25" i="2" s="1"/>
  <c r="E26" i="2" s="1"/>
  <c r="D20" i="2"/>
  <c r="D21" i="2" s="1"/>
  <c r="D23" i="2" s="1"/>
  <c r="D25" i="2" s="1"/>
  <c r="D26" i="2" s="1"/>
  <c r="C20" i="2"/>
  <c r="G20" i="2"/>
  <c r="C16" i="2"/>
  <c r="G16" i="2"/>
  <c r="G31" i="2" s="1"/>
  <c r="G29" i="2"/>
  <c r="K4" i="1"/>
  <c r="F42" i="2" l="1"/>
  <c r="Z21" i="2"/>
  <c r="Z32" i="2" s="1"/>
  <c r="Y21" i="2"/>
  <c r="Y32" i="2" s="1"/>
  <c r="G42" i="2"/>
  <c r="AB16" i="2"/>
  <c r="AC21" i="2"/>
  <c r="AC32" i="2" s="1"/>
  <c r="X21" i="2"/>
  <c r="AA21" i="2"/>
  <c r="AA32" i="2" s="1"/>
  <c r="F34" i="2"/>
  <c r="AC29" i="2"/>
  <c r="C21" i="2"/>
  <c r="C23" i="2" s="1"/>
  <c r="C25" i="2" s="1"/>
  <c r="C26" i="2" s="1"/>
  <c r="G21" i="2"/>
  <c r="Y23" i="2" l="1"/>
  <c r="Y25" i="2" s="1"/>
  <c r="Z23" i="2"/>
  <c r="Z25" i="2" s="1"/>
  <c r="AC23" i="2"/>
  <c r="AC25" i="2" s="1"/>
  <c r="X23" i="2"/>
  <c r="X25" i="2" s="1"/>
  <c r="X32" i="2"/>
  <c r="Y26" i="2"/>
  <c r="Y52" i="2"/>
  <c r="AB21" i="2"/>
  <c r="AB31" i="2"/>
  <c r="Z26" i="2"/>
  <c r="Z52" i="2"/>
  <c r="AA23" i="2"/>
  <c r="AA25" i="2" s="1"/>
  <c r="G32" i="2"/>
  <c r="G23" i="2"/>
  <c r="G25" i="2" s="1"/>
  <c r="AB32" i="2" l="1"/>
  <c r="AB23" i="2"/>
  <c r="AB25" i="2" s="1"/>
  <c r="X26" i="2"/>
  <c r="X52" i="2"/>
  <c r="AC52" i="2"/>
  <c r="AC26" i="2"/>
  <c r="AA52" i="2"/>
  <c r="AA26" i="2"/>
  <c r="G26" i="2"/>
  <c r="G52" i="2"/>
  <c r="AB26" i="2" l="1"/>
  <c r="AB52" i="2"/>
</calcChain>
</file>

<file path=xl/sharedStrings.xml><?xml version="1.0" encoding="utf-8"?>
<sst xmlns="http://schemas.openxmlformats.org/spreadsheetml/2006/main" count="94" uniqueCount="86">
  <si>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</si>
  <si>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</si>
  <si>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</si>
  <si>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</si>
  <si>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</si>
  <si>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</si>
  <si>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</si>
  <si>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</si>
  <si>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</si>
  <si>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</si>
  <si>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R&amp;D</t>
  </si>
  <si>
    <t>S&amp;M</t>
  </si>
  <si>
    <t>G&amp;A</t>
  </si>
  <si>
    <t>Revenue y/y</t>
  </si>
  <si>
    <t>Gross Margin</t>
  </si>
  <si>
    <t>Operating Margin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</si>
  <si>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</si>
  <si>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</si>
  <si>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</si>
  <si>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</si>
  <si>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</si>
  <si>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</si>
  <si>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</si>
  <si>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PP&amp;E</t>
  </si>
  <si>
    <t>AR</t>
  </si>
  <si>
    <t>Inventories</t>
  </si>
  <si>
    <t>OCA</t>
  </si>
  <si>
    <t>Goodwill</t>
  </si>
  <si>
    <t>DT</t>
  </si>
  <si>
    <t>Assets</t>
  </si>
  <si>
    <t>AP</t>
  </si>
  <si>
    <t>Contract</t>
  </si>
  <si>
    <t>SE</t>
  </si>
  <si>
    <t>L+SE</t>
  </si>
  <si>
    <t>Other</t>
  </si>
  <si>
    <t>CFFO</t>
  </si>
  <si>
    <t>WC</t>
  </si>
  <si>
    <t>Reported NI</t>
  </si>
  <si>
    <t>Model NI</t>
  </si>
  <si>
    <t>D&amp;A</t>
  </si>
  <si>
    <t>SBC</t>
  </si>
  <si>
    <t>CFFI</t>
  </si>
  <si>
    <t>CapEx</t>
  </si>
  <si>
    <t>Acquisitions</t>
  </si>
  <si>
    <t>Investments</t>
  </si>
  <si>
    <t>Buybacks</t>
  </si>
  <si>
    <t>CFFF</t>
  </si>
  <si>
    <t>ESOP</t>
  </si>
  <si>
    <t>Dividends</t>
  </si>
  <si>
    <t>wafer fabrication and display fabrication tools</t>
  </si>
  <si>
    <t>Founded</t>
  </si>
  <si>
    <t>300mm equipment used to fabricate semiconductor chips/integrated circuits (ICs)</t>
  </si>
  <si>
    <t>materials engineering</t>
  </si>
  <si>
    <t>process control</t>
  </si>
  <si>
    <t>advanced packaging</t>
  </si>
  <si>
    <t>conversion of patterns into device structures</t>
  </si>
  <si>
    <t>transistor and interconnect fabrication</t>
  </si>
  <si>
    <t>metrology</t>
  </si>
  <si>
    <t>inspection and review</t>
  </si>
  <si>
    <t>packaging technologies for connecting finished IC die</t>
  </si>
  <si>
    <t>Semi y/y</t>
  </si>
  <si>
    <t>Services</t>
  </si>
  <si>
    <t>Semiconductor Backlog</t>
  </si>
  <si>
    <t>Samsung: 15% (2023), 12% (2024)</t>
  </si>
  <si>
    <t>TSM: 19% (2023), 11% (2024)</t>
  </si>
  <si>
    <t>Varian acquisition 2011</t>
  </si>
  <si>
    <t>Services Backlog</t>
  </si>
  <si>
    <t>Semiconductor Systems</t>
  </si>
  <si>
    <t>Display+Other</t>
  </si>
  <si>
    <t>China</t>
  </si>
  <si>
    <t>US</t>
  </si>
  <si>
    <t>Korea</t>
  </si>
  <si>
    <t>Taiwan</t>
  </si>
  <si>
    <t>Net Cash</t>
  </si>
  <si>
    <t>Q424</t>
  </si>
  <si>
    <t>Epitaxy (or epi) is a technique for growing silicon (e.g. silicon with another element) as a uniform crystalline structure on a wafer to form high quality material for the device circuity. Epi technology is used in device transistors to enhance chip speed.</t>
  </si>
  <si>
    <t>Ion implantation is a key technology for forming transistors and is used many times during chip fabrication. During ion implantation, wafers are bombarded by a beam of electrically-charged ions, called dopants, which can change the electrical properties of the exposed semiconductor material.</t>
  </si>
  <si>
    <t>Applied’s systems provide critical oxidation steps - like memory gate oxide, shallow trench isolation and liner oxide - for advanced device scaling.</t>
  </si>
  <si>
    <t>RTP is used primarily for annealing, which modifies the properties of deposited films. Applied’s single-wafer RTP systems are also used for growing high quality oxide and oxynitride films.</t>
  </si>
  <si>
    <t>PVD is used to deposit high quality metal films. Applications include metal gate, silicides, contact liner/barrier, interconnect copper barrier seed and metal hard mask.</t>
  </si>
  <si>
    <t>CVD is used to deposit dielectric and metal films on a wafer. During the CVD process, gases that contain atoms of the material to be deposited react on the wafer surface, forming a thin film of solid material.</t>
  </si>
  <si>
    <t>CMP is used to planarize a wafer surface, a process that allows subsequent photolithography patterning and material deposition steps to occur with greater accuracy, resulting in more uniform film layers with minimal thickness variations.</t>
  </si>
  <si>
    <t>ECD is a process by which metal atoms from a chemical fluid (an electrolyte) are deposited on the surface of an immersed object</t>
  </si>
  <si>
    <t>ALD technology enables ultra thin film growth of either a conducting or insulating material with uniform coverage in nanometer-sized structures.</t>
  </si>
  <si>
    <t>Etching is used many times throughout the IC manufacturing process to selectively remove material from the surface of a wafer. Applied offers systems for etching dielectric, metal, and silicon films to meet the requirements of advanced processing.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</si>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</sst>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4" fontId="1" fillId="0" borderId="0" xfId="0" applyNumberFormat="1" applyFont="1"/>
    <xf numFmtId="0" fontId="1" fillId="0" borderId="0" xfId="0" applyFon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868677-55A2-4358-B2BB-492424D0F7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18</xdr:row>
      <xdr:rowOff>45101</xdr:rowOff>
    </xdr:from>
    <xdr:to>
      <xdr:col>8</xdr:col>
      <xdr:colOff>309865</xdr:colOff>
      <xdr:row>33</xdr:row>
      <xdr:rowOff>145305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EEDD3-391B-7CC9-92D0-56CECD31B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53" y="2963399"/>
          <a:ext cx="4788642" cy="253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32658</xdr:colOff>
      <xdr:row>0</xdr:row>
      <xdr:rowOff>0</xdr:rowOff>
    </xdr:from>
    <xdr:to>
      <xdr:col>7</xdr:col>
      <xdr:colOff>32658</xdr:colOff>
      <xdr:row>76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8EE6FA-794A-951E-5F50-3E239A75E344}"/>
            </a:ext>
          </a:extLst>
        </xdr:cNvPr>
        <xdr:cNvCxnSpPr/>
      </xdr:nvCxnSpPr>
      <xdr:spPr>
        <a:xfrm>
          <a:off x="4708072" y="0"/>
          <a:ext cx="0" cy="104502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4053</xdr:colOff>
      <xdr:row>0</xdr:row>
      <xdr:rowOff>24319</xdr:rowOff>
    </xdr:from>
    <xdr:to>
      <xdr:col>29</xdr:col>
      <xdr:colOff>4053</xdr:colOff>
      <xdr:row>77</xdr:row>
      <xdr:rowOff>60403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000598C-954E-3298-CB29-005411DE8486}"/>
            </a:ext>
          </a:extLst>
        </xdr:cNvPr>
        <xdr:cNvCxnSpPr/>
      </xdr:nvCxnSpPr>
      <xdr:spPr>
        <a:xfrm>
          <a:off x="12772199" y="24319"/>
          <a:ext cx="0" cy="125579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9B30-572B-4034-92C9-B307A12C2221}">
  <dimension ref="B2:L45"/>
  <sheetViews>
    <sheetView zoomScale="235" zoomScaleNormal="235" workbookViewId="0"/>
  </sheetViews>
  <sheetFormatPr defaultRowHeight="12.75" x14ac:dyDescent="0.2"/>
  <cols>
    <col min="11" max="11" width="9.7109375" bestFit="1" customWidth="1"/>
  </cols>
  <sheetData>
    <row r="2" spans="2:12" x14ac:dyDescent="0.2">
      <c r="B2" s="5" t="s">
        <v>49</v>
      </c>
      <c r="J2" t="s">
        <v>0</v>
      </c>
      <c r="K2" s="1">
        <v>145.4</v>
      </c>
    </row>
    <row r="3" spans="2:12" x14ac:dyDescent="0.2">
      <c r="B3" t="s">
        <v>51</v>
      </c>
      <c r="J3" t="s">
        <v>1</v>
      </c>
      <c r="K3" s="2">
        <v>812.44084899999996</v>
      </c>
      <c r="L3" s="8" t="s">
        <v>74</v>
      </c>
    </row>
    <row r="4" spans="2:12" x14ac:dyDescent="0.2">
      <c r="J4" t="s">
        <v>2</v>
      </c>
      <c r="K4" s="2">
        <f>+K2*K3</f>
        <v>118128.8994446</v>
      </c>
    </row>
    <row r="5" spans="2:12" x14ac:dyDescent="0.2">
      <c r="B5" t="s">
        <v>52</v>
      </c>
      <c r="J5" t="s">
        <v>3</v>
      </c>
      <c r="K5" s="2">
        <v>10899</v>
      </c>
      <c r="L5" s="8" t="s">
        <v>74</v>
      </c>
    </row>
    <row r="6" spans="2:12" x14ac:dyDescent="0.2">
      <c r="B6" t="s">
        <v>53</v>
      </c>
      <c r="J6" t="s">
        <v>4</v>
      </c>
      <c r="K6" s="2">
        <v>6260</v>
      </c>
      <c r="L6" s="8" t="s">
        <v>74</v>
      </c>
    </row>
    <row r="7" spans="2:12" x14ac:dyDescent="0.2">
      <c r="B7" t="s">
        <v>54</v>
      </c>
      <c r="J7" t="s">
        <v>5</v>
      </c>
      <c r="K7" s="2">
        <f>+K4-K5+K6</f>
        <v>113489.8994446</v>
      </c>
    </row>
    <row r="8" spans="2:12" x14ac:dyDescent="0.2">
      <c r="B8" t="s">
        <v>55</v>
      </c>
    </row>
    <row r="9" spans="2:12" x14ac:dyDescent="0.2">
      <c r="B9" t="s">
        <v>56</v>
      </c>
      <c r="J9" t="s">
        <v>50</v>
      </c>
      <c r="K9">
        <v>1967</v>
      </c>
    </row>
    <row r="10" spans="2:12" x14ac:dyDescent="0.2">
      <c r="B10" t="s">
        <v>57</v>
      </c>
    </row>
    <row r="11" spans="2:12" x14ac:dyDescent="0.2">
      <c r="B11" t="s">
        <v>58</v>
      </c>
    </row>
    <row r="12" spans="2:12" x14ac:dyDescent="0.2">
      <c r="B12" t="s">
        <v>59</v>
      </c>
    </row>
    <row r="13" spans="2:12" x14ac:dyDescent="0.2">
      <c r="I13" t="s">
        <v>65</v>
      </c>
    </row>
    <row r="15" spans="2:12" x14ac:dyDescent="0.2">
      <c r="B15" t="s">
        <v>63</v>
      </c>
    </row>
    <row r="16" spans="2:12" x14ac:dyDescent="0.2">
      <c r="B16" t="s">
        <v>64</v>
      </c>
    </row>
    <row r="36" spans="2:2" x14ac:dyDescent="0.2">
      <c r="B36" t="s">
        <v>75</v>
      </c>
    </row>
    <row r="37" spans="2:2" x14ac:dyDescent="0.2">
      <c r="B37" t="s">
        <v>76</v>
      </c>
    </row>
    <row r="38" spans="2:2" x14ac:dyDescent="0.2">
      <c r="B38" t="s">
        <v>77</v>
      </c>
    </row>
    <row r="39" spans="2:2" x14ac:dyDescent="0.2">
      <c r="B39" t="s">
        <v>78</v>
      </c>
    </row>
    <row r="40" spans="2:2" x14ac:dyDescent="0.2">
      <c r="B40" t="s">
        <v>79</v>
      </c>
    </row>
    <row r="41" spans="2:2" x14ac:dyDescent="0.2">
      <c r="B41" t="s">
        <v>80</v>
      </c>
    </row>
    <row r="42" spans="2:2" x14ac:dyDescent="0.2">
      <c r="B42" t="s">
        <v>81</v>
      </c>
    </row>
    <row r="43" spans="2:2" x14ac:dyDescent="0.2">
      <c r="B43" t="s">
        <v>82</v>
      </c>
    </row>
    <row r="44" spans="2:2" x14ac:dyDescent="0.2">
      <c r="B44" t="s">
        <v>83</v>
      </c>
    </row>
    <row r="45" spans="2:2" x14ac:dyDescent="0.2">
      <c r="B45" t="s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C328-206B-416D-93E7-7AB15E2A4BC1}">
  <dimension ref="A1:AO71"/>
  <sheetViews>
    <sheetView tabSelected="1" zoomScale="130" zoomScaleNormal="130" workbookViewId="0">
      <pane xSplit="2" ySplit="2" topLeftCell="M9" activePane="bottomRight" state="frozen"/>
      <selection pane="topRight" activeCell="C1" sqref="C1"/>
      <selection pane="bottomLeft" activeCell="A3" sqref="A3"/>
      <selection pane="bottomRight" activeCell="AE14" sqref="AE14"/>
    </sheetView>
  </sheetViews>
  <sheetFormatPr defaultRowHeight="12.75" x14ac:dyDescent="0.2"/>
  <cols>
    <col min="1" max="1" width="5" bestFit="1" customWidth="1"/>
    <col min="2" max="2" width="20.85546875" customWidth="1"/>
    <col min="7" max="7" width="10.42578125" customWidth="1"/>
  </cols>
  <sheetData>
    <row r="1" spans="1:41" x14ac:dyDescent="0.2">
      <c r="A1" t="s">
        <v>6</v>
      </c>
    </row>
    <row r="2" spans="1:41" s="4" customFormat="1" x14ac:dyDescent="0.2">
      <c r="C2" s="4">
        <v>45319</v>
      </c>
      <c r="G2" s="4">
        <v>45683</v>
      </c>
      <c r="J2" s="6">
        <f t="shared" ref="J2:N2" si="0">+K2-1</f>
        <v>2005</v>
      </c>
      <c r="K2" s="6">
        <f t="shared" si="0"/>
        <v>2006</v>
      </c>
      <c r="L2" s="6">
        <f t="shared" si="0"/>
        <v>2007</v>
      </c>
      <c r="M2" s="6">
        <f t="shared" si="0"/>
        <v>2008</v>
      </c>
      <c r="N2" s="6">
        <f t="shared" ref="N2:R2" si="1">+O2-1</f>
        <v>2009</v>
      </c>
      <c r="O2" s="6">
        <f t="shared" si="1"/>
        <v>2010</v>
      </c>
      <c r="P2" s="6">
        <f t="shared" si="1"/>
        <v>2011</v>
      </c>
      <c r="Q2" s="6">
        <f t="shared" si="1"/>
        <v>2012</v>
      </c>
      <c r="R2" s="6">
        <f>+S2-1</f>
        <v>2013</v>
      </c>
      <c r="S2" s="6">
        <v>2014</v>
      </c>
      <c r="T2" s="6">
        <v>2015</v>
      </c>
      <c r="U2" s="6">
        <v>2016</v>
      </c>
      <c r="V2" s="6">
        <v>2017</v>
      </c>
      <c r="W2" s="6">
        <v>2018</v>
      </c>
      <c r="X2" s="6">
        <v>2019</v>
      </c>
      <c r="Y2" s="6">
        <v>2020</v>
      </c>
      <c r="Z2" s="6">
        <v>2021</v>
      </c>
      <c r="AA2" s="6">
        <v>2022</v>
      </c>
      <c r="AB2" s="6">
        <v>2023</v>
      </c>
      <c r="AC2" s="6">
        <v>2024</v>
      </c>
      <c r="AD2" s="6">
        <f>+AC2+1</f>
        <v>2025</v>
      </c>
      <c r="AE2" s="6">
        <f>+AD2+1</f>
        <v>2026</v>
      </c>
      <c r="AF2" s="6">
        <f>+AE2+1</f>
        <v>2027</v>
      </c>
      <c r="AG2" s="6">
        <f>+AF2+1</f>
        <v>2028</v>
      </c>
      <c r="AH2" s="6">
        <f>+AG2+1</f>
        <v>2029</v>
      </c>
      <c r="AI2" s="6">
        <f>+AH2+1</f>
        <v>2030</v>
      </c>
      <c r="AJ2" s="6">
        <f>+AI2+1</f>
        <v>2031</v>
      </c>
      <c r="AK2" s="6">
        <f>+AJ2+1</f>
        <v>2032</v>
      </c>
      <c r="AL2" s="6">
        <f>+AK2+1</f>
        <v>2033</v>
      </c>
      <c r="AM2" s="6">
        <f>+AL2+1</f>
        <v>2034</v>
      </c>
      <c r="AN2" s="6">
        <f>+AM2+1</f>
        <v>2035</v>
      </c>
      <c r="AO2" s="6">
        <f>+AN2+1</f>
        <v>2036</v>
      </c>
    </row>
    <row r="3" spans="1:41" s="2" customFormat="1" x14ac:dyDescent="0.2">
      <c r="B3" s="2" t="s">
        <v>69</v>
      </c>
      <c r="AB3" s="2">
        <v>7247</v>
      </c>
      <c r="AC3" s="2">
        <v>10117</v>
      </c>
    </row>
    <row r="4" spans="1:41" s="2" customFormat="1" x14ac:dyDescent="0.2">
      <c r="B4" s="2" t="s">
        <v>71</v>
      </c>
      <c r="AB4" s="2">
        <v>4609</v>
      </c>
      <c r="AC4" s="2">
        <v>4493</v>
      </c>
    </row>
    <row r="5" spans="1:41" s="2" customFormat="1" x14ac:dyDescent="0.2">
      <c r="B5" s="2" t="s">
        <v>72</v>
      </c>
      <c r="AB5" s="2">
        <v>5670</v>
      </c>
      <c r="AC5" s="2">
        <v>4010</v>
      </c>
    </row>
    <row r="6" spans="1:41" s="2" customFormat="1" x14ac:dyDescent="0.2">
      <c r="B6" s="2" t="s">
        <v>70</v>
      </c>
      <c r="AB6" s="2">
        <v>4006</v>
      </c>
      <c r="AC6" s="2">
        <v>3818</v>
      </c>
    </row>
    <row r="7" spans="1:41" s="4" customFormat="1" x14ac:dyDescent="0.2">
      <c r="AB7" s="6"/>
      <c r="AC7" s="6"/>
    </row>
    <row r="8" spans="1:41" s="2" customFormat="1" x14ac:dyDescent="0.2">
      <c r="B8" s="2" t="s">
        <v>62</v>
      </c>
      <c r="AB8" s="2">
        <v>11127</v>
      </c>
      <c r="AC8" s="2">
        <v>8259</v>
      </c>
    </row>
    <row r="9" spans="1:41" s="2" customFormat="1" x14ac:dyDescent="0.2">
      <c r="B9" s="2" t="s">
        <v>66</v>
      </c>
      <c r="AB9" s="2">
        <v>5162</v>
      </c>
      <c r="AC9" s="2">
        <v>6767</v>
      </c>
    </row>
    <row r="10" spans="1:41" s="2" customFormat="1" x14ac:dyDescent="0.2"/>
    <row r="11" spans="1:41" s="2" customFormat="1" x14ac:dyDescent="0.2">
      <c r="B11" s="2" t="s">
        <v>67</v>
      </c>
      <c r="AB11" s="2">
        <v>19698</v>
      </c>
      <c r="AC11" s="2">
        <v>19911</v>
      </c>
    </row>
    <row r="12" spans="1:41" s="2" customFormat="1" x14ac:dyDescent="0.2">
      <c r="B12" s="2" t="s">
        <v>61</v>
      </c>
      <c r="AB12" s="2">
        <v>5732</v>
      </c>
      <c r="AC12" s="2">
        <v>6225</v>
      </c>
    </row>
    <row r="13" spans="1:41" s="2" customFormat="1" x14ac:dyDescent="0.2">
      <c r="B13" s="2" t="s">
        <v>68</v>
      </c>
      <c r="AB13" s="2">
        <f>868+219</f>
        <v>1087</v>
      </c>
      <c r="AC13" s="2">
        <f>885+155</f>
        <v>1040</v>
      </c>
    </row>
    <row r="14" spans="1:41" s="7" customFormat="1" x14ac:dyDescent="0.2">
      <c r="B14" s="7" t="s">
        <v>7</v>
      </c>
      <c r="C14" s="7">
        <v>6707</v>
      </c>
      <c r="G14" s="7">
        <v>7166</v>
      </c>
      <c r="K14" s="7">
        <v>9167.0139999999992</v>
      </c>
      <c r="L14" s="7">
        <v>9734.8559999999998</v>
      </c>
      <c r="M14" s="7">
        <v>8129.24</v>
      </c>
      <c r="N14" s="7">
        <v>5014</v>
      </c>
      <c r="O14" s="7">
        <v>9549</v>
      </c>
      <c r="P14" s="7">
        <v>10517</v>
      </c>
      <c r="Q14" s="7">
        <v>8719</v>
      </c>
      <c r="R14" s="7">
        <v>7509</v>
      </c>
      <c r="S14" s="7">
        <v>9072</v>
      </c>
      <c r="T14" s="7">
        <v>9659</v>
      </c>
      <c r="U14" s="7">
        <v>10825</v>
      </c>
      <c r="V14" s="7">
        <v>14537</v>
      </c>
      <c r="W14" s="7">
        <v>17253</v>
      </c>
      <c r="X14" s="7">
        <v>14608</v>
      </c>
      <c r="Y14" s="7">
        <v>17202</v>
      </c>
      <c r="Z14" s="7">
        <v>23063</v>
      </c>
      <c r="AA14" s="7">
        <v>25785</v>
      </c>
      <c r="AB14" s="7">
        <f>SUM(AB11:AB13)</f>
        <v>26517</v>
      </c>
      <c r="AC14" s="7">
        <f>SUM(AC11:AC13)</f>
        <v>27176</v>
      </c>
    </row>
    <row r="15" spans="1:41" s="2" customFormat="1" x14ac:dyDescent="0.2">
      <c r="B15" s="2" t="s">
        <v>8</v>
      </c>
      <c r="C15" s="2">
        <v>3503</v>
      </c>
      <c r="G15" s="2">
        <v>3670</v>
      </c>
      <c r="X15" s="2">
        <v>8222</v>
      </c>
      <c r="Y15" s="2">
        <v>9510</v>
      </c>
      <c r="Z15" s="2">
        <v>12149</v>
      </c>
      <c r="AA15" s="2">
        <v>13792</v>
      </c>
      <c r="AB15" s="2">
        <v>14133</v>
      </c>
      <c r="AC15" s="2">
        <v>14279</v>
      </c>
    </row>
    <row r="16" spans="1:41" s="2" customFormat="1" x14ac:dyDescent="0.2">
      <c r="B16" s="2" t="s">
        <v>9</v>
      </c>
      <c r="C16" s="2">
        <f>+C14-C15</f>
        <v>3204</v>
      </c>
      <c r="G16" s="2">
        <f>+G14-G15</f>
        <v>3496</v>
      </c>
      <c r="X16" s="2">
        <f>+X14-X15</f>
        <v>6386</v>
      </c>
      <c r="Y16" s="2">
        <f>+Y14-Y15</f>
        <v>7692</v>
      </c>
      <c r="Z16" s="2">
        <f>+Z14-Z15</f>
        <v>10914</v>
      </c>
      <c r="AA16" s="2">
        <f>+AA14-AA15</f>
        <v>11993</v>
      </c>
      <c r="AB16" s="2">
        <f>+AB14-AB15</f>
        <v>12384</v>
      </c>
      <c r="AC16" s="2">
        <f>+AC14-AC15</f>
        <v>12897</v>
      </c>
    </row>
    <row r="17" spans="2:29" s="12" customFormat="1" x14ac:dyDescent="0.2">
      <c r="B17" s="12" t="s">
        <v>10</v>
      </c>
      <c r="C17" s="12">
        <v>754</v>
      </c>
      <c r="G17" s="12">
        <v>859</v>
      </c>
      <c r="X17" s="12">
        <v>2054</v>
      </c>
      <c r="Y17" s="12">
        <v>2234</v>
      </c>
      <c r="Z17" s="12">
        <v>2485</v>
      </c>
      <c r="AA17" s="12">
        <v>2771</v>
      </c>
      <c r="AB17" s="12">
        <v>3102</v>
      </c>
      <c r="AC17" s="12">
        <v>3233</v>
      </c>
    </row>
    <row r="18" spans="2:29" s="2" customFormat="1" x14ac:dyDescent="0.2">
      <c r="B18" s="2" t="s">
        <v>11</v>
      </c>
      <c r="C18" s="2">
        <v>207</v>
      </c>
      <c r="G18" s="2">
        <v>206</v>
      </c>
      <c r="X18" s="2">
        <v>521</v>
      </c>
      <c r="Y18" s="2">
        <v>526</v>
      </c>
      <c r="Z18" s="2">
        <v>609</v>
      </c>
      <c r="AA18" s="2">
        <v>703</v>
      </c>
      <c r="AB18" s="2">
        <v>776</v>
      </c>
      <c r="AC18" s="2">
        <v>836</v>
      </c>
    </row>
    <row r="19" spans="2:29" s="2" customFormat="1" x14ac:dyDescent="0.2">
      <c r="B19" s="2" t="s">
        <v>12</v>
      </c>
      <c r="C19" s="2">
        <v>276</v>
      </c>
      <c r="G19" s="2">
        <v>256</v>
      </c>
      <c r="X19" s="2">
        <v>461</v>
      </c>
      <c r="Y19" s="2">
        <v>567</v>
      </c>
      <c r="Z19" s="2">
        <v>620</v>
      </c>
      <c r="AA19" s="2">
        <v>735</v>
      </c>
      <c r="AB19" s="2">
        <v>852</v>
      </c>
      <c r="AC19" s="2">
        <v>961</v>
      </c>
    </row>
    <row r="20" spans="2:29" x14ac:dyDescent="0.2">
      <c r="B20" s="2" t="s">
        <v>16</v>
      </c>
      <c r="C20" s="2">
        <f t="shared" ref="C20:F20" si="2">SUM(C17:C19)</f>
        <v>1237</v>
      </c>
      <c r="D20" s="2">
        <f t="shared" si="2"/>
        <v>0</v>
      </c>
      <c r="E20" s="2">
        <f t="shared" si="2"/>
        <v>0</v>
      </c>
      <c r="F20" s="2">
        <f t="shared" si="2"/>
        <v>0</v>
      </c>
      <c r="G20" s="2">
        <f>SUM(G17:G19)</f>
        <v>1321</v>
      </c>
      <c r="X20" s="2">
        <f t="shared" ref="X20:Z20" si="3">SUM(X17:X19)</f>
        <v>3036</v>
      </c>
      <c r="Y20" s="2">
        <f t="shared" si="3"/>
        <v>3327</v>
      </c>
      <c r="Z20" s="2">
        <f t="shared" si="3"/>
        <v>3714</v>
      </c>
      <c r="AA20" s="2">
        <f>SUM(AA17:AA19)</f>
        <v>4209</v>
      </c>
      <c r="AB20" s="2">
        <f>SUM(AB17:AB19)</f>
        <v>4730</v>
      </c>
      <c r="AC20" s="2">
        <f>SUM(AC17:AC19)</f>
        <v>5030</v>
      </c>
    </row>
    <row r="21" spans="2:29" x14ac:dyDescent="0.2">
      <c r="B21" s="2" t="s">
        <v>17</v>
      </c>
      <c r="C21" s="2">
        <f t="shared" ref="C21:F21" si="4">C16-C20</f>
        <v>1967</v>
      </c>
      <c r="D21" s="2">
        <f t="shared" si="4"/>
        <v>0</v>
      </c>
      <c r="E21" s="2">
        <f t="shared" si="4"/>
        <v>0</v>
      </c>
      <c r="F21" s="2">
        <f t="shared" si="4"/>
        <v>0</v>
      </c>
      <c r="G21" s="2">
        <f>G16-G20</f>
        <v>2175</v>
      </c>
      <c r="X21" s="2">
        <f t="shared" ref="X21:Z21" si="5">X16-X20</f>
        <v>3350</v>
      </c>
      <c r="Y21" s="2">
        <f t="shared" si="5"/>
        <v>4365</v>
      </c>
      <c r="Z21" s="2">
        <f t="shared" si="5"/>
        <v>7200</v>
      </c>
      <c r="AA21" s="2">
        <f>AA16-AA20</f>
        <v>7784</v>
      </c>
      <c r="AB21" s="2">
        <f>AB16-AB20</f>
        <v>7654</v>
      </c>
      <c r="AC21" s="2">
        <f>AC16-AC20</f>
        <v>7867</v>
      </c>
    </row>
    <row r="22" spans="2:29" x14ac:dyDescent="0.2">
      <c r="B22" s="2" t="s">
        <v>18</v>
      </c>
      <c r="C22" s="2">
        <v>-59</v>
      </c>
      <c r="G22" s="2">
        <v>-64</v>
      </c>
      <c r="X22">
        <f>-237+156</f>
        <v>-81</v>
      </c>
      <c r="Y22">
        <f>-240+41</f>
        <v>-199</v>
      </c>
      <c r="Z22">
        <f>-236+118</f>
        <v>-118</v>
      </c>
      <c r="AA22" s="2">
        <f>-228+39</f>
        <v>-189</v>
      </c>
      <c r="AB22" s="2">
        <f>-238+300</f>
        <v>62</v>
      </c>
      <c r="AC22" s="2">
        <f>-247+532</f>
        <v>285</v>
      </c>
    </row>
    <row r="23" spans="2:29" x14ac:dyDescent="0.2">
      <c r="B23" s="2" t="s">
        <v>19</v>
      </c>
      <c r="C23" s="2">
        <f t="shared" ref="C23:F23" si="6">+C21+C22</f>
        <v>1908</v>
      </c>
      <c r="D23" s="2">
        <f t="shared" si="6"/>
        <v>0</v>
      </c>
      <c r="E23" s="2">
        <f t="shared" si="6"/>
        <v>0</v>
      </c>
      <c r="F23" s="2">
        <f t="shared" si="6"/>
        <v>0</v>
      </c>
      <c r="G23" s="2">
        <f>+G21+G22</f>
        <v>2111</v>
      </c>
      <c r="X23" s="2">
        <f t="shared" ref="X23" si="7">+X21+X22</f>
        <v>3269</v>
      </c>
      <c r="Y23" s="2">
        <f t="shared" ref="Y23" si="8">+Y21+Y22</f>
        <v>4166</v>
      </c>
      <c r="Z23" s="2">
        <f t="shared" ref="Z23" si="9">+Z21+Z22</f>
        <v>7082</v>
      </c>
      <c r="AA23" s="2">
        <f t="shared" ref="AA23:AC23" si="10">+AA21+AA22</f>
        <v>7595</v>
      </c>
      <c r="AB23" s="2">
        <f t="shared" si="10"/>
        <v>7716</v>
      </c>
      <c r="AC23" s="2">
        <f t="shared" si="10"/>
        <v>8152</v>
      </c>
    </row>
    <row r="24" spans="2:29" s="2" customFormat="1" x14ac:dyDescent="0.2">
      <c r="B24" s="2" t="s">
        <v>20</v>
      </c>
      <c r="C24" s="2">
        <v>284</v>
      </c>
      <c r="G24" s="2">
        <v>934</v>
      </c>
      <c r="X24" s="2">
        <v>563</v>
      </c>
      <c r="Y24" s="2">
        <v>547</v>
      </c>
      <c r="Z24" s="2">
        <v>883</v>
      </c>
      <c r="AA24" s="2">
        <v>1074</v>
      </c>
      <c r="AB24" s="2">
        <v>860</v>
      </c>
      <c r="AC24" s="2">
        <v>975</v>
      </c>
    </row>
    <row r="25" spans="2:29" x14ac:dyDescent="0.2">
      <c r="B25" s="2" t="s">
        <v>21</v>
      </c>
      <c r="C25" s="2">
        <f t="shared" ref="C25:F25" si="11">+C23-C24</f>
        <v>1624</v>
      </c>
      <c r="D25" s="2">
        <f t="shared" si="11"/>
        <v>0</v>
      </c>
      <c r="E25" s="2">
        <f t="shared" si="11"/>
        <v>0</v>
      </c>
      <c r="F25" s="2">
        <f t="shared" si="11"/>
        <v>0</v>
      </c>
      <c r="G25" s="2">
        <f>+G23-G24</f>
        <v>1177</v>
      </c>
      <c r="X25" s="2">
        <f t="shared" ref="X25" si="12">+X23-X24</f>
        <v>2706</v>
      </c>
      <c r="Y25" s="2">
        <f t="shared" ref="Y25" si="13">+Y23-Y24</f>
        <v>3619</v>
      </c>
      <c r="Z25" s="2">
        <f t="shared" ref="Z25" si="14">+Z23-Z24</f>
        <v>6199</v>
      </c>
      <c r="AA25" s="2">
        <f t="shared" ref="AA25:AC25" si="15">+AA23-AA24</f>
        <v>6521</v>
      </c>
      <c r="AB25" s="2">
        <f t="shared" si="15"/>
        <v>6856</v>
      </c>
      <c r="AC25" s="2">
        <f t="shared" si="15"/>
        <v>7177</v>
      </c>
    </row>
    <row r="26" spans="2:29" s="10" customFormat="1" x14ac:dyDescent="0.2">
      <c r="B26" s="7" t="s">
        <v>22</v>
      </c>
      <c r="C26" s="9">
        <f>+C25/C27</f>
        <v>1.94026284348865</v>
      </c>
      <c r="D26" s="9" t="e">
        <f t="shared" ref="D26:G26" si="16">+D25/D27</f>
        <v>#DIV/0!</v>
      </c>
      <c r="E26" s="9" t="e">
        <f t="shared" si="16"/>
        <v>#DIV/0!</v>
      </c>
      <c r="F26" s="9" t="e">
        <f t="shared" si="16"/>
        <v>#DIV/0!</v>
      </c>
      <c r="G26" s="9">
        <f t="shared" si="16"/>
        <v>1.4371184371184371</v>
      </c>
      <c r="X26" s="9">
        <f t="shared" ref="X26:Z26" si="17">+X25/X27</f>
        <v>2.8634920634920635</v>
      </c>
      <c r="Y26" s="9">
        <f t="shared" si="17"/>
        <v>3.9209100758396533</v>
      </c>
      <c r="Z26" s="9">
        <f t="shared" si="17"/>
        <v>6.7453754080522303</v>
      </c>
      <c r="AA26" s="9">
        <f>+AA25/AA27</f>
        <v>7.4355758266818697</v>
      </c>
      <c r="AB26" s="9">
        <f>+AB25/AB27</f>
        <v>8.1136094674556212</v>
      </c>
      <c r="AC26" s="9">
        <f>+AC25/AC27</f>
        <v>8.6055155875299754</v>
      </c>
    </row>
    <row r="27" spans="2:29" x14ac:dyDescent="0.2">
      <c r="B27" s="2" t="s">
        <v>1</v>
      </c>
      <c r="C27" s="2">
        <v>837</v>
      </c>
      <c r="D27" s="2"/>
      <c r="E27" s="2"/>
      <c r="F27" s="2"/>
      <c r="G27" s="2">
        <v>819</v>
      </c>
      <c r="X27">
        <v>945</v>
      </c>
      <c r="Y27">
        <v>923</v>
      </c>
      <c r="Z27">
        <v>919</v>
      </c>
      <c r="AA27">
        <v>877</v>
      </c>
      <c r="AB27">
        <v>845</v>
      </c>
      <c r="AC27">
        <v>834</v>
      </c>
    </row>
    <row r="29" spans="2:29" s="10" customFormat="1" x14ac:dyDescent="0.2">
      <c r="B29" s="10" t="s">
        <v>13</v>
      </c>
      <c r="G29" s="11">
        <f>+G14/C14-1</f>
        <v>6.8435962427314756E-2</v>
      </c>
      <c r="L29" s="11">
        <f t="shared" ref="L29:T29" si="18">+L14/K14-1</f>
        <v>6.1944052883523559E-2</v>
      </c>
      <c r="M29" s="11">
        <f t="shared" si="18"/>
        <v>-0.16493474582469425</v>
      </c>
      <c r="N29" s="11">
        <f t="shared" si="18"/>
        <v>-0.38321417500282928</v>
      </c>
      <c r="O29" s="11">
        <f t="shared" si="18"/>
        <v>0.90446749102512958</v>
      </c>
      <c r="P29" s="11">
        <f t="shared" si="18"/>
        <v>0.10137187140014658</v>
      </c>
      <c r="Q29" s="11">
        <f t="shared" si="18"/>
        <v>-0.17096130075116478</v>
      </c>
      <c r="R29" s="11">
        <f t="shared" si="18"/>
        <v>-0.13877738272737694</v>
      </c>
      <c r="S29" s="11">
        <f t="shared" si="18"/>
        <v>0.20815021973631631</v>
      </c>
      <c r="T29" s="11">
        <f t="shared" ref="T29:Y29" si="19">+T14/S14-1</f>
        <v>6.4704585537918913E-2</v>
      </c>
      <c r="U29" s="11">
        <f t="shared" si="19"/>
        <v>0.12071643027228496</v>
      </c>
      <c r="V29" s="11">
        <f t="shared" si="19"/>
        <v>0.34290993071593534</v>
      </c>
      <c r="W29" s="11">
        <f t="shared" si="19"/>
        <v>0.18683359702827262</v>
      </c>
      <c r="X29" s="11">
        <f t="shared" si="19"/>
        <v>-0.15330667130354136</v>
      </c>
      <c r="Y29" s="11">
        <f t="shared" ref="Y29:AB29" si="20">+Y14/X14-1</f>
        <v>0.17757393209200445</v>
      </c>
      <c r="Z29" s="11">
        <f t="shared" si="20"/>
        <v>0.34071619579118706</v>
      </c>
      <c r="AA29" s="11">
        <f t="shared" si="20"/>
        <v>0.11802454147335562</v>
      </c>
      <c r="AB29" s="13">
        <f>+AB14/AA14-1</f>
        <v>2.8388598022105915E-2</v>
      </c>
      <c r="AC29" s="13">
        <f>+AC14/AB14-1</f>
        <v>2.4851981747558094E-2</v>
      </c>
    </row>
    <row r="30" spans="2:29" x14ac:dyDescent="0.2">
      <c r="B30" s="2" t="s">
        <v>60</v>
      </c>
      <c r="G30" s="3"/>
      <c r="AC30" s="3">
        <f>+AC11/AB11-1</f>
        <v>1.0813280536094982E-2</v>
      </c>
    </row>
    <row r="31" spans="2:29" x14ac:dyDescent="0.2">
      <c r="B31" t="s">
        <v>14</v>
      </c>
      <c r="G31" s="3">
        <f>+G16/G14</f>
        <v>0.487859335752163</v>
      </c>
      <c r="S31" s="3">
        <f t="shared" ref="S31:X31" si="21">+S16/S14</f>
        <v>0</v>
      </c>
      <c r="T31" s="3">
        <f t="shared" si="21"/>
        <v>0</v>
      </c>
      <c r="U31" s="3">
        <f t="shared" si="21"/>
        <v>0</v>
      </c>
      <c r="V31" s="3">
        <f t="shared" si="21"/>
        <v>0</v>
      </c>
      <c r="W31" s="3">
        <f t="shared" si="21"/>
        <v>0</v>
      </c>
      <c r="X31" s="3">
        <f t="shared" ref="X31:AA31" si="22">+X16/X14</f>
        <v>0.43715772179627599</v>
      </c>
      <c r="Y31" s="3">
        <f t="shared" si="22"/>
        <v>0.44715730728985004</v>
      </c>
      <c r="Z31" s="3">
        <f t="shared" si="22"/>
        <v>0.47322551272601138</v>
      </c>
      <c r="AA31" s="3">
        <f>+AA16/AA14</f>
        <v>0.46511537715726198</v>
      </c>
      <c r="AB31" s="3">
        <f>+AB16/AB14</f>
        <v>0.46702115623939361</v>
      </c>
      <c r="AC31" s="3">
        <f>+AC16/AC14</f>
        <v>0.47457315278186635</v>
      </c>
    </row>
    <row r="32" spans="2:29" x14ac:dyDescent="0.2">
      <c r="B32" t="s">
        <v>15</v>
      </c>
      <c r="G32" s="3">
        <f>+G21/G14</f>
        <v>0.30351660619592519</v>
      </c>
      <c r="S32" s="3">
        <f t="shared" ref="S32:X32" si="23">+S21/S14</f>
        <v>0</v>
      </c>
      <c r="T32" s="3">
        <f t="shared" si="23"/>
        <v>0</v>
      </c>
      <c r="U32" s="3">
        <f t="shared" si="23"/>
        <v>0</v>
      </c>
      <c r="V32" s="3">
        <f t="shared" si="23"/>
        <v>0</v>
      </c>
      <c r="W32" s="3">
        <f t="shared" si="23"/>
        <v>0</v>
      </c>
      <c r="X32" s="3">
        <f t="shared" ref="X32:AA32" si="24">+X21/X14</f>
        <v>0.22932639649507119</v>
      </c>
      <c r="Y32" s="3">
        <f t="shared" si="24"/>
        <v>0.25374956400418558</v>
      </c>
      <c r="Z32" s="3">
        <f t="shared" si="24"/>
        <v>0.3121883536400295</v>
      </c>
      <c r="AA32" s="3">
        <f>+AA21/AA14</f>
        <v>0.30188093853015319</v>
      </c>
      <c r="AB32" s="3">
        <f>+AB21/AB14</f>
        <v>0.28864502017573634</v>
      </c>
      <c r="AC32" s="3">
        <f>+AC21/AC14</f>
        <v>0.28948336767736238</v>
      </c>
    </row>
    <row r="34" spans="2:7" x14ac:dyDescent="0.2">
      <c r="B34" t="s">
        <v>73</v>
      </c>
      <c r="F34" s="2">
        <f>+F35-F44</f>
        <v>12258</v>
      </c>
      <c r="G34" s="2">
        <f>+G35-G44</f>
        <v>4639</v>
      </c>
    </row>
    <row r="35" spans="2:7" s="2" customFormat="1" x14ac:dyDescent="0.2">
      <c r="B35" s="2" t="s">
        <v>3</v>
      </c>
      <c r="F35" s="2">
        <f>8022+1449+2787</f>
        <v>12258</v>
      </c>
      <c r="G35" s="2">
        <f>6264+1949+2686</f>
        <v>10899</v>
      </c>
    </row>
    <row r="36" spans="2:7" s="2" customFormat="1" x14ac:dyDescent="0.2">
      <c r="B36" s="2" t="s">
        <v>24</v>
      </c>
      <c r="F36" s="2">
        <v>5234</v>
      </c>
      <c r="G36" s="2">
        <v>5998</v>
      </c>
    </row>
    <row r="37" spans="2:7" s="2" customFormat="1" x14ac:dyDescent="0.2">
      <c r="B37" s="2" t="s">
        <v>25</v>
      </c>
      <c r="F37" s="2">
        <v>5421</v>
      </c>
      <c r="G37" s="2">
        <v>5501</v>
      </c>
    </row>
    <row r="38" spans="2:7" s="2" customFormat="1" x14ac:dyDescent="0.2">
      <c r="B38" s="2" t="s">
        <v>26</v>
      </c>
      <c r="F38" s="2">
        <v>1094</v>
      </c>
      <c r="G38" s="2">
        <v>982</v>
      </c>
    </row>
    <row r="39" spans="2:7" s="7" customFormat="1" x14ac:dyDescent="0.2">
      <c r="B39" s="7" t="s">
        <v>23</v>
      </c>
      <c r="F39" s="7">
        <v>3563</v>
      </c>
      <c r="G39" s="7">
        <v>3563</v>
      </c>
    </row>
    <row r="40" spans="2:7" s="2" customFormat="1" x14ac:dyDescent="0.2">
      <c r="B40" s="2" t="s">
        <v>27</v>
      </c>
      <c r="F40" s="2">
        <f>3768+237</f>
        <v>4005</v>
      </c>
      <c r="G40" s="2">
        <f>3768+237</f>
        <v>4005</v>
      </c>
    </row>
    <row r="41" spans="2:7" s="2" customFormat="1" x14ac:dyDescent="0.2">
      <c r="B41" s="2" t="s">
        <v>28</v>
      </c>
      <c r="F41" s="2">
        <v>2390</v>
      </c>
      <c r="G41" s="2">
        <v>2390</v>
      </c>
    </row>
    <row r="42" spans="2:7" s="2" customFormat="1" x14ac:dyDescent="0.2">
      <c r="B42" s="2" t="s">
        <v>29</v>
      </c>
      <c r="F42" s="2">
        <f>SUM(F35:F41)</f>
        <v>33965</v>
      </c>
      <c r="G42" s="2">
        <f>SUM(G35:G41)</f>
        <v>33338</v>
      </c>
    </row>
    <row r="44" spans="2:7" s="2" customFormat="1" x14ac:dyDescent="0.2">
      <c r="B44" s="2" t="s">
        <v>4</v>
      </c>
      <c r="G44" s="2">
        <f>799+5461</f>
        <v>6260</v>
      </c>
    </row>
    <row r="45" spans="2:7" s="2" customFormat="1" x14ac:dyDescent="0.2">
      <c r="B45" s="2" t="s">
        <v>30</v>
      </c>
      <c r="G45" s="2">
        <v>4485</v>
      </c>
    </row>
    <row r="46" spans="2:7" s="2" customFormat="1" x14ac:dyDescent="0.2">
      <c r="B46" s="2" t="s">
        <v>31</v>
      </c>
      <c r="G46" s="2">
        <v>2452</v>
      </c>
    </row>
    <row r="47" spans="2:7" s="2" customFormat="1" x14ac:dyDescent="0.2">
      <c r="B47" s="2" t="s">
        <v>20</v>
      </c>
      <c r="G47" s="2">
        <v>684</v>
      </c>
    </row>
    <row r="48" spans="2:7" s="2" customFormat="1" x14ac:dyDescent="0.2">
      <c r="B48" s="2" t="s">
        <v>34</v>
      </c>
      <c r="G48" s="2">
        <v>832</v>
      </c>
    </row>
    <row r="49" spans="2:29" s="2" customFormat="1" x14ac:dyDescent="0.2">
      <c r="B49" s="2" t="s">
        <v>32</v>
      </c>
      <c r="G49" s="2">
        <v>18625</v>
      </c>
    </row>
    <row r="50" spans="2:29" s="2" customFormat="1" x14ac:dyDescent="0.2">
      <c r="B50" s="2" t="s">
        <v>33</v>
      </c>
      <c r="G50" s="2">
        <f>SUM(G44:G49)</f>
        <v>33338</v>
      </c>
    </row>
    <row r="52" spans="2:29" s="2" customFormat="1" x14ac:dyDescent="0.2">
      <c r="B52" s="2" t="s">
        <v>38</v>
      </c>
      <c r="G52" s="2">
        <f>+G25</f>
        <v>1177</v>
      </c>
      <c r="U52" s="2">
        <f t="shared" ref="U52:X52" si="25">+U25</f>
        <v>0</v>
      </c>
      <c r="V52" s="2">
        <f t="shared" si="25"/>
        <v>0</v>
      </c>
      <c r="W52" s="2">
        <f t="shared" si="25"/>
        <v>0</v>
      </c>
      <c r="X52" s="2">
        <f t="shared" ref="X52:AC52" si="26">+X25</f>
        <v>2706</v>
      </c>
      <c r="Y52" s="2">
        <f t="shared" si="26"/>
        <v>3619</v>
      </c>
      <c r="Z52" s="2">
        <f t="shared" si="26"/>
        <v>6199</v>
      </c>
      <c r="AA52" s="2">
        <f t="shared" si="26"/>
        <v>6521</v>
      </c>
      <c r="AB52" s="2">
        <f t="shared" si="26"/>
        <v>6856</v>
      </c>
      <c r="AC52" s="2">
        <f t="shared" si="26"/>
        <v>7177</v>
      </c>
    </row>
    <row r="53" spans="2:29" s="2" customFormat="1" x14ac:dyDescent="0.2">
      <c r="B53" s="2" t="s">
        <v>37</v>
      </c>
      <c r="G53" s="2">
        <v>1185</v>
      </c>
      <c r="AA53" s="2">
        <v>6525</v>
      </c>
      <c r="AB53" s="2">
        <v>6856</v>
      </c>
      <c r="AC53" s="2">
        <v>7177</v>
      </c>
    </row>
    <row r="54" spans="2:29" s="2" customFormat="1" x14ac:dyDescent="0.2">
      <c r="B54" s="2" t="s">
        <v>39</v>
      </c>
      <c r="G54" s="2">
        <v>105</v>
      </c>
    </row>
    <row r="55" spans="2:29" s="2" customFormat="1" x14ac:dyDescent="0.2">
      <c r="B55" s="2" t="s">
        <v>40</v>
      </c>
      <c r="G55" s="2">
        <v>195</v>
      </c>
    </row>
    <row r="56" spans="2:29" s="2" customFormat="1" x14ac:dyDescent="0.2">
      <c r="B56" s="2" t="s">
        <v>28</v>
      </c>
      <c r="G56" s="2">
        <v>668</v>
      </c>
    </row>
    <row r="57" spans="2:29" s="2" customFormat="1" x14ac:dyDescent="0.2">
      <c r="B57" s="2" t="s">
        <v>34</v>
      </c>
      <c r="G57" s="2">
        <v>95</v>
      </c>
    </row>
    <row r="58" spans="2:29" s="2" customFormat="1" x14ac:dyDescent="0.2">
      <c r="B58" s="2" t="s">
        <v>36</v>
      </c>
      <c r="G58" s="2">
        <f>-764-80+115-429-397+200+32</f>
        <v>-1323</v>
      </c>
    </row>
    <row r="59" spans="2:29" s="2" customFormat="1" x14ac:dyDescent="0.2">
      <c r="B59" s="2" t="s">
        <v>35</v>
      </c>
      <c r="G59" s="2">
        <f>SUM(G53:G58)</f>
        <v>925</v>
      </c>
      <c r="K59" s="2">
        <v>1977.1179999999999</v>
      </c>
      <c r="L59" s="2">
        <v>2209.2959999999998</v>
      </c>
      <c r="M59" s="2">
        <v>1710.4680000000001</v>
      </c>
      <c r="N59" s="2">
        <v>332.66500000000002</v>
      </c>
      <c r="O59" s="2">
        <v>1722.8530000000001</v>
      </c>
      <c r="U59" s="2">
        <v>2566</v>
      </c>
      <c r="V59" s="2">
        <v>3789</v>
      </c>
      <c r="W59" s="2">
        <v>3787</v>
      </c>
      <c r="X59" s="2">
        <v>3247</v>
      </c>
      <c r="Y59" s="2">
        <v>3804</v>
      </c>
      <c r="Z59" s="2">
        <v>5442</v>
      </c>
      <c r="AA59" s="2">
        <v>5399</v>
      </c>
      <c r="AB59" s="2">
        <v>8700</v>
      </c>
      <c r="AC59" s="2">
        <v>8677</v>
      </c>
    </row>
    <row r="60" spans="2:29" x14ac:dyDescent="0.2">
      <c r="AB60" s="2"/>
      <c r="AC60" s="2"/>
    </row>
    <row r="61" spans="2:29" s="2" customFormat="1" x14ac:dyDescent="0.2">
      <c r="B61" s="2" t="s">
        <v>42</v>
      </c>
      <c r="G61" s="7">
        <v>-381</v>
      </c>
      <c r="K61" s="2">
        <v>-179.482</v>
      </c>
      <c r="L61" s="2">
        <v>-264.78399999999999</v>
      </c>
      <c r="M61" s="2">
        <v>-287.90600000000001</v>
      </c>
      <c r="N61" s="2">
        <v>-248.42699999999999</v>
      </c>
      <c r="O61" s="2">
        <v>-169.08099999999999</v>
      </c>
      <c r="U61" s="2">
        <v>-253</v>
      </c>
      <c r="V61" s="2">
        <v>-345</v>
      </c>
      <c r="W61" s="2">
        <v>-622</v>
      </c>
      <c r="X61" s="2">
        <v>-441</v>
      </c>
      <c r="Y61" s="2">
        <v>-422</v>
      </c>
      <c r="Z61" s="2">
        <v>-668</v>
      </c>
      <c r="AA61" s="2">
        <v>-787</v>
      </c>
      <c r="AB61" s="2">
        <v>-1106</v>
      </c>
      <c r="AC61" s="2">
        <v>-1190</v>
      </c>
    </row>
    <row r="62" spans="2:29" x14ac:dyDescent="0.2">
      <c r="B62" s="2" t="s">
        <v>43</v>
      </c>
      <c r="G62">
        <v>-28</v>
      </c>
    </row>
    <row r="63" spans="2:29" x14ac:dyDescent="0.2">
      <c r="B63" s="2" t="s">
        <v>44</v>
      </c>
      <c r="G63">
        <f>1223-1711</f>
        <v>-488</v>
      </c>
    </row>
    <row r="64" spans="2:29" x14ac:dyDescent="0.2">
      <c r="B64" t="s">
        <v>41</v>
      </c>
      <c r="G64">
        <f>SUM(G61:G63)</f>
        <v>-897</v>
      </c>
    </row>
    <row r="66" spans="2:29" s="2" customFormat="1" x14ac:dyDescent="0.2">
      <c r="B66" s="2" t="s">
        <v>45</v>
      </c>
      <c r="G66" s="2">
        <v>-1318</v>
      </c>
    </row>
    <row r="67" spans="2:29" s="2" customFormat="1" x14ac:dyDescent="0.2">
      <c r="B67" s="2" t="s">
        <v>47</v>
      </c>
      <c r="G67" s="2">
        <v>-142</v>
      </c>
    </row>
    <row r="68" spans="2:29" s="2" customFormat="1" x14ac:dyDescent="0.2">
      <c r="B68" s="2" t="s">
        <v>48</v>
      </c>
      <c r="G68" s="2">
        <v>-326</v>
      </c>
    </row>
    <row r="69" spans="2:29" s="2" customFormat="1" x14ac:dyDescent="0.2">
      <c r="B69" s="2" t="s">
        <v>46</v>
      </c>
      <c r="G69" s="2">
        <f>SUM(G66:G68)</f>
        <v>-1786</v>
      </c>
    </row>
    <row r="71" spans="2:29" x14ac:dyDescent="0.2">
      <c r="B71" s="2" t="s">
        <v>85</v>
      </c>
      <c r="K71" s="12">
        <f t="shared" ref="K71:O71" si="27">+K59+K61</f>
        <v>1797.636</v>
      </c>
      <c r="L71" s="12">
        <f t="shared" si="27"/>
        <v>1944.5119999999997</v>
      </c>
      <c r="M71" s="12">
        <f t="shared" si="27"/>
        <v>1422.5620000000001</v>
      </c>
      <c r="N71" s="12">
        <f t="shared" si="27"/>
        <v>84.238000000000028</v>
      </c>
      <c r="O71" s="12">
        <f t="shared" si="27"/>
        <v>1553.7720000000002</v>
      </c>
      <c r="U71" s="2">
        <f t="shared" ref="U71:X71" si="28">+U59+U61</f>
        <v>2313</v>
      </c>
      <c r="V71" s="2">
        <f t="shared" si="28"/>
        <v>3444</v>
      </c>
      <c r="W71" s="2">
        <f t="shared" si="28"/>
        <v>3165</v>
      </c>
      <c r="X71" s="2">
        <f>+X59+X61</f>
        <v>2806</v>
      </c>
      <c r="Y71" s="2">
        <f>+Y59+Y61</f>
        <v>3382</v>
      </c>
      <c r="Z71" s="2">
        <f>+Z59+Z61</f>
        <v>4774</v>
      </c>
      <c r="AA71" s="2">
        <f>+AA59+AA61</f>
        <v>4612</v>
      </c>
      <c r="AB71" s="2">
        <f>+AB59+AB61</f>
        <v>7594</v>
      </c>
      <c r="AC71" s="2">
        <f>+AC59+AC61</f>
        <v>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2025-04-15T16:57:53Z</dcterms:created>
  <dcterms:modified xsi:type="dcterms:W3CDTF">2025-04-15T19:05:25Z</dcterms:modified>
</cp:coreProperties>
</file>