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B6355539-5368-40B0-97CE-8A2DA0F96EE5}" xr6:coauthVersionLast="47" xr6:coauthVersionMax="47" xr10:uidLastSave="{00000000-0000-0000-0000-000000000000}"/>
  <bookViews>
    <workbookView xWindow="-28800" yWindow="1905" windowWidth="27990" windowHeight="17070" firstSheet="1" activeTab="2" xr2:uid="{00000000-000D-0000-FFFF-FFFF00000000}"/>
  </bookViews>
  <sheets>
    <sheet name="Master" sheetId="75" r:id="rId1"/>
    <sheet name="Main" sheetId="1" r:id="rId2"/>
    <sheet name="Model" sheetId="27" r:id="rId3"/>
    <sheet name="Repatha" sheetId="79" r:id="rId4"/>
    <sheet name="Imdelltra" sheetId="88" r:id="rId5"/>
    <sheet name="Krystexxa" sheetId="82" r:id="rId6"/>
    <sheet name="Blincyto" sheetId="87" r:id="rId7"/>
    <sheet name="Otezla" sheetId="86" r:id="rId8"/>
    <sheet name="Tezspire" sheetId="84" r:id="rId9"/>
    <sheet name="Tepezza" sheetId="81" r:id="rId10"/>
    <sheet name="Tavneos" sheetId="80" r:id="rId11"/>
    <sheet name="Uplizna" sheetId="83" r:id="rId12"/>
    <sheet name="Enbrel" sheetId="52" r:id="rId13"/>
    <sheet name="Lumakras" sheetId="76" r:id="rId14"/>
    <sheet name="Neulasta" sheetId="56" r:id="rId15"/>
    <sheet name="olpasiran" sheetId="78" r:id="rId16"/>
    <sheet name="xaluritamig" sheetId="89" r:id="rId17"/>
    <sheet name="bemarituzumab" sheetId="90" r:id="rId18"/>
    <sheet name="maridebart cafraglutide" sheetId="77" r:id="rId19"/>
    <sheet name="rocatinlimab" sheetId="85" r:id="rId20"/>
    <sheet name="Neupogen" sheetId="57" r:id="rId21"/>
    <sheet name="Epogen" sheetId="64" r:id="rId22"/>
    <sheet name="EPO safety" sheetId="66" r:id="rId23"/>
    <sheet name="Aranesp" sheetId="2" r:id="rId24"/>
    <sheet name="G-CSF" sheetId="30" r:id="rId25"/>
    <sheet name="Sensipar" sheetId="54" r:id="rId26"/>
    <sheet name="Nplate" sheetId="8" r:id="rId27"/>
    <sheet name="Vectibix" sheetId="6" r:id="rId28"/>
    <sheet name="Denosumab" sheetId="9" r:id="rId29"/>
    <sheet name="Denosumab trials" sheetId="50" r:id="rId30"/>
    <sheet name="Kineret" sheetId="63" r:id="rId31"/>
    <sheet name="193" sheetId="91" r:id="rId32"/>
    <sheet name="706" sheetId="7" r:id="rId33"/>
    <sheet name="108" sheetId="46" r:id="rId34"/>
    <sheet name="114" sheetId="15" r:id="rId35"/>
    <sheet name="223" sheetId="71" r:id="rId36"/>
    <sheet name="386" sheetId="51" r:id="rId37"/>
    <sheet name="479" sheetId="58" r:id="rId38"/>
    <sheet name="102" sheetId="55" r:id="rId39"/>
    <sheet name="655" sheetId="74" r:id="rId40"/>
    <sheet name="785" sheetId="70" r:id="rId41"/>
    <sheet name="811" sheetId="73" r:id="rId42"/>
    <sheet name="208" sheetId="72" r:id="rId43"/>
    <sheet name="714" sheetId="53" r:id="rId44"/>
    <sheet name="Failures" sheetId="10" r:id="rId45"/>
    <sheet name="Kepivance" sheetId="5" r:id="rId46"/>
  </sheets>
  <externalReferences>
    <externalReference r:id="rId47"/>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Model!$B$1:$DG$55</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O107" i="27" l="1"/>
  <c r="BO106" i="27"/>
  <c r="BO99" i="27"/>
  <c r="BO91" i="27"/>
  <c r="BO89" i="27"/>
  <c r="BO83" i="27"/>
  <c r="BO75" i="27"/>
  <c r="CU99" i="27"/>
  <c r="CU93" i="27"/>
  <c r="CU97" i="27"/>
  <c r="CU91" i="27"/>
  <c r="CU85" i="27"/>
  <c r="CU83" i="27"/>
  <c r="CU74" i="27"/>
  <c r="CU72" i="27"/>
  <c r="CU71" i="27"/>
  <c r="CU70" i="27"/>
  <c r="CU69" i="27"/>
  <c r="CU68" i="27"/>
  <c r="CU48" i="27"/>
  <c r="CH119" i="27"/>
  <c r="CG119" i="27"/>
  <c r="CF119" i="27"/>
  <c r="CE119" i="27"/>
  <c r="CH113" i="27"/>
  <c r="CG113" i="27"/>
  <c r="CF113" i="27"/>
  <c r="CE113" i="27"/>
  <c r="CH107" i="27"/>
  <c r="CG107" i="27"/>
  <c r="CF107" i="27"/>
  <c r="CE107" i="27"/>
  <c r="CL107" i="27"/>
  <c r="CK107" i="27"/>
  <c r="CJ107" i="27"/>
  <c r="CI107" i="27"/>
  <c r="CL113" i="27"/>
  <c r="CK113" i="27"/>
  <c r="CJ113" i="27"/>
  <c r="CI113" i="27"/>
  <c r="CL119" i="27"/>
  <c r="CK119" i="27"/>
  <c r="CK120" i="27" s="1"/>
  <c r="CJ119" i="27"/>
  <c r="CI119" i="27"/>
  <c r="CT116" i="27"/>
  <c r="CT91" i="27"/>
  <c r="CT93" i="27"/>
  <c r="CT74" i="27" s="1"/>
  <c r="CT97" i="27"/>
  <c r="CT83" i="27"/>
  <c r="CT85" i="27" s="1"/>
  <c r="CT71" i="27"/>
  <c r="CT70" i="27"/>
  <c r="CS71" i="27"/>
  <c r="CS70" i="27"/>
  <c r="CR71" i="27"/>
  <c r="CR70" i="27"/>
  <c r="DC72" i="27"/>
  <c r="DB72" i="27"/>
  <c r="DD71" i="27"/>
  <c r="DC71" i="27"/>
  <c r="DB71" i="27"/>
  <c r="DD70" i="27"/>
  <c r="DC70" i="27"/>
  <c r="DB70" i="27"/>
  <c r="DM47" i="27"/>
  <c r="DM46" i="27"/>
  <c r="DN47" i="27"/>
  <c r="DN46" i="27"/>
  <c r="DO47" i="27"/>
  <c r="DO46" i="27"/>
  <c r="DP47" i="27"/>
  <c r="DP46" i="27"/>
  <c r="DQ47" i="27"/>
  <c r="DQ46" i="27"/>
  <c r="DR47" i="27"/>
  <c r="DR46" i="27"/>
  <c r="DY55" i="27"/>
  <c r="DJ55" i="27"/>
  <c r="DM55" i="27"/>
  <c r="DN55" i="27"/>
  <c r="DO55" i="27"/>
  <c r="DP55" i="27"/>
  <c r="DQ55" i="27"/>
  <c r="DR55" i="27"/>
  <c r="DS55" i="27"/>
  <c r="DT55" i="27"/>
  <c r="DT52" i="27"/>
  <c r="DS52" i="27"/>
  <c r="DT47" i="27"/>
  <c r="DS47" i="27"/>
  <c r="DT46" i="27"/>
  <c r="DS46" i="27"/>
  <c r="DT44" i="27"/>
  <c r="DS44" i="27"/>
  <c r="DT37" i="27"/>
  <c r="DT42" i="27"/>
  <c r="DS42" i="27"/>
  <c r="DR42" i="27"/>
  <c r="DR20" i="27"/>
  <c r="DR19" i="27"/>
  <c r="DR17" i="27"/>
  <c r="DR16" i="27"/>
  <c r="DR8" i="27"/>
  <c r="DR7" i="27"/>
  <c r="DR4" i="27"/>
  <c r="DR3" i="27"/>
  <c r="DS16" i="27"/>
  <c r="DS17" i="27"/>
  <c r="DS18" i="27"/>
  <c r="DS19" i="27"/>
  <c r="DS20" i="27"/>
  <c r="DS23" i="27"/>
  <c r="DS24" i="27"/>
  <c r="DS31" i="27"/>
  <c r="DS28" i="27"/>
  <c r="DS29" i="27"/>
  <c r="DS30" i="27"/>
  <c r="DS35" i="27"/>
  <c r="DS37" i="27"/>
  <c r="DS8" i="27"/>
  <c r="DS7" i="27"/>
  <c r="DS6" i="27"/>
  <c r="DS4" i="27"/>
  <c r="DS3" i="27"/>
  <c r="AU50" i="27"/>
  <c r="CQ71" i="27"/>
  <c r="CP71" i="27"/>
  <c r="CO71" i="27"/>
  <c r="CN71" i="27"/>
  <c r="CM71" i="27"/>
  <c r="CL71" i="27"/>
  <c r="CK71" i="27"/>
  <c r="CJ71" i="27"/>
  <c r="CI71" i="27"/>
  <c r="CH71" i="27"/>
  <c r="CG71" i="27"/>
  <c r="CF71" i="27"/>
  <c r="CE71" i="27"/>
  <c r="CD71" i="27"/>
  <c r="CC71" i="27"/>
  <c r="CB71" i="27"/>
  <c r="CA71" i="27"/>
  <c r="BZ71" i="27"/>
  <c r="BY71" i="27"/>
  <c r="BX71" i="27"/>
  <c r="BW71" i="27"/>
  <c r="BV71" i="27"/>
  <c r="BU71" i="27"/>
  <c r="BT71" i="27"/>
  <c r="BS71" i="27"/>
  <c r="BR71" i="27"/>
  <c r="BQ71" i="27"/>
  <c r="BP71" i="27"/>
  <c r="BO71" i="27"/>
  <c r="BN71" i="27"/>
  <c r="BM71" i="27"/>
  <c r="BL71" i="27"/>
  <c r="BK71" i="27"/>
  <c r="BJ71" i="27"/>
  <c r="BI71" i="27"/>
  <c r="BH71" i="27"/>
  <c r="BG71" i="27"/>
  <c r="BF71" i="27"/>
  <c r="BE71" i="27"/>
  <c r="BD71" i="27"/>
  <c r="BC71" i="27"/>
  <c r="CQ70" i="27"/>
  <c r="CP70" i="27"/>
  <c r="CO70" i="27"/>
  <c r="CN70" i="27"/>
  <c r="CM70" i="27"/>
  <c r="CL70" i="27"/>
  <c r="CK70" i="27"/>
  <c r="CJ70" i="27"/>
  <c r="CI70" i="27"/>
  <c r="CH70" i="27"/>
  <c r="CG70" i="27"/>
  <c r="CF70" i="27"/>
  <c r="CE70" i="27"/>
  <c r="CD70" i="27"/>
  <c r="CC70" i="27"/>
  <c r="CB70" i="27"/>
  <c r="CA70" i="27"/>
  <c r="BZ70" i="27"/>
  <c r="BY70" i="27"/>
  <c r="BX70" i="27"/>
  <c r="BW70" i="27"/>
  <c r="BV70" i="27"/>
  <c r="BU70" i="27"/>
  <c r="BT70" i="27"/>
  <c r="BS70" i="27"/>
  <c r="BR70" i="27"/>
  <c r="BQ70" i="27"/>
  <c r="BP70" i="27"/>
  <c r="BO70" i="27"/>
  <c r="BN70" i="27"/>
  <c r="BM70" i="27"/>
  <c r="BL70" i="27"/>
  <c r="BK70" i="27"/>
  <c r="BJ70" i="27"/>
  <c r="BI70" i="27"/>
  <c r="BH70" i="27"/>
  <c r="BG70" i="27"/>
  <c r="BF70" i="27"/>
  <c r="BE70" i="27"/>
  <c r="BD70" i="27"/>
  <c r="BC70" i="27"/>
  <c r="CQ69" i="27"/>
  <c r="CP69" i="27"/>
  <c r="CO69" i="27"/>
  <c r="CN69" i="27"/>
  <c r="CM69" i="27"/>
  <c r="CL69" i="27"/>
  <c r="CK69" i="27"/>
  <c r="CJ69" i="27"/>
  <c r="CI69" i="27"/>
  <c r="CH69" i="27"/>
  <c r="CG69" i="27"/>
  <c r="CF69" i="27"/>
  <c r="CE69" i="27"/>
  <c r="CD69" i="27"/>
  <c r="CC69" i="27"/>
  <c r="CB69" i="27"/>
  <c r="CA69" i="27"/>
  <c r="BZ69" i="27"/>
  <c r="BY69" i="27"/>
  <c r="BX69" i="27"/>
  <c r="BW69" i="27"/>
  <c r="BV69" i="27"/>
  <c r="BU69" i="27"/>
  <c r="BT69" i="27"/>
  <c r="BS69" i="27"/>
  <c r="BR69" i="27"/>
  <c r="BQ69" i="27"/>
  <c r="BP69" i="27"/>
  <c r="BO69" i="27"/>
  <c r="BN69" i="27"/>
  <c r="BM69" i="27"/>
  <c r="BL69" i="27"/>
  <c r="BK69" i="27"/>
  <c r="BJ69" i="27"/>
  <c r="BI69" i="27"/>
  <c r="BH69" i="27"/>
  <c r="BG69" i="27"/>
  <c r="BF69" i="27"/>
  <c r="BE69" i="27"/>
  <c r="BD69" i="27"/>
  <c r="BC69" i="27"/>
  <c r="CQ68" i="27"/>
  <c r="CP68" i="27"/>
  <c r="CO68" i="27"/>
  <c r="CN68" i="27"/>
  <c r="CM68" i="27"/>
  <c r="CL68" i="27"/>
  <c r="CK68" i="27"/>
  <c r="CJ68" i="27"/>
  <c r="CI68" i="27"/>
  <c r="CH68" i="27"/>
  <c r="CG68" i="27"/>
  <c r="CF68" i="27"/>
  <c r="CE68" i="27"/>
  <c r="CD68" i="27"/>
  <c r="CC68" i="27"/>
  <c r="CB68" i="27"/>
  <c r="CA68" i="27"/>
  <c r="BZ68" i="27"/>
  <c r="BY68" i="27"/>
  <c r="BX68" i="27"/>
  <c r="BW68" i="27"/>
  <c r="BV68" i="27"/>
  <c r="BU68" i="27"/>
  <c r="BT68" i="27"/>
  <c r="BS68" i="27"/>
  <c r="BR68" i="27"/>
  <c r="BQ68" i="27"/>
  <c r="BP68" i="27"/>
  <c r="BO68" i="27"/>
  <c r="BN68" i="27"/>
  <c r="BM68" i="27"/>
  <c r="BL68" i="27"/>
  <c r="BK68" i="27"/>
  <c r="BJ68" i="27"/>
  <c r="BI68" i="27"/>
  <c r="BH68" i="27"/>
  <c r="BG68" i="27"/>
  <c r="BF68" i="27"/>
  <c r="BE68" i="27"/>
  <c r="BD68" i="27"/>
  <c r="BC68" i="27"/>
  <c r="BB68" i="27"/>
  <c r="BB71" i="27"/>
  <c r="BA71" i="27"/>
  <c r="AZ71" i="27"/>
  <c r="AY71" i="27"/>
  <c r="AX71" i="27"/>
  <c r="AW71" i="27"/>
  <c r="BB70" i="27"/>
  <c r="BA70" i="27"/>
  <c r="AZ70" i="27"/>
  <c r="AY70" i="27"/>
  <c r="AX70" i="27"/>
  <c r="AW70" i="27"/>
  <c r="BB69" i="27"/>
  <c r="BA69" i="27"/>
  <c r="AZ69" i="27"/>
  <c r="AY69" i="27"/>
  <c r="AX69" i="27"/>
  <c r="AW69" i="27"/>
  <c r="BA68" i="27"/>
  <c r="AZ68" i="27"/>
  <c r="AY68" i="27"/>
  <c r="AX68" i="27"/>
  <c r="AW68" i="27"/>
  <c r="AS50" i="27"/>
  <c r="AW50" i="27"/>
  <c r="AS43" i="27"/>
  <c r="AS45" i="27" s="1"/>
  <c r="AT50" i="27"/>
  <c r="AX50" i="27"/>
  <c r="AT43" i="27"/>
  <c r="AT45" i="27" s="1"/>
  <c r="AY50" i="27"/>
  <c r="AU48" i="27"/>
  <c r="AX43" i="27"/>
  <c r="AX45" i="27" s="1"/>
  <c r="AX57" i="27" s="1"/>
  <c r="AW43" i="27"/>
  <c r="AW59" i="27" s="1"/>
  <c r="AV43" i="27"/>
  <c r="AU43" i="27"/>
  <c r="AU59" i="27" s="1"/>
  <c r="AZ50" i="27"/>
  <c r="AZ48" i="27"/>
  <c r="AY48" i="27"/>
  <c r="AX48" i="27"/>
  <c r="AW48" i="27"/>
  <c r="BA50" i="27"/>
  <c r="BA48" i="27"/>
  <c r="BA43" i="27"/>
  <c r="BA45" i="27" s="1"/>
  <c r="BA57" i="27" s="1"/>
  <c r="AZ43" i="27"/>
  <c r="AY43" i="27"/>
  <c r="AY45" i="27" s="1"/>
  <c r="AY57" i="27" s="1"/>
  <c r="BB50" i="27"/>
  <c r="BF50" i="27"/>
  <c r="BB48" i="27"/>
  <c r="BB43" i="27"/>
  <c r="BB45" i="27" s="1"/>
  <c r="BB57" i="27" s="1"/>
  <c r="BI37" i="27"/>
  <c r="BI43" i="27" s="1"/>
  <c r="BI45" i="27" s="1"/>
  <c r="BH37" i="27"/>
  <c r="BH43" i="27" s="1"/>
  <c r="BH45" i="27" s="1"/>
  <c r="BH57" i="27" s="1"/>
  <c r="BC50" i="27"/>
  <c r="BG50" i="27"/>
  <c r="BC48" i="27"/>
  <c r="BC43" i="27"/>
  <c r="BC45" i="27" s="1"/>
  <c r="BC57" i="27" s="1"/>
  <c r="BH50" i="27"/>
  <c r="BE43" i="27"/>
  <c r="BE59" i="27" s="1"/>
  <c r="BD43" i="27"/>
  <c r="BE50" i="27"/>
  <c r="BI50" i="27"/>
  <c r="BI48" i="27"/>
  <c r="BH48" i="27"/>
  <c r="BG48" i="27"/>
  <c r="BF48" i="27"/>
  <c r="BE48" i="27"/>
  <c r="BG43" i="27"/>
  <c r="BG45" i="27" s="1"/>
  <c r="BF43" i="27"/>
  <c r="BF45" i="27" s="1"/>
  <c r="BF57" i="27" s="1"/>
  <c r="BY50" i="27"/>
  <c r="BU50" i="27"/>
  <c r="BU48" i="27"/>
  <c r="BQ37" i="27"/>
  <c r="BU43" i="27"/>
  <c r="BU45" i="27" s="1"/>
  <c r="BT50" i="27"/>
  <c r="BT48" i="27"/>
  <c r="BT43" i="27"/>
  <c r="BT45" i="27" s="1"/>
  <c r="BR50" i="27"/>
  <c r="BR48" i="27"/>
  <c r="BK50" i="27"/>
  <c r="BK48" i="27"/>
  <c r="BN43" i="27"/>
  <c r="BN59" i="27" s="1"/>
  <c r="BJ50" i="27"/>
  <c r="BN50" i="27"/>
  <c r="BJ48" i="27"/>
  <c r="BN48" i="27"/>
  <c r="BJ43" i="27"/>
  <c r="BJ59" i="27" s="1"/>
  <c r="BM37" i="27"/>
  <c r="BM30" i="27"/>
  <c r="BQ30" i="27"/>
  <c r="BM23" i="27"/>
  <c r="BQ23" i="27"/>
  <c r="BM6" i="27"/>
  <c r="BQ6" i="27"/>
  <c r="BM29" i="27"/>
  <c r="BQ29" i="27"/>
  <c r="BM18" i="27"/>
  <c r="BQ18" i="27"/>
  <c r="BM28" i="27"/>
  <c r="BQ28" i="27"/>
  <c r="BM50" i="27"/>
  <c r="BQ50" i="27"/>
  <c r="BM48" i="27"/>
  <c r="BQ48" i="27"/>
  <c r="BK43" i="27"/>
  <c r="BP37" i="27"/>
  <c r="BL30" i="27"/>
  <c r="BP30" i="27"/>
  <c r="BL23" i="27"/>
  <c r="BP23" i="27"/>
  <c r="BL6" i="27"/>
  <c r="BP6" i="27"/>
  <c r="BL18" i="27"/>
  <c r="BP18" i="27"/>
  <c r="DR18" i="27" s="1"/>
  <c r="BL29" i="27"/>
  <c r="BP29" i="27"/>
  <c r="BL28" i="27"/>
  <c r="BP28" i="27"/>
  <c r="BP94" i="27"/>
  <c r="BO97" i="27"/>
  <c r="BP89" i="27"/>
  <c r="BP83" i="27"/>
  <c r="BP75" i="27"/>
  <c r="BL50" i="27"/>
  <c r="BP50" i="27"/>
  <c r="BL48" i="27"/>
  <c r="BP48" i="27"/>
  <c r="CS91" i="27"/>
  <c r="CS93" i="27"/>
  <c r="CS74" i="27" s="1"/>
  <c r="CS83" i="27"/>
  <c r="CS85" i="27" s="1"/>
  <c r="EF40" i="27"/>
  <c r="EG40" i="27" s="1"/>
  <c r="EH40" i="27" s="1"/>
  <c r="EI40" i="27" s="1"/>
  <c r="EJ40" i="27" s="1"/>
  <c r="CX42" i="27"/>
  <c r="CW42" i="27"/>
  <c r="CV42" i="27"/>
  <c r="EG39" i="27"/>
  <c r="EH39" i="27" s="1"/>
  <c r="EI39" i="27" s="1"/>
  <c r="EJ39" i="27" s="1"/>
  <c r="CV10" i="27"/>
  <c r="CT52" i="27"/>
  <c r="DY52" i="27" s="1"/>
  <c r="CT50" i="27"/>
  <c r="CX50" i="27" s="1"/>
  <c r="CT69" i="27"/>
  <c r="CS69" i="27"/>
  <c r="CT68" i="27"/>
  <c r="CS68" i="27"/>
  <c r="BO50" i="27"/>
  <c r="BO48" i="27"/>
  <c r="BS50" i="27"/>
  <c r="BS48" i="27"/>
  <c r="BS43" i="27"/>
  <c r="BS59" i="27" s="1"/>
  <c r="BR43" i="27"/>
  <c r="BR45" i="27" s="1"/>
  <c r="BR57" i="27" s="1"/>
  <c r="BO43" i="27"/>
  <c r="BO59" i="27" s="1"/>
  <c r="CW50" i="27"/>
  <c r="CX47" i="27"/>
  <c r="CW47" i="27"/>
  <c r="CV47" i="27"/>
  <c r="CX46" i="27"/>
  <c r="CW46" i="27"/>
  <c r="CV46" i="27"/>
  <c r="CW20" i="27"/>
  <c r="CX20" i="27"/>
  <c r="CV20" i="27"/>
  <c r="DY47" i="27"/>
  <c r="DY46" i="27"/>
  <c r="DY44" i="27"/>
  <c r="DY42" i="27"/>
  <c r="DY38" i="27"/>
  <c r="DY37" i="27"/>
  <c r="DY36" i="27"/>
  <c r="DY25" i="27"/>
  <c r="DY34" i="27"/>
  <c r="DY30" i="27"/>
  <c r="DY29" i="27"/>
  <c r="DY28" i="27"/>
  <c r="DY27" i="27"/>
  <c r="DY31" i="27"/>
  <c r="DY26" i="27"/>
  <c r="DY23" i="27"/>
  <c r="DY22" i="27"/>
  <c r="DY21" i="27"/>
  <c r="DY20" i="27"/>
  <c r="CX19" i="27"/>
  <c r="CW19" i="27"/>
  <c r="CV19" i="27"/>
  <c r="DY19" i="27"/>
  <c r="DY18" i="27"/>
  <c r="DY17" i="27"/>
  <c r="DY13" i="27"/>
  <c r="DY10" i="27"/>
  <c r="DY9" i="27"/>
  <c r="CX8" i="27"/>
  <c r="CW8" i="27"/>
  <c r="CV8" i="27"/>
  <c r="DY8" i="27"/>
  <c r="DY7" i="27"/>
  <c r="DY4" i="27"/>
  <c r="DY3" i="27"/>
  <c r="CT43" i="27"/>
  <c r="CT48" i="27"/>
  <c r="CS48" i="27"/>
  <c r="CP111" i="27"/>
  <c r="CP102" i="27"/>
  <c r="CP93" i="27"/>
  <c r="CP74" i="27" s="1"/>
  <c r="CP91" i="27"/>
  <c r="CP97" i="27" s="1"/>
  <c r="CP83" i="27"/>
  <c r="CP85" i="27" s="1"/>
  <c r="DX52" i="27"/>
  <c r="DX47" i="27"/>
  <c r="DX46" i="27"/>
  <c r="DX44" i="27"/>
  <c r="DX42" i="27"/>
  <c r="DX38" i="27"/>
  <c r="DX37" i="27"/>
  <c r="DX36" i="27"/>
  <c r="DX35" i="27"/>
  <c r="DX34" i="27"/>
  <c r="DX30" i="27"/>
  <c r="DX29" i="27"/>
  <c r="DX28" i="27"/>
  <c r="DX27" i="27"/>
  <c r="DX31" i="27"/>
  <c r="DX26" i="27"/>
  <c r="DX24" i="27"/>
  <c r="DX23" i="27"/>
  <c r="DX22" i="27"/>
  <c r="DX21" i="27"/>
  <c r="DX20" i="27"/>
  <c r="DX19" i="27"/>
  <c r="DX18" i="27"/>
  <c r="DX17" i="27"/>
  <c r="DX13" i="27"/>
  <c r="DX3" i="27"/>
  <c r="DX4" i="27"/>
  <c r="DX7" i="27"/>
  <c r="DX8" i="27"/>
  <c r="DX9" i="27"/>
  <c r="DX10" i="27"/>
  <c r="DV165" i="27"/>
  <c r="DW165" i="27"/>
  <c r="DX165" i="27"/>
  <c r="CO93" i="27"/>
  <c r="CO97" i="27" s="1"/>
  <c r="CO83" i="27"/>
  <c r="CO85" i="27" s="1"/>
  <c r="CO50" i="27"/>
  <c r="CN118" i="27"/>
  <c r="CO118" i="27" s="1"/>
  <c r="CP118" i="27" s="1"/>
  <c r="CN117" i="27"/>
  <c r="CO117" i="27" s="1"/>
  <c r="CP117" i="27" s="1"/>
  <c r="CN112" i="27"/>
  <c r="CO112" i="27" s="1"/>
  <c r="CP112" i="27" s="1"/>
  <c r="CN110" i="27"/>
  <c r="CO110" i="27" s="1"/>
  <c r="CP110" i="27" s="1"/>
  <c r="CN105" i="27"/>
  <c r="CO105" i="27" s="1"/>
  <c r="CP105" i="27" s="1"/>
  <c r="CN103" i="27"/>
  <c r="CO103" i="27" s="1"/>
  <c r="CP103" i="27" s="1"/>
  <c r="CN101" i="27"/>
  <c r="CO101" i="27" s="1"/>
  <c r="CP101" i="27" s="1"/>
  <c r="CN100" i="27"/>
  <c r="CN93" i="27"/>
  <c r="CN74" i="27" s="1"/>
  <c r="CN83" i="27"/>
  <c r="CN85" i="27" s="1"/>
  <c r="CN97" i="27"/>
  <c r="CR43" i="27"/>
  <c r="CR45" i="27" s="1"/>
  <c r="CR57" i="27" s="1"/>
  <c r="CQ43" i="27"/>
  <c r="CQ59" i="27" s="1"/>
  <c r="CP43" i="27"/>
  <c r="CO43" i="27"/>
  <c r="CN43" i="27"/>
  <c r="CN45" i="27" s="1"/>
  <c r="CM43" i="27"/>
  <c r="CM115" i="27"/>
  <c r="CM119" i="27" s="1"/>
  <c r="CQ113" i="27"/>
  <c r="CM109" i="27"/>
  <c r="CN109" i="27" s="1"/>
  <c r="CO109" i="27" s="1"/>
  <c r="CP109" i="27" s="1"/>
  <c r="CM106" i="27"/>
  <c r="CN106" i="27" s="1"/>
  <c r="CO106" i="27" s="1"/>
  <c r="CP106" i="27" s="1"/>
  <c r="CM104" i="27"/>
  <c r="CN104" i="27" s="1"/>
  <c r="CO104" i="27" s="1"/>
  <c r="CP104" i="27" s="1"/>
  <c r="CM93" i="27"/>
  <c r="CM97" i="27" s="1"/>
  <c r="CM83" i="27"/>
  <c r="CM85" i="27" s="1"/>
  <c r="CR118" i="27"/>
  <c r="CS118" i="27" s="1"/>
  <c r="CT118" i="27" s="1"/>
  <c r="CR117" i="27"/>
  <c r="CS117" i="27" s="1"/>
  <c r="CT117" i="27" s="1"/>
  <c r="CR112" i="27"/>
  <c r="CS112" i="27" s="1"/>
  <c r="CT112" i="27" s="1"/>
  <c r="CR109" i="27"/>
  <c r="CS109" i="27" s="1"/>
  <c r="CR105" i="27"/>
  <c r="CS105" i="27" s="1"/>
  <c r="CT105" i="27" s="1"/>
  <c r="CR103" i="27"/>
  <c r="CS103" i="27" s="1"/>
  <c r="CT103" i="27" s="1"/>
  <c r="CR102" i="27"/>
  <c r="CS102" i="27" s="1"/>
  <c r="CT102" i="27" s="1"/>
  <c r="CR101" i="27"/>
  <c r="CS101" i="27" s="1"/>
  <c r="CT101" i="27" s="1"/>
  <c r="CR100" i="27"/>
  <c r="CS100" i="27" s="1"/>
  <c r="CT100" i="27" s="1"/>
  <c r="CQ115" i="27"/>
  <c r="CQ119" i="27" s="1"/>
  <c r="CQ106" i="27"/>
  <c r="CR106" i="27" s="1"/>
  <c r="CS106" i="27" s="1"/>
  <c r="CT106" i="27" s="1"/>
  <c r="CQ104" i="27"/>
  <c r="CQ107" i="27" s="1"/>
  <c r="CL50" i="27"/>
  <c r="CP50" i="27"/>
  <c r="CM50" i="27"/>
  <c r="CQ50" i="27"/>
  <c r="CN50" i="27"/>
  <c r="CR69" i="27"/>
  <c r="CR68" i="27"/>
  <c r="CR50" i="27"/>
  <c r="CV50" i="27" s="1"/>
  <c r="CR48" i="27"/>
  <c r="CQ48" i="27"/>
  <c r="CR91" i="27"/>
  <c r="CR93" i="27"/>
  <c r="CR83" i="27"/>
  <c r="CR85" i="27" s="1"/>
  <c r="CQ91" i="27"/>
  <c r="CQ93" i="27"/>
  <c r="CQ74" i="27" s="1"/>
  <c r="CQ83" i="27"/>
  <c r="CQ85" i="27" s="1"/>
  <c r="CV7" i="27"/>
  <c r="CW7" i="27" s="1"/>
  <c r="CX7" i="27" s="1"/>
  <c r="CV4" i="27"/>
  <c r="CW4" i="27" s="1"/>
  <c r="CX4" i="27" s="1"/>
  <c r="CV3" i="27"/>
  <c r="CW3" i="27" s="1"/>
  <c r="CX3" i="27" s="1"/>
  <c r="CV9" i="27"/>
  <c r="CW9" i="27" s="1"/>
  <c r="CX9" i="27" s="1"/>
  <c r="CV13" i="27"/>
  <c r="CW13" i="27" s="1"/>
  <c r="CX13" i="27" s="1"/>
  <c r="CV17" i="27"/>
  <c r="CW17" i="27" s="1"/>
  <c r="CX17" i="27" s="1"/>
  <c r="CV18" i="27"/>
  <c r="CX18" i="27"/>
  <c r="CW18" i="27"/>
  <c r="CV21" i="27"/>
  <c r="CX21" i="27"/>
  <c r="CW21" i="27"/>
  <c r="CV22" i="27"/>
  <c r="CW22" i="27" s="1"/>
  <c r="CX22" i="27" s="1"/>
  <c r="CV23" i="27"/>
  <c r="CW23" i="27" s="1"/>
  <c r="CX23" i="27" s="1"/>
  <c r="CV26" i="27"/>
  <c r="CW26" i="27" s="1"/>
  <c r="CX26" i="27" s="1"/>
  <c r="CV31" i="27"/>
  <c r="CW31" i="27" s="1"/>
  <c r="CX31" i="27" s="1"/>
  <c r="CV27" i="27"/>
  <c r="CX27" i="27"/>
  <c r="CW27" i="27"/>
  <c r="CV28" i="27"/>
  <c r="CX28" i="27"/>
  <c r="CW28" i="27"/>
  <c r="CV29" i="27"/>
  <c r="CX29" i="27"/>
  <c r="CW29" i="27"/>
  <c r="CV30" i="27"/>
  <c r="CW30" i="27" s="1"/>
  <c r="CX30" i="27" s="1"/>
  <c r="CV34" i="27"/>
  <c r="CW34" i="27" s="1"/>
  <c r="CX34" i="27" s="1"/>
  <c r="CV25" i="27"/>
  <c r="CW25" i="27" s="1"/>
  <c r="CX25" i="27" s="1"/>
  <c r="CV36" i="27"/>
  <c r="CW36" i="27" s="1"/>
  <c r="CX36" i="27" s="1"/>
  <c r="CV37" i="27"/>
  <c r="CW37" i="27" s="1"/>
  <c r="CX37" i="27" s="1"/>
  <c r="CV38" i="27"/>
  <c r="CW38" i="27" s="1"/>
  <c r="CX38" i="27" s="1"/>
  <c r="DW38" i="27"/>
  <c r="EA50" i="27"/>
  <c r="DW47" i="27"/>
  <c r="DV47" i="27"/>
  <c r="DV48" i="27" s="1"/>
  <c r="DU47" i="27"/>
  <c r="DU48" i="27" s="1"/>
  <c r="DW55" i="27"/>
  <c r="EC2" i="27"/>
  <c r="ED2" i="27" s="1"/>
  <c r="EE2" i="27" s="1"/>
  <c r="EF2" i="27" s="1"/>
  <c r="EG2" i="27" s="1"/>
  <c r="EH2" i="27" s="1"/>
  <c r="EI2" i="27" s="1"/>
  <c r="EJ2" i="27" s="1"/>
  <c r="DW52" i="27"/>
  <c r="DW46" i="27"/>
  <c r="DW44" i="27"/>
  <c r="DW37" i="27"/>
  <c r="DW35" i="27"/>
  <c r="DW34" i="27"/>
  <c r="DW30" i="27"/>
  <c r="DW29" i="27"/>
  <c r="DW28" i="27"/>
  <c r="DW27" i="27"/>
  <c r="DW31" i="27"/>
  <c r="DW26" i="27"/>
  <c r="DW24" i="27"/>
  <c r="DW23" i="27"/>
  <c r="DW22" i="27"/>
  <c r="DW21" i="27"/>
  <c r="DW20" i="27"/>
  <c r="DW19" i="27"/>
  <c r="DW18" i="27"/>
  <c r="DW17" i="27"/>
  <c r="DW16" i="27"/>
  <c r="DW8" i="27"/>
  <c r="DW7" i="27"/>
  <c r="DW6" i="27"/>
  <c r="DW4" i="27"/>
  <c r="DW42" i="27"/>
  <c r="DV42" i="27"/>
  <c r="DV37" i="27"/>
  <c r="DV35" i="27"/>
  <c r="DV34" i="27"/>
  <c r="DV30" i="27"/>
  <c r="DV29" i="27"/>
  <c r="DV28" i="27"/>
  <c r="DV27" i="27"/>
  <c r="DV31" i="27"/>
  <c r="DV26" i="27"/>
  <c r="DV24" i="27"/>
  <c r="DV23" i="27"/>
  <c r="DV22" i="27"/>
  <c r="DV21" i="27"/>
  <c r="DV20" i="27"/>
  <c r="DV19" i="27"/>
  <c r="DV18" i="27"/>
  <c r="DV17" i="27"/>
  <c r="DV16" i="27"/>
  <c r="DV8" i="27"/>
  <c r="DV7" i="27"/>
  <c r="DV6" i="27"/>
  <c r="DV4" i="27"/>
  <c r="DU42" i="27"/>
  <c r="DU37" i="27"/>
  <c r="DU35" i="27"/>
  <c r="DU34" i="27"/>
  <c r="DU30" i="27"/>
  <c r="DU29" i="27"/>
  <c r="DU28" i="27"/>
  <c r="DU27" i="27"/>
  <c r="DU31" i="27"/>
  <c r="DU26" i="27"/>
  <c r="DU24" i="27"/>
  <c r="DU23" i="27"/>
  <c r="DU22" i="27"/>
  <c r="DU21" i="27"/>
  <c r="DU20" i="27"/>
  <c r="DU19" i="27"/>
  <c r="DU18" i="27"/>
  <c r="DU17" i="27"/>
  <c r="DU16" i="27"/>
  <c r="DU8" i="27"/>
  <c r="DU7" i="27"/>
  <c r="DU6" i="27"/>
  <c r="DU4" i="27"/>
  <c r="DT35" i="27"/>
  <c r="DT34" i="27"/>
  <c r="DT30" i="27"/>
  <c r="DT29" i="27"/>
  <c r="DT28" i="27"/>
  <c r="DT27" i="27"/>
  <c r="DT31" i="27"/>
  <c r="DT26" i="27"/>
  <c r="DT24" i="27"/>
  <c r="DT23" i="27"/>
  <c r="DT22" i="27"/>
  <c r="DT21" i="27"/>
  <c r="DT20" i="27"/>
  <c r="DT19" i="27"/>
  <c r="DT18" i="27"/>
  <c r="DT17" i="27"/>
  <c r="DT16" i="27"/>
  <c r="DT8" i="27"/>
  <c r="DT7" i="27"/>
  <c r="DT6" i="27"/>
  <c r="DT4" i="27"/>
  <c r="DW3" i="27"/>
  <c r="DV3" i="27"/>
  <c r="DU3" i="27"/>
  <c r="DT3" i="27"/>
  <c r="BV50" i="27"/>
  <c r="BZ50" i="27"/>
  <c r="BV48" i="27"/>
  <c r="BV43" i="27"/>
  <c r="BV45" i="27" s="1"/>
  <c r="BV57" i="27" s="1"/>
  <c r="BW50" i="27"/>
  <c r="CA50" i="27"/>
  <c r="BW48" i="27"/>
  <c r="BW43" i="27"/>
  <c r="BW45" i="27" s="1"/>
  <c r="BW57" i="27" s="1"/>
  <c r="CK50" i="27"/>
  <c r="CL43" i="27"/>
  <c r="CL45" i="27" s="1"/>
  <c r="BX50" i="27"/>
  <c r="CB48" i="27"/>
  <c r="CA48" i="27"/>
  <c r="BZ48" i="27"/>
  <c r="BY48" i="27"/>
  <c r="BX48" i="27"/>
  <c r="CB43" i="27"/>
  <c r="CB45" i="27" s="1"/>
  <c r="CB57" i="27" s="1"/>
  <c r="CA43" i="27"/>
  <c r="CA45" i="27" s="1"/>
  <c r="CA57" i="27" s="1"/>
  <c r="BZ43" i="27"/>
  <c r="BZ45" i="27" s="1"/>
  <c r="BZ57" i="27" s="1"/>
  <c r="BY43" i="27"/>
  <c r="BY45" i="27" s="1"/>
  <c r="BY57" i="27" s="1"/>
  <c r="BX43" i="27"/>
  <c r="BX45" i="27" s="1"/>
  <c r="BX57" i="27" s="1"/>
  <c r="CF50" i="27"/>
  <c r="CJ50" i="27"/>
  <c r="CK48" i="27"/>
  <c r="CJ48" i="27"/>
  <c r="CJ43" i="27"/>
  <c r="CJ45" i="27" s="1"/>
  <c r="CJ57" i="27" s="1"/>
  <c r="CC48" i="27"/>
  <c r="CC43" i="27"/>
  <c r="CC45" i="27" s="1"/>
  <c r="CC57" i="27" s="1"/>
  <c r="CD48" i="27"/>
  <c r="CD43" i="27"/>
  <c r="CD45" i="27" s="1"/>
  <c r="CD57" i="27" s="1"/>
  <c r="CS113" i="27" l="1"/>
  <c r="BI49" i="27"/>
  <c r="BI51" i="27" s="1"/>
  <c r="BI53" i="27" s="1"/>
  <c r="BI54" i="27" s="1"/>
  <c r="DR28" i="27"/>
  <c r="DR6" i="27"/>
  <c r="DR30" i="27"/>
  <c r="DR29" i="27"/>
  <c r="BG49" i="27"/>
  <c r="BG60" i="27" s="1"/>
  <c r="CH120" i="27"/>
  <c r="DT48" i="27"/>
  <c r="CI120" i="27"/>
  <c r="DS48" i="27"/>
  <c r="DR23" i="27"/>
  <c r="CJ120" i="27"/>
  <c r="CE120" i="27"/>
  <c r="CF120" i="27"/>
  <c r="DR37" i="27"/>
  <c r="CM107" i="27"/>
  <c r="CG120" i="27"/>
  <c r="DS50" i="27"/>
  <c r="BP85" i="27"/>
  <c r="DT50" i="27"/>
  <c r="BO85" i="27"/>
  <c r="BP97" i="27"/>
  <c r="BU49" i="27"/>
  <c r="BU60" i="27" s="1"/>
  <c r="CL120" i="27"/>
  <c r="BE45" i="27"/>
  <c r="BE49" i="27" s="1"/>
  <c r="BE51" i="27" s="1"/>
  <c r="BE53" i="27" s="1"/>
  <c r="BE54" i="27" s="1"/>
  <c r="BI72" i="27" s="1"/>
  <c r="AW58" i="27"/>
  <c r="AZ64" i="27"/>
  <c r="CT109" i="27"/>
  <c r="CT113" i="27" s="1"/>
  <c r="BE64" i="27"/>
  <c r="AZ45" i="27"/>
  <c r="AZ57" i="27" s="1"/>
  <c r="DS41" i="27"/>
  <c r="BI64" i="27"/>
  <c r="AX59" i="27"/>
  <c r="AX58" i="27"/>
  <c r="AU58" i="27"/>
  <c r="BF58" i="27"/>
  <c r="BF59" i="27"/>
  <c r="AZ58" i="27"/>
  <c r="AZ59" i="27"/>
  <c r="BG64" i="27"/>
  <c r="BH64" i="27"/>
  <c r="BA64" i="27"/>
  <c r="AY59" i="27"/>
  <c r="BK64" i="27"/>
  <c r="BA58" i="27"/>
  <c r="AY58" i="27"/>
  <c r="BG57" i="27"/>
  <c r="BG58" i="27"/>
  <c r="BG59" i="27"/>
  <c r="BA59" i="27"/>
  <c r="BJ64" i="27"/>
  <c r="AX64" i="27"/>
  <c r="AY64" i="27"/>
  <c r="BD64" i="27"/>
  <c r="BB64" i="27"/>
  <c r="BC64" i="27"/>
  <c r="AW45" i="27"/>
  <c r="AW57" i="27" s="1"/>
  <c r="AX49" i="27"/>
  <c r="AY49" i="27"/>
  <c r="AY60" i="27" s="1"/>
  <c r="BA49" i="27"/>
  <c r="BB58" i="27"/>
  <c r="BB59" i="27"/>
  <c r="BF64" i="27"/>
  <c r="BB49" i="27"/>
  <c r="BF49" i="27"/>
  <c r="BC58" i="27"/>
  <c r="BC59" i="27"/>
  <c r="BI62" i="27"/>
  <c r="BI57" i="27"/>
  <c r="BM64" i="27"/>
  <c r="BI58" i="27"/>
  <c r="BI59" i="27"/>
  <c r="BI60" i="27"/>
  <c r="BI61" i="27"/>
  <c r="BH58" i="27"/>
  <c r="BH59" i="27"/>
  <c r="BC49" i="27"/>
  <c r="BH49" i="27"/>
  <c r="BE58" i="27"/>
  <c r="DZ46" i="27"/>
  <c r="DZ42" i="27"/>
  <c r="BO64" i="27"/>
  <c r="DZ29" i="27"/>
  <c r="EA29" i="27" s="1"/>
  <c r="EB29" i="27" s="1"/>
  <c r="EC29" i="27" s="1"/>
  <c r="ED29" i="27" s="1"/>
  <c r="EE29" i="27" s="1"/>
  <c r="EF29" i="27" s="1"/>
  <c r="EG29" i="27" s="1"/>
  <c r="EH29" i="27" s="1"/>
  <c r="EI29" i="27" s="1"/>
  <c r="EJ29" i="27" s="1"/>
  <c r="CS97" i="27"/>
  <c r="BR58" i="27"/>
  <c r="BM43" i="27"/>
  <c r="BM45" i="27" s="1"/>
  <c r="BM57" i="27" s="1"/>
  <c r="DZ19" i="27"/>
  <c r="EA19" i="27" s="1"/>
  <c r="EB19" i="27" s="1"/>
  <c r="EC19" i="27" s="1"/>
  <c r="ED19" i="27" s="1"/>
  <c r="CM74" i="27"/>
  <c r="BL37" i="27"/>
  <c r="BL43" i="27" s="1"/>
  <c r="BL59" i="27" s="1"/>
  <c r="BR59" i="27"/>
  <c r="CO74" i="27"/>
  <c r="BR64" i="27"/>
  <c r="BT49" i="27"/>
  <c r="BT51" i="27" s="1"/>
  <c r="BT53" i="27" s="1"/>
  <c r="BT54" i="27" s="1"/>
  <c r="BU58" i="27"/>
  <c r="BN45" i="27"/>
  <c r="BN57" i="27" s="1"/>
  <c r="BU59" i="27"/>
  <c r="BQ43" i="27"/>
  <c r="BQ58" i="27" s="1"/>
  <c r="BU57" i="27"/>
  <c r="BV64" i="27"/>
  <c r="BQ45" i="27"/>
  <c r="BQ57" i="27" s="1"/>
  <c r="BU64" i="27"/>
  <c r="CA64" i="27"/>
  <c r="DZ26" i="27"/>
  <c r="EA26" i="27" s="1"/>
  <c r="EB26" i="27" s="1"/>
  <c r="EC26" i="27" s="1"/>
  <c r="ED26" i="27" s="1"/>
  <c r="EE26" i="27" s="1"/>
  <c r="EF26" i="27" s="1"/>
  <c r="EG26" i="27" s="1"/>
  <c r="EH26" i="27" s="1"/>
  <c r="EI26" i="27" s="1"/>
  <c r="EJ26" i="27" s="1"/>
  <c r="BT57" i="27"/>
  <c r="CB64" i="27"/>
  <c r="BY58" i="27"/>
  <c r="BW64" i="27"/>
  <c r="BY64" i="27"/>
  <c r="DZ30" i="27"/>
  <c r="EA30" i="27" s="1"/>
  <c r="EB30" i="27" s="1"/>
  <c r="EC30" i="27" s="1"/>
  <c r="ED30" i="27" s="1"/>
  <c r="EE30" i="27" s="1"/>
  <c r="EF30" i="27" s="1"/>
  <c r="EG30" i="27" s="1"/>
  <c r="EH30" i="27" s="1"/>
  <c r="EI30" i="27" s="1"/>
  <c r="EJ30" i="27" s="1"/>
  <c r="CC64" i="27"/>
  <c r="DZ25" i="27"/>
  <c r="EA25" i="27" s="1"/>
  <c r="EB25" i="27" s="1"/>
  <c r="EC25" i="27" s="1"/>
  <c r="ED25" i="27" s="1"/>
  <c r="EE25" i="27" s="1"/>
  <c r="EF25" i="27" s="1"/>
  <c r="EG25" i="27" s="1"/>
  <c r="EH25" i="27" s="1"/>
  <c r="EI25" i="27" s="1"/>
  <c r="EJ25" i="27" s="1"/>
  <c r="CR113" i="27"/>
  <c r="CN107" i="27"/>
  <c r="BN58" i="27"/>
  <c r="BY59" i="27"/>
  <c r="DY50" i="27"/>
  <c r="DZ20" i="27"/>
  <c r="EA20" i="27" s="1"/>
  <c r="EB20" i="27" s="1"/>
  <c r="EC20" i="27" s="1"/>
  <c r="ED20" i="27" s="1"/>
  <c r="EE20" i="27" s="1"/>
  <c r="EF20" i="27" s="1"/>
  <c r="EG20" i="27" s="1"/>
  <c r="EH20" i="27" s="1"/>
  <c r="EI20" i="27" s="1"/>
  <c r="EJ20" i="27" s="1"/>
  <c r="BX64" i="27"/>
  <c r="BZ64" i="27"/>
  <c r="BT58" i="27"/>
  <c r="DZ9" i="27"/>
  <c r="EA9" i="27" s="1"/>
  <c r="EB9" i="27" s="1"/>
  <c r="EC9" i="27" s="1"/>
  <c r="ED9" i="27" s="1"/>
  <c r="EE9" i="27" s="1"/>
  <c r="EF9" i="27" s="1"/>
  <c r="EG9" i="27" s="1"/>
  <c r="EH9" i="27" s="1"/>
  <c r="EI9" i="27" s="1"/>
  <c r="EJ9" i="27" s="1"/>
  <c r="BT59" i="27"/>
  <c r="DZ34" i="27"/>
  <c r="EA34" i="27" s="1"/>
  <c r="EB34" i="27" s="1"/>
  <c r="EC34" i="27" s="1"/>
  <c r="ED34" i="27" s="1"/>
  <c r="EE34" i="27" s="1"/>
  <c r="EF34" i="27" s="1"/>
  <c r="EG34" i="27" s="1"/>
  <c r="EH34" i="27" s="1"/>
  <c r="EI34" i="27" s="1"/>
  <c r="EJ34" i="27" s="1"/>
  <c r="DZ28" i="27"/>
  <c r="EA28" i="27" s="1"/>
  <c r="EB28" i="27" s="1"/>
  <c r="EC28" i="27" s="1"/>
  <c r="ED28" i="27" s="1"/>
  <c r="EE28" i="27" s="1"/>
  <c r="EF28" i="27" s="1"/>
  <c r="EG28" i="27" s="1"/>
  <c r="EH28" i="27" s="1"/>
  <c r="EI28" i="27" s="1"/>
  <c r="EJ28" i="27" s="1"/>
  <c r="DZ36" i="27"/>
  <c r="EA36" i="27" s="1"/>
  <c r="EB36" i="27" s="1"/>
  <c r="EC36" i="27" s="1"/>
  <c r="ED36" i="27" s="1"/>
  <c r="EE36" i="27" s="1"/>
  <c r="EF36" i="27" s="1"/>
  <c r="EG36" i="27" s="1"/>
  <c r="EH36" i="27" s="1"/>
  <c r="EI36" i="27" s="1"/>
  <c r="EJ36" i="27" s="1"/>
  <c r="CD64" i="27"/>
  <c r="DZ37" i="27"/>
  <c r="BR49" i="27"/>
  <c r="BJ45" i="27"/>
  <c r="BJ57" i="27" s="1"/>
  <c r="BJ58" i="27"/>
  <c r="BN64" i="27"/>
  <c r="BK45" i="27"/>
  <c r="BK57" i="27" s="1"/>
  <c r="BK49" i="27"/>
  <c r="BK51" i="27" s="1"/>
  <c r="BK58" i="27"/>
  <c r="BK59" i="27"/>
  <c r="BS64" i="27"/>
  <c r="BP43" i="27"/>
  <c r="BP58" i="27" s="1"/>
  <c r="CV48" i="27"/>
  <c r="DZ18" i="27"/>
  <c r="EA18" i="27" s="1"/>
  <c r="EB18" i="27" s="1"/>
  <c r="EC18" i="27" s="1"/>
  <c r="ED18" i="27" s="1"/>
  <c r="EE18" i="27" s="1"/>
  <c r="EF18" i="27" s="1"/>
  <c r="EG18" i="27" s="1"/>
  <c r="EH18" i="27" s="1"/>
  <c r="EI18" i="27" s="1"/>
  <c r="EJ18" i="27" s="1"/>
  <c r="BO58" i="27"/>
  <c r="DZ50" i="27"/>
  <c r="DX48" i="27"/>
  <c r="CW48" i="27"/>
  <c r="DZ13" i="27"/>
  <c r="EA13" i="27" s="1"/>
  <c r="EB13" i="27" s="1"/>
  <c r="EC13" i="27" s="1"/>
  <c r="ED13" i="27" s="1"/>
  <c r="EE13" i="27" s="1"/>
  <c r="EF13" i="27" s="1"/>
  <c r="EG13" i="27" s="1"/>
  <c r="EH13" i="27" s="1"/>
  <c r="EI13" i="27" s="1"/>
  <c r="EJ13" i="27" s="1"/>
  <c r="DZ27" i="27"/>
  <c r="EA27" i="27" s="1"/>
  <c r="EB27" i="27" s="1"/>
  <c r="EC27" i="27" s="1"/>
  <c r="ED27" i="27" s="1"/>
  <c r="EE27" i="27" s="1"/>
  <c r="EF27" i="27" s="1"/>
  <c r="EG27" i="27" s="1"/>
  <c r="EH27" i="27" s="1"/>
  <c r="EI27" i="27" s="1"/>
  <c r="EJ27" i="27" s="1"/>
  <c r="CX48" i="27"/>
  <c r="DY41" i="27"/>
  <c r="DZ21" i="27"/>
  <c r="EA21" i="27" s="1"/>
  <c r="EB21" i="27" s="1"/>
  <c r="EC21" i="27" s="1"/>
  <c r="ED21" i="27" s="1"/>
  <c r="EE21" i="27" s="1"/>
  <c r="EF21" i="27" s="1"/>
  <c r="EG21" i="27" s="1"/>
  <c r="EH21" i="27" s="1"/>
  <c r="EI21" i="27" s="1"/>
  <c r="EJ21" i="27" s="1"/>
  <c r="BO45" i="27"/>
  <c r="BO57" i="27" s="1"/>
  <c r="DZ17" i="27"/>
  <c r="EA17" i="27" s="1"/>
  <c r="EB17" i="27" s="1"/>
  <c r="EC17" i="27" s="1"/>
  <c r="ED17" i="27" s="1"/>
  <c r="EE17" i="27" s="1"/>
  <c r="EF17" i="27" s="1"/>
  <c r="EG17" i="27" s="1"/>
  <c r="EH17" i="27" s="1"/>
  <c r="EI17" i="27" s="1"/>
  <c r="EJ17" i="27" s="1"/>
  <c r="CW10" i="27"/>
  <c r="CX10" i="27" s="1"/>
  <c r="CX43" i="27" s="1"/>
  <c r="DX50" i="27"/>
  <c r="DW41" i="27"/>
  <c r="DW43" i="27" s="1"/>
  <c r="DW58" i="27" s="1"/>
  <c r="DZ7" i="27"/>
  <c r="EA7" i="27" s="1"/>
  <c r="EB7" i="27" s="1"/>
  <c r="EC7" i="27" s="1"/>
  <c r="ED7" i="27" s="1"/>
  <c r="EE7" i="27" s="1"/>
  <c r="EF7" i="27" s="1"/>
  <c r="EG7" i="27" s="1"/>
  <c r="EH7" i="27" s="1"/>
  <c r="EI7" i="27" s="1"/>
  <c r="EJ7" i="27" s="1"/>
  <c r="BS45" i="27"/>
  <c r="DZ47" i="27"/>
  <c r="DZ31" i="27"/>
  <c r="BS58" i="27"/>
  <c r="DZ38" i="27"/>
  <c r="EA38" i="27" s="1"/>
  <c r="EB38" i="27" s="1"/>
  <c r="EC38" i="27" s="1"/>
  <c r="ED38" i="27" s="1"/>
  <c r="EE38" i="27" s="1"/>
  <c r="EF38" i="27" s="1"/>
  <c r="EG38" i="27" s="1"/>
  <c r="EH38" i="27" s="1"/>
  <c r="EI38" i="27" s="1"/>
  <c r="EJ38" i="27" s="1"/>
  <c r="DZ22" i="27"/>
  <c r="EA22" i="27" s="1"/>
  <c r="EB22" i="27" s="1"/>
  <c r="EC22" i="27" s="1"/>
  <c r="ED22" i="27" s="1"/>
  <c r="EE22" i="27" s="1"/>
  <c r="EF22" i="27" s="1"/>
  <c r="EG22" i="27" s="1"/>
  <c r="EH22" i="27" s="1"/>
  <c r="EI22" i="27" s="1"/>
  <c r="EJ22" i="27" s="1"/>
  <c r="DZ3" i="27"/>
  <c r="DZ4" i="27"/>
  <c r="EA4" i="27" s="1"/>
  <c r="EB4" i="27" s="1"/>
  <c r="EC4" i="27" s="1"/>
  <c r="ED4" i="27" s="1"/>
  <c r="EE4" i="27" s="1"/>
  <c r="EF4" i="27" s="1"/>
  <c r="EG4" i="27" s="1"/>
  <c r="EH4" i="27" s="1"/>
  <c r="EI4" i="27" s="1"/>
  <c r="EJ4" i="27" s="1"/>
  <c r="CQ120" i="27"/>
  <c r="DZ23" i="27"/>
  <c r="EA23" i="27" s="1"/>
  <c r="EB23" i="27" s="1"/>
  <c r="EC23" i="27" s="1"/>
  <c r="ED23" i="27" s="1"/>
  <c r="EE23" i="27" s="1"/>
  <c r="EF23" i="27" s="1"/>
  <c r="EG23" i="27" s="1"/>
  <c r="EH23" i="27" s="1"/>
  <c r="EI23" i="27" s="1"/>
  <c r="EJ23" i="27" s="1"/>
  <c r="CO100" i="27"/>
  <c r="CO107" i="27" s="1"/>
  <c r="DZ8" i="27"/>
  <c r="EA8" i="27" s="1"/>
  <c r="EB8" i="27" s="1"/>
  <c r="EC8" i="27" s="1"/>
  <c r="ED8" i="27" s="1"/>
  <c r="EE8" i="27" s="1"/>
  <c r="EF8" i="27" s="1"/>
  <c r="EG8" i="27" s="1"/>
  <c r="EH8" i="27" s="1"/>
  <c r="EI8" i="27" s="1"/>
  <c r="EJ8" i="27" s="1"/>
  <c r="CP113" i="27"/>
  <c r="CM113" i="27"/>
  <c r="CN115" i="27"/>
  <c r="DX41" i="27"/>
  <c r="DX43" i="27" s="1"/>
  <c r="CO113" i="27"/>
  <c r="CN113" i="27"/>
  <c r="CR104" i="27"/>
  <c r="CR115" i="27"/>
  <c r="CR58" i="27"/>
  <c r="CR59" i="27"/>
  <c r="CR74" i="27"/>
  <c r="CQ97" i="27"/>
  <c r="CR97" i="27"/>
  <c r="CQ45" i="27"/>
  <c r="CQ49" i="27" s="1"/>
  <c r="CQ60" i="27" s="1"/>
  <c r="BZ58" i="27"/>
  <c r="BZ59" i="27"/>
  <c r="CQ58" i="27"/>
  <c r="CR64" i="27"/>
  <c r="CR49" i="27"/>
  <c r="CS43" i="27"/>
  <c r="CT45" i="27"/>
  <c r="CT49" i="27" s="1"/>
  <c r="CT51" i="27" s="1"/>
  <c r="CU43" i="27"/>
  <c r="CU45" i="27" s="1"/>
  <c r="CU49" i="27" s="1"/>
  <c r="CV43" i="27"/>
  <c r="EA16" i="27"/>
  <c r="EB16" i="27" s="1"/>
  <c r="EC16" i="27" s="1"/>
  <c r="ED16" i="27" s="1"/>
  <c r="EE16" i="27" s="1"/>
  <c r="EF16" i="27" s="1"/>
  <c r="EG16" i="27" s="1"/>
  <c r="EH16" i="27" s="1"/>
  <c r="EI16" i="27" s="1"/>
  <c r="EJ16" i="27" s="1"/>
  <c r="DT41" i="27"/>
  <c r="DY48" i="27"/>
  <c r="BW58" i="27"/>
  <c r="BW59" i="27"/>
  <c r="CA59" i="27"/>
  <c r="DW48" i="27"/>
  <c r="DW50" i="27"/>
  <c r="BX59" i="27"/>
  <c r="BV59" i="27"/>
  <c r="BX58" i="27"/>
  <c r="BV58" i="27"/>
  <c r="CA58" i="27"/>
  <c r="DV41" i="27"/>
  <c r="DV43" i="27" s="1"/>
  <c r="DV58" i="27" s="1"/>
  <c r="DU41" i="27"/>
  <c r="DU43" i="27" s="1"/>
  <c r="DU58" i="27" s="1"/>
  <c r="BV49" i="27"/>
  <c r="BW49" i="27"/>
  <c r="CM48" i="27"/>
  <c r="CJ58" i="27"/>
  <c r="CN48" i="27"/>
  <c r="CP48" i="27"/>
  <c r="CL48" i="27"/>
  <c r="CL49" i="27" s="1"/>
  <c r="CJ59" i="27"/>
  <c r="CB58" i="27"/>
  <c r="CB59" i="27"/>
  <c r="CO48" i="27"/>
  <c r="BY49" i="27"/>
  <c r="BZ49" i="27"/>
  <c r="CA49" i="27"/>
  <c r="BX49" i="27"/>
  <c r="CB49" i="27"/>
  <c r="CK43" i="27"/>
  <c r="CK45" i="27" s="1"/>
  <c r="CJ49" i="27"/>
  <c r="CC58" i="27"/>
  <c r="CC59" i="27"/>
  <c r="CC49" i="27"/>
  <c r="CD58" i="27"/>
  <c r="CD59" i="27"/>
  <c r="CD49" i="27"/>
  <c r="BG51" i="27" l="1"/>
  <c r="AW49" i="27"/>
  <c r="BE62" i="27"/>
  <c r="AZ49" i="27"/>
  <c r="BE61" i="27"/>
  <c r="BE60" i="27"/>
  <c r="CM120" i="27"/>
  <c r="BU51" i="27"/>
  <c r="BU62" i="27" s="1"/>
  <c r="BE57" i="27"/>
  <c r="BL58" i="27"/>
  <c r="BT60" i="27"/>
  <c r="BL45" i="27"/>
  <c r="BM49" i="27"/>
  <c r="BT61" i="27"/>
  <c r="BM59" i="27"/>
  <c r="BL64" i="27"/>
  <c r="BM58" i="27"/>
  <c r="BF51" i="27"/>
  <c r="BF60" i="27"/>
  <c r="BA51" i="27"/>
  <c r="BA60" i="27"/>
  <c r="AZ51" i="27"/>
  <c r="AZ60" i="27"/>
  <c r="AX51" i="27"/>
  <c r="AX60" i="27"/>
  <c r="AW51" i="27"/>
  <c r="AW60" i="27"/>
  <c r="AY51" i="27"/>
  <c r="AY53" i="27"/>
  <c r="AY62" i="27"/>
  <c r="BB51" i="27"/>
  <c r="BB60" i="27"/>
  <c r="BC51" i="27"/>
  <c r="BC60" i="27"/>
  <c r="BH51" i="27"/>
  <c r="BH60" i="27"/>
  <c r="BT62" i="27"/>
  <c r="BQ59" i="27"/>
  <c r="BQ64" i="27"/>
  <c r="BQ49" i="27"/>
  <c r="BQ60" i="27" s="1"/>
  <c r="BK60" i="27"/>
  <c r="CP100" i="27"/>
  <c r="CP107" i="27" s="1"/>
  <c r="CW43" i="27"/>
  <c r="CW45" i="27" s="1"/>
  <c r="CW49" i="27" s="1"/>
  <c r="CW51" i="27" s="1"/>
  <c r="BT64" i="27"/>
  <c r="BN49" i="27"/>
  <c r="BN51" i="27" s="1"/>
  <c r="BR51" i="27"/>
  <c r="BR60" i="27"/>
  <c r="BU53" i="27"/>
  <c r="BY51" i="27"/>
  <c r="BY60" i="27"/>
  <c r="CR119" i="27"/>
  <c r="CS115" i="27"/>
  <c r="CR107" i="27"/>
  <c r="CS104" i="27"/>
  <c r="BP45" i="27"/>
  <c r="BP57" i="27" s="1"/>
  <c r="BP59" i="27"/>
  <c r="BP64" i="27"/>
  <c r="BJ49" i="27"/>
  <c r="BK53" i="27"/>
  <c r="BK62" i="27"/>
  <c r="BO49" i="27"/>
  <c r="BO60" i="27" s="1"/>
  <c r="BM60" i="27"/>
  <c r="BM51" i="27"/>
  <c r="BQ51" i="27"/>
  <c r="BL49" i="27"/>
  <c r="BL57" i="27"/>
  <c r="DZ10" i="27"/>
  <c r="EA10" i="27" s="1"/>
  <c r="EB10" i="27" s="1"/>
  <c r="EC10" i="27" s="1"/>
  <c r="ED10" i="27" s="1"/>
  <c r="EE10" i="27" s="1"/>
  <c r="EF10" i="27" s="1"/>
  <c r="EG10" i="27" s="1"/>
  <c r="EH10" i="27" s="1"/>
  <c r="EI10" i="27" s="1"/>
  <c r="EJ10" i="27" s="1"/>
  <c r="DW59" i="27"/>
  <c r="DU59" i="27"/>
  <c r="DV59" i="27"/>
  <c r="CS45" i="27"/>
  <c r="CS58" i="27"/>
  <c r="CS59" i="27"/>
  <c r="BS57" i="27"/>
  <c r="BS49" i="27"/>
  <c r="DX58" i="27"/>
  <c r="DX59" i="27"/>
  <c r="CX45" i="27"/>
  <c r="CX49" i="27" s="1"/>
  <c r="CX51" i="27" s="1"/>
  <c r="CU51" i="27"/>
  <c r="CV45" i="27"/>
  <c r="CV49" i="27" s="1"/>
  <c r="CV51" i="27" s="1"/>
  <c r="CT53" i="27"/>
  <c r="CT62" i="27"/>
  <c r="CU64" i="27"/>
  <c r="CU58" i="27"/>
  <c r="CU59" i="27"/>
  <c r="CT58" i="27"/>
  <c r="CT57" i="27"/>
  <c r="CT64" i="27"/>
  <c r="CT60" i="27"/>
  <c r="CT59" i="27"/>
  <c r="CX58" i="27"/>
  <c r="CX59" i="27"/>
  <c r="CV64" i="27"/>
  <c r="CV59" i="27"/>
  <c r="CV58" i="27"/>
  <c r="DX45" i="27"/>
  <c r="DX64" i="27"/>
  <c r="DW45" i="27"/>
  <c r="DW57" i="27" s="1"/>
  <c r="DW64" i="27"/>
  <c r="CN119" i="27"/>
  <c r="CN120" i="27" s="1"/>
  <c r="CO115" i="27"/>
  <c r="DU45" i="27"/>
  <c r="DU57" i="27" s="1"/>
  <c r="DV45" i="27"/>
  <c r="DV57" i="27" s="1"/>
  <c r="DV64" i="27"/>
  <c r="CQ57" i="27"/>
  <c r="CQ51" i="27"/>
  <c r="CQ53" i="27" s="1"/>
  <c r="CQ99" i="27" s="1"/>
  <c r="CR51" i="27"/>
  <c r="CR60" i="27"/>
  <c r="CX64" i="27"/>
  <c r="EA47" i="27"/>
  <c r="CA51" i="27"/>
  <c r="CA60" i="27"/>
  <c r="BX51" i="27"/>
  <c r="BX60" i="27"/>
  <c r="EA31" i="27"/>
  <c r="EB31" i="27" s="1"/>
  <c r="EC31" i="27" s="1"/>
  <c r="ED31" i="27" s="1"/>
  <c r="EE31" i="27" s="1"/>
  <c r="EF31" i="27" s="1"/>
  <c r="EG31" i="27" s="1"/>
  <c r="EH31" i="27" s="1"/>
  <c r="EI31" i="27" s="1"/>
  <c r="EJ31" i="27" s="1"/>
  <c r="BV51" i="27"/>
  <c r="BV60" i="27"/>
  <c r="BZ51" i="27"/>
  <c r="BZ60" i="27"/>
  <c r="BW51" i="27"/>
  <c r="BW53" i="27" s="1"/>
  <c r="BW60" i="27"/>
  <c r="CB60" i="27"/>
  <c r="CB51" i="27"/>
  <c r="CK58" i="27"/>
  <c r="CK49" i="27"/>
  <c r="CK51" i="27" s="1"/>
  <c r="CK59" i="27"/>
  <c r="CJ60" i="27"/>
  <c r="CJ51" i="27"/>
  <c r="CC51" i="27"/>
  <c r="CC60" i="27"/>
  <c r="CD60" i="27"/>
  <c r="CD51" i="27"/>
  <c r="BG53" i="27" l="1"/>
  <c r="BG62" i="27"/>
  <c r="DZ41" i="27"/>
  <c r="CS107" i="27"/>
  <c r="CT104" i="27"/>
  <c r="CT107" i="27" s="1"/>
  <c r="CS119" i="27"/>
  <c r="CS120" i="27" s="1"/>
  <c r="CT115" i="27"/>
  <c r="CT119" i="27" s="1"/>
  <c r="CT120" i="27" s="1"/>
  <c r="CT54" i="27"/>
  <c r="CT99" i="27"/>
  <c r="CW59" i="27"/>
  <c r="CW58" i="27"/>
  <c r="CW64" i="27"/>
  <c r="BA53" i="27"/>
  <c r="BA62" i="27"/>
  <c r="BF53" i="27"/>
  <c r="BF62" i="27"/>
  <c r="AW53" i="27"/>
  <c r="AW62" i="27"/>
  <c r="AX53" i="27"/>
  <c r="AX62" i="27"/>
  <c r="AZ53" i="27"/>
  <c r="AZ62" i="27"/>
  <c r="AY54" i="27"/>
  <c r="AY61" i="27"/>
  <c r="BB53" i="27"/>
  <c r="BB62" i="27"/>
  <c r="BC62" i="27"/>
  <c r="BC53" i="27"/>
  <c r="BH53" i="27"/>
  <c r="BH62" i="27"/>
  <c r="CR120" i="27"/>
  <c r="CU57" i="27"/>
  <c r="BN60" i="27"/>
  <c r="BY53" i="27"/>
  <c r="BY62" i="27"/>
  <c r="BO51" i="27"/>
  <c r="BO53" i="27" s="1"/>
  <c r="BU54" i="27"/>
  <c r="BU61" i="27"/>
  <c r="DV49" i="27"/>
  <c r="DV60" i="27" s="1"/>
  <c r="CU60" i="27"/>
  <c r="BR53" i="27"/>
  <c r="BR62" i="27"/>
  <c r="BP49" i="27"/>
  <c r="BJ60" i="27"/>
  <c r="BJ51" i="27"/>
  <c r="BK54" i="27"/>
  <c r="BK61" i="27"/>
  <c r="BN53" i="27"/>
  <c r="BN62" i="27"/>
  <c r="BM53" i="27"/>
  <c r="BM62" i="27"/>
  <c r="BQ53" i="27"/>
  <c r="BQ62" i="27"/>
  <c r="BL51" i="27"/>
  <c r="BL60" i="27"/>
  <c r="CV44" i="27"/>
  <c r="BS60" i="27"/>
  <c r="BS51" i="27"/>
  <c r="DU49" i="27"/>
  <c r="DU60" i="27" s="1"/>
  <c r="CO119" i="27"/>
  <c r="CO120" i="27" s="1"/>
  <c r="CP115" i="27"/>
  <c r="CP119" i="27" s="1"/>
  <c r="CP120" i="27" s="1"/>
  <c r="CS49" i="27"/>
  <c r="CS57" i="27"/>
  <c r="CW60" i="27"/>
  <c r="DX49" i="27"/>
  <c r="DX60" i="27" s="1"/>
  <c r="DX57" i="27"/>
  <c r="DW49" i="27"/>
  <c r="DW60" i="27" s="1"/>
  <c r="CW57" i="27"/>
  <c r="CX60" i="27"/>
  <c r="CX57" i="27"/>
  <c r="CW44" i="27"/>
  <c r="CV60" i="27"/>
  <c r="CV52" i="27"/>
  <c r="CV62" i="27" s="1"/>
  <c r="CU62" i="27"/>
  <c r="CW52" i="27"/>
  <c r="CW62" i="27" s="1"/>
  <c r="CX52" i="27"/>
  <c r="CX53" i="27" s="1"/>
  <c r="CX61" i="27" s="1"/>
  <c r="CV57" i="27"/>
  <c r="CX44" i="27"/>
  <c r="CT61" i="27"/>
  <c r="CQ62" i="27"/>
  <c r="CQ61" i="27"/>
  <c r="CQ54" i="27"/>
  <c r="CR53" i="27"/>
  <c r="CR99" i="27" s="1"/>
  <c r="CR62" i="27"/>
  <c r="DZ48" i="27"/>
  <c r="BW54" i="27"/>
  <c r="BW61" i="27"/>
  <c r="BZ53" i="27"/>
  <c r="BZ62" i="27"/>
  <c r="BV53" i="27"/>
  <c r="BV62" i="27"/>
  <c r="DU51" i="27"/>
  <c r="EA3" i="27"/>
  <c r="BW62" i="27"/>
  <c r="BX53" i="27"/>
  <c r="BX62" i="27"/>
  <c r="CA53" i="27"/>
  <c r="CA62" i="27"/>
  <c r="EA48" i="27"/>
  <c r="EB47" i="27"/>
  <c r="CB62" i="27"/>
  <c r="CB53" i="27"/>
  <c r="CM45" i="27"/>
  <c r="CK57" i="27"/>
  <c r="CK60" i="27"/>
  <c r="CL51" i="27"/>
  <c r="CK62" i="27"/>
  <c r="DZ55" i="27"/>
  <c r="EA55" i="27" s="1"/>
  <c r="EB55" i="27" s="1"/>
  <c r="EC55" i="27" s="1"/>
  <c r="ED55" i="27" s="1"/>
  <c r="EE55" i="27" s="1"/>
  <c r="EF55" i="27" s="1"/>
  <c r="EG55" i="27" s="1"/>
  <c r="EH55" i="27" s="1"/>
  <c r="EI55" i="27" s="1"/>
  <c r="EJ55" i="27" s="1"/>
  <c r="CL58" i="27"/>
  <c r="CL59" i="27"/>
  <c r="CJ62" i="27"/>
  <c r="CJ53" i="27"/>
  <c r="CJ99" i="27" s="1"/>
  <c r="CC62" i="27"/>
  <c r="CC53" i="27"/>
  <c r="CD53" i="27"/>
  <c r="CD62" i="27"/>
  <c r="DV51" i="27" l="1"/>
  <c r="BG54" i="27"/>
  <c r="BK72" i="27" s="1"/>
  <c r="BG61" i="27"/>
  <c r="BO62" i="27"/>
  <c r="BF54" i="27"/>
  <c r="BF61" i="27"/>
  <c r="BA61" i="27"/>
  <c r="BA54" i="27"/>
  <c r="BE72" i="27" s="1"/>
  <c r="AZ54" i="27"/>
  <c r="AZ61" i="27"/>
  <c r="AX54" i="27"/>
  <c r="AX61" i="27"/>
  <c r="AW54" i="27"/>
  <c r="BA72" i="27" s="1"/>
  <c r="AW61" i="27"/>
  <c r="BB54" i="27"/>
  <c r="BB61" i="27"/>
  <c r="BC61" i="27"/>
  <c r="BC54" i="27"/>
  <c r="BG72" i="27" s="1"/>
  <c r="BH54" i="27"/>
  <c r="BH61" i="27"/>
  <c r="CW53" i="27"/>
  <c r="CW61" i="27" s="1"/>
  <c r="DW51" i="27"/>
  <c r="DW62" i="27" s="1"/>
  <c r="BR54" i="27"/>
  <c r="BR61" i="27"/>
  <c r="BY54" i="27"/>
  <c r="BY72" i="27" s="1"/>
  <c r="BY61" i="27"/>
  <c r="BP60" i="27"/>
  <c r="BP51" i="27"/>
  <c r="BJ62" i="27"/>
  <c r="BJ53" i="27"/>
  <c r="BN54" i="27"/>
  <c r="BN61" i="27"/>
  <c r="BM54" i="27"/>
  <c r="BM72" i="27" s="1"/>
  <c r="BM61" i="27"/>
  <c r="BQ54" i="27"/>
  <c r="BQ72" i="27" s="1"/>
  <c r="BQ61" i="27"/>
  <c r="BL53" i="27"/>
  <c r="BL62" i="27"/>
  <c r="EE19" i="27"/>
  <c r="CS60" i="27"/>
  <c r="CS51" i="27"/>
  <c r="DU53" i="27"/>
  <c r="DU54" i="27" s="1"/>
  <c r="DU62" i="27"/>
  <c r="BO54" i="27"/>
  <c r="BO72" i="27" s="1"/>
  <c r="BO61" i="27"/>
  <c r="DX51" i="27"/>
  <c r="BS53" i="27"/>
  <c r="BS62" i="27"/>
  <c r="DV53" i="27"/>
  <c r="DV61" i="27" s="1"/>
  <c r="DV62" i="27"/>
  <c r="DZ44" i="27"/>
  <c r="DZ52" i="27"/>
  <c r="CX62" i="27"/>
  <c r="CU53" i="27"/>
  <c r="CV53" i="27"/>
  <c r="CV61" i="27" s="1"/>
  <c r="CS64" i="27"/>
  <c r="CO45" i="27"/>
  <c r="CO49" i="27" s="1"/>
  <c r="CO51" i="27" s="1"/>
  <c r="CO62" i="27" s="1"/>
  <c r="CM49" i="27"/>
  <c r="CM51" i="27" s="1"/>
  <c r="CM62" i="27" s="1"/>
  <c r="CQ64" i="27"/>
  <c r="CR54" i="27"/>
  <c r="CR61" i="27"/>
  <c r="CN49" i="27"/>
  <c r="CN51" i="27" s="1"/>
  <c r="CN62" i="27" s="1"/>
  <c r="BX54" i="27"/>
  <c r="BX72" i="27" s="1"/>
  <c r="BX61" i="27"/>
  <c r="EB3" i="27"/>
  <c r="CA54" i="27"/>
  <c r="CA72" i="27" s="1"/>
  <c r="CA61" i="27"/>
  <c r="BV54" i="27"/>
  <c r="BV61" i="27"/>
  <c r="BZ54" i="27"/>
  <c r="BZ72" i="27" s="1"/>
  <c r="BZ61" i="27"/>
  <c r="EB48" i="27"/>
  <c r="EC47" i="27"/>
  <c r="CM58" i="27"/>
  <c r="CB61" i="27"/>
  <c r="CB54" i="27"/>
  <c r="CM59" i="27"/>
  <c r="CM57" i="27"/>
  <c r="CL60" i="27"/>
  <c r="CL57" i="27"/>
  <c r="CK53" i="27"/>
  <c r="CL62" i="27"/>
  <c r="CO58" i="27"/>
  <c r="CO59" i="27"/>
  <c r="CO64" i="27"/>
  <c r="CJ54" i="27"/>
  <c r="CJ61" i="27"/>
  <c r="CC61" i="27"/>
  <c r="CC54" i="27"/>
  <c r="CD61" i="27"/>
  <c r="CD54" i="27"/>
  <c r="CU61" i="27" l="1"/>
  <c r="CU54" i="27"/>
  <c r="CK61" i="27"/>
  <c r="CK99" i="27"/>
  <c r="DW53" i="27"/>
  <c r="DW54" i="27" s="1"/>
  <c r="CD72" i="27"/>
  <c r="CC72" i="27"/>
  <c r="CB72" i="27"/>
  <c r="BR72" i="27"/>
  <c r="BV72" i="27"/>
  <c r="BU72" i="27"/>
  <c r="BC72" i="27"/>
  <c r="BF72" i="27"/>
  <c r="BB72" i="27"/>
  <c r="DW61" i="27"/>
  <c r="DU61" i="27"/>
  <c r="BP53" i="27"/>
  <c r="BP62" i="27"/>
  <c r="BJ54" i="27"/>
  <c r="BJ61" i="27"/>
  <c r="BL61" i="27"/>
  <c r="BL54" i="27"/>
  <c r="BL72" i="27" s="1"/>
  <c r="EF19" i="27"/>
  <c r="DX53" i="27"/>
  <c r="DX61" i="27" s="1"/>
  <c r="DX62" i="27"/>
  <c r="BS54" i="27"/>
  <c r="BS61" i="27"/>
  <c r="CS62" i="27"/>
  <c r="CS53" i="27"/>
  <c r="CS99" i="27" s="1"/>
  <c r="CM60" i="27"/>
  <c r="CM53" i="27"/>
  <c r="CN64" i="27"/>
  <c r="CN58" i="27"/>
  <c r="CN59" i="27"/>
  <c r="CP45" i="27"/>
  <c r="EC3" i="27"/>
  <c r="ED47" i="27"/>
  <c r="EC48" i="27"/>
  <c r="CN60" i="27"/>
  <c r="CK54" i="27"/>
  <c r="CN53" i="27"/>
  <c r="CL53" i="27"/>
  <c r="CN57" i="27"/>
  <c r="CO60" i="27"/>
  <c r="CO57" i="27"/>
  <c r="CO53" i="27"/>
  <c r="CO99" i="27" s="1"/>
  <c r="CH48" i="27"/>
  <c r="CG48" i="27"/>
  <c r="CF48" i="27"/>
  <c r="CE48" i="27"/>
  <c r="CI48" i="27"/>
  <c r="CI43" i="27"/>
  <c r="CM64" i="27" s="1"/>
  <c r="CH43" i="27"/>
  <c r="CL64" i="27" s="1"/>
  <c r="CG43" i="27"/>
  <c r="CF43" i="27"/>
  <c r="CE43" i="27"/>
  <c r="CE64" i="27" s="1"/>
  <c r="BD50" i="27"/>
  <c r="BD48" i="27"/>
  <c r="AV69" i="27"/>
  <c r="AV71" i="27"/>
  <c r="AU71" i="27"/>
  <c r="AV70" i="27"/>
  <c r="AU70" i="27"/>
  <c r="AV172" i="27"/>
  <c r="AV50" i="27"/>
  <c r="AV48" i="27"/>
  <c r="AU172" i="27"/>
  <c r="DL55" i="27"/>
  <c r="AS48" i="27"/>
  <c r="AR172" i="27"/>
  <c r="AR50" i="27"/>
  <c r="AR48" i="27"/>
  <c r="AR29" i="27"/>
  <c r="AR19" i="27"/>
  <c r="AV68" i="27" s="1"/>
  <c r="AR18" i="27"/>
  <c r="AR16" i="27"/>
  <c r="AV175" i="27" s="1"/>
  <c r="AR8" i="27"/>
  <c r="AR7" i="27"/>
  <c r="AV173" i="27" s="1"/>
  <c r="AR6" i="27"/>
  <c r="AR4" i="27"/>
  <c r="AQ50" i="27"/>
  <c r="AQ48" i="27"/>
  <c r="AQ19" i="27"/>
  <c r="AQ29" i="27"/>
  <c r="AQ18" i="27"/>
  <c r="AQ16" i="27"/>
  <c r="AQ8" i="27"/>
  <c r="AQ7" i="27"/>
  <c r="AU173" i="27" s="1"/>
  <c r="AQ6" i="27"/>
  <c r="AQ4" i="27"/>
  <c r="AT70" i="27"/>
  <c r="DK55" i="27"/>
  <c r="DK52" i="27"/>
  <c r="DK47" i="27"/>
  <c r="DK46" i="27"/>
  <c r="DK44" i="27"/>
  <c r="DK42" i="27"/>
  <c r="AQ71" i="27"/>
  <c r="AP71" i="27"/>
  <c r="AO71" i="27"/>
  <c r="AS70" i="27"/>
  <c r="AR70" i="27"/>
  <c r="AQ70" i="27"/>
  <c r="AP70" i="27"/>
  <c r="AO70" i="27"/>
  <c r="AU69" i="27"/>
  <c r="AR71" i="27"/>
  <c r="AP48" i="27"/>
  <c r="AP172" i="27"/>
  <c r="AT172" i="27"/>
  <c r="AQ172" i="27"/>
  <c r="AP29" i="27"/>
  <c r="AP19" i="27"/>
  <c r="DK19" i="27" s="1"/>
  <c r="AP18" i="27"/>
  <c r="AP16" i="27"/>
  <c r="AP8" i="27"/>
  <c r="AP7" i="27"/>
  <c r="AP6" i="27"/>
  <c r="AP4" i="27"/>
  <c r="AP43" i="27" s="1"/>
  <c r="AO172" i="27"/>
  <c r="AO50" i="27"/>
  <c r="AO48" i="27"/>
  <c r="AO29" i="27"/>
  <c r="AO18" i="27"/>
  <c r="AO16" i="27"/>
  <c r="AO8" i="27"/>
  <c r="AO7" i="27"/>
  <c r="AO6" i="27"/>
  <c r="DK3" i="27"/>
  <c r="AO4" i="27"/>
  <c r="AO5" i="27" s="1"/>
  <c r="AN71" i="27"/>
  <c r="AN70" i="27"/>
  <c r="AN172" i="27"/>
  <c r="AN50" i="27"/>
  <c r="AN18" i="27"/>
  <c r="AN29" i="27"/>
  <c r="AN16" i="27"/>
  <c r="AN8" i="27"/>
  <c r="AN7" i="27"/>
  <c r="AN6" i="27"/>
  <c r="AN4" i="27"/>
  <c r="AN5" i="27" s="1"/>
  <c r="DD7" i="27"/>
  <c r="AM90" i="27"/>
  <c r="AM95" i="27" s="1"/>
  <c r="AM97" i="27" s="1"/>
  <c r="AM83" i="27"/>
  <c r="AM81" i="27"/>
  <c r="DJ3" i="27"/>
  <c r="AN48" i="27"/>
  <c r="DJ47" i="27"/>
  <c r="DJ46" i="27"/>
  <c r="DJ42" i="27"/>
  <c r="AM71" i="27"/>
  <c r="AM70" i="27"/>
  <c r="AM172" i="27"/>
  <c r="AL50" i="27"/>
  <c r="AL18" i="27"/>
  <c r="AL16" i="27"/>
  <c r="AL15" i="27"/>
  <c r="AL8" i="27"/>
  <c r="AL7" i="27"/>
  <c r="AL6" i="27"/>
  <c r="AL4" i="27"/>
  <c r="AL5" i="27" s="1"/>
  <c r="AM50" i="27"/>
  <c r="AM48" i="27"/>
  <c r="AM29" i="27"/>
  <c r="AM18" i="27"/>
  <c r="AM16" i="27"/>
  <c r="AM8" i="27"/>
  <c r="AM7" i="27"/>
  <c r="AM6" i="27"/>
  <c r="AM4" i="27"/>
  <c r="AK50" i="27"/>
  <c r="AK18" i="27"/>
  <c r="AK16" i="27"/>
  <c r="AK15" i="27"/>
  <c r="AK8" i="27"/>
  <c r="AK7" i="27"/>
  <c r="AK6" i="27"/>
  <c r="AK4" i="27"/>
  <c r="AK5" i="27" s="1"/>
  <c r="AJ50" i="27"/>
  <c r="AJ15" i="27"/>
  <c r="AJ18" i="27"/>
  <c r="AJ16" i="27"/>
  <c r="AJ8" i="27"/>
  <c r="AJ7" i="27"/>
  <c r="AJ6" i="27"/>
  <c r="AJ4" i="27"/>
  <c r="AJ5" i="27" s="1"/>
  <c r="DI3" i="27"/>
  <c r="AJ71" i="27"/>
  <c r="AJ48" i="27"/>
  <c r="AI71" i="27"/>
  <c r="AH71" i="27"/>
  <c r="AG71" i="27"/>
  <c r="AF71" i="27"/>
  <c r="AE71" i="27"/>
  <c r="AI70" i="27"/>
  <c r="AH70" i="27"/>
  <c r="AG70" i="27"/>
  <c r="AF70" i="27"/>
  <c r="AE70" i="27"/>
  <c r="AH15" i="27"/>
  <c r="AH18" i="27"/>
  <c r="AH16" i="27"/>
  <c r="AH8" i="27"/>
  <c r="AH7" i="27"/>
  <c r="AH6" i="27"/>
  <c r="AH4" i="27"/>
  <c r="AH5" i="27" s="1"/>
  <c r="AI172" i="27"/>
  <c r="AH172" i="27"/>
  <c r="AG172" i="27"/>
  <c r="AI48"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175" i="27" s="1"/>
  <c r="AE18" i="27"/>
  <c r="AF18" i="27"/>
  <c r="AG18" i="27"/>
  <c r="DI42" i="27"/>
  <c r="DI47" i="27"/>
  <c r="AA15" i="27"/>
  <c r="AB15" i="27"/>
  <c r="AA4" i="27"/>
  <c r="AA5" i="27" s="1"/>
  <c r="AB4" i="27"/>
  <c r="AB5" i="27" s="1"/>
  <c r="AH48" i="27"/>
  <c r="DK58" i="27"/>
  <c r="DL58" i="27" s="1"/>
  <c r="DM58" i="27" s="1"/>
  <c r="DN58" i="27" s="1"/>
  <c r="DO58" i="27" s="1"/>
  <c r="DP58" i="27" s="1"/>
  <c r="DQ58" i="27" s="1"/>
  <c r="DR58" i="27" s="1"/>
  <c r="DS58" i="27" s="1"/>
  <c r="DI55" i="27"/>
  <c r="DI46" i="27"/>
  <c r="DI50" i="27"/>
  <c r="DI52" i="27"/>
  <c r="AG48" i="27"/>
  <c r="AA16" i="27"/>
  <c r="AB16" i="27"/>
  <c r="AD16" i="27"/>
  <c r="DH18" i="27"/>
  <c r="DH42" i="27"/>
  <c r="AE172" i="27"/>
  <c r="AE48" i="27"/>
  <c r="AF172" i="27"/>
  <c r="AF48" i="27"/>
  <c r="DH55" i="27"/>
  <c r="DD3" i="27"/>
  <c r="DD172"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41" i="27" s="1"/>
  <c r="I4" i="27"/>
  <c r="I171"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173" i="27" s="1"/>
  <c r="Q7" i="27"/>
  <c r="R7" i="27"/>
  <c r="S7" i="27"/>
  <c r="T7" i="27"/>
  <c r="T173" i="27" s="1"/>
  <c r="U7" i="27"/>
  <c r="V7" i="27"/>
  <c r="W7" i="27"/>
  <c r="X7" i="27"/>
  <c r="Y7" i="27"/>
  <c r="Z7" i="27"/>
  <c r="I7" i="27"/>
  <c r="L7" i="27"/>
  <c r="L173" i="27" s="1"/>
  <c r="M7" i="27"/>
  <c r="N7" i="27"/>
  <c r="N173"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175" i="27" s="1"/>
  <c r="V16" i="27"/>
  <c r="V175" i="27" s="1"/>
  <c r="W16" i="27"/>
  <c r="X16" i="27"/>
  <c r="Y16" i="27"/>
  <c r="Y175" i="27" s="1"/>
  <c r="Z16" i="27"/>
  <c r="DG18" i="27"/>
  <c r="DA41" i="27"/>
  <c r="DA43" i="27" s="1"/>
  <c r="DB41" i="27"/>
  <c r="DC41" i="27"/>
  <c r="C41" i="27"/>
  <c r="D41" i="27"/>
  <c r="E41" i="27"/>
  <c r="F41" i="27"/>
  <c r="F43" i="27" s="1"/>
  <c r="F78" i="27" s="1"/>
  <c r="P41" i="27"/>
  <c r="DF42" i="27"/>
  <c r="DG42" i="27"/>
  <c r="C42" i="27"/>
  <c r="D42" i="27"/>
  <c r="E42" i="27"/>
  <c r="G42" i="27"/>
  <c r="H42" i="27"/>
  <c r="I42" i="27"/>
  <c r="J42" i="27"/>
  <c r="N42" i="27"/>
  <c r="O42" i="27"/>
  <c r="P42" i="27"/>
  <c r="Q42" i="27"/>
  <c r="DE46" i="27"/>
  <c r="DE70" i="27" s="1"/>
  <c r="DF46" i="27"/>
  <c r="DG46" i="27"/>
  <c r="DH46" i="27"/>
  <c r="DE47" i="27"/>
  <c r="DE71" i="27" s="1"/>
  <c r="DF47" i="27"/>
  <c r="DG47" i="27"/>
  <c r="DH47" i="27"/>
  <c r="G47" i="27"/>
  <c r="G48" i="27" s="1"/>
  <c r="H47" i="27"/>
  <c r="H48" i="27" s="1"/>
  <c r="I47" i="27"/>
  <c r="I48" i="27" s="1"/>
  <c r="J47" i="27"/>
  <c r="J48" i="27" s="1"/>
  <c r="K47" i="27"/>
  <c r="O71" i="27" s="1"/>
  <c r="M47" i="27"/>
  <c r="Q71" i="27" s="1"/>
  <c r="N47" i="27"/>
  <c r="N48" i="27" s="1"/>
  <c r="DA48" i="27"/>
  <c r="DB48" i="27"/>
  <c r="DC48" i="27"/>
  <c r="DD48" i="27"/>
  <c r="C48" i="27"/>
  <c r="D48" i="27"/>
  <c r="E48" i="27"/>
  <c r="L48" i="27"/>
  <c r="O48" i="27"/>
  <c r="P48" i="27"/>
  <c r="Q48" i="27"/>
  <c r="R48" i="27"/>
  <c r="S48" i="27"/>
  <c r="T48" i="27"/>
  <c r="U48" i="27"/>
  <c r="V48" i="27"/>
  <c r="W48" i="27"/>
  <c r="X48" i="27"/>
  <c r="Y48" i="27"/>
  <c r="Z48" i="27"/>
  <c r="AA48" i="27"/>
  <c r="AB48" i="27"/>
  <c r="AC48" i="27"/>
  <c r="AD48" i="27"/>
  <c r="DE50" i="27"/>
  <c r="DF50" i="27"/>
  <c r="DE52" i="27"/>
  <c r="DF52" i="27"/>
  <c r="DG52" i="27"/>
  <c r="DF55" i="27"/>
  <c r="DG55" i="27"/>
  <c r="DC171" i="27"/>
  <c r="DB172" i="27"/>
  <c r="DC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U175" i="27"/>
  <c r="DN70" i="27"/>
  <c r="DO70" i="27"/>
  <c r="O70" i="27"/>
  <c r="P70" i="27"/>
  <c r="Q70" i="27"/>
  <c r="R70" i="27"/>
  <c r="S70" i="27"/>
  <c r="T70" i="27"/>
  <c r="U70" i="27"/>
  <c r="V70" i="27"/>
  <c r="W70" i="27"/>
  <c r="X70" i="27"/>
  <c r="Y70" i="27"/>
  <c r="Z70" i="27"/>
  <c r="AA70" i="27"/>
  <c r="AB70" i="27"/>
  <c r="AC70" i="27"/>
  <c r="AD70" i="27"/>
  <c r="P71" i="27"/>
  <c r="S71" i="27"/>
  <c r="T71" i="27"/>
  <c r="U71" i="27"/>
  <c r="V71" i="27"/>
  <c r="W71" i="27"/>
  <c r="X71" i="27"/>
  <c r="Y71" i="27"/>
  <c r="Z71" i="27"/>
  <c r="AA71" i="27"/>
  <c r="AB71" i="27"/>
  <c r="AC71" i="27"/>
  <c r="AD71" i="27"/>
  <c r="Q135" i="27"/>
  <c r="R135" i="27" s="1"/>
  <c r="S135" i="27" s="1"/>
  <c r="T135" i="27" s="1"/>
  <c r="Q141" i="27"/>
  <c r="R141" i="27" s="1"/>
  <c r="S141" i="27" s="1"/>
  <c r="T141" i="27" s="1"/>
  <c r="U141" i="27" s="1"/>
  <c r="F74" i="27"/>
  <c r="I89" i="27"/>
  <c r="I90" i="27" s="1"/>
  <c r="I95" i="27" s="1"/>
  <c r="I97" i="27" s="1"/>
  <c r="J74" i="27"/>
  <c r="K74" i="27"/>
  <c r="L74" i="27"/>
  <c r="M74" i="27"/>
  <c r="N74" i="27"/>
  <c r="O74" i="27"/>
  <c r="P75" i="27"/>
  <c r="P74" i="27" s="1"/>
  <c r="Q74" i="27"/>
  <c r="R74" i="27"/>
  <c r="S74" i="27"/>
  <c r="T74" i="27"/>
  <c r="U74" i="27"/>
  <c r="V74" i="27"/>
  <c r="W75" i="27"/>
  <c r="W74" i="27" s="1"/>
  <c r="X74" i="27"/>
  <c r="Y74" i="27"/>
  <c r="Z89" i="27"/>
  <c r="Z74" i="27" s="1"/>
  <c r="AA74" i="27"/>
  <c r="AB74" i="27"/>
  <c r="F81" i="27"/>
  <c r="I81" i="27"/>
  <c r="J81" i="27"/>
  <c r="K81" i="27"/>
  <c r="L81" i="27"/>
  <c r="M81" i="27"/>
  <c r="N81" i="27"/>
  <c r="O81" i="27"/>
  <c r="Q81" i="27"/>
  <c r="R81" i="27"/>
  <c r="S81" i="27"/>
  <c r="T81" i="27"/>
  <c r="U81" i="27"/>
  <c r="V81" i="27"/>
  <c r="X81" i="27"/>
  <c r="Y81" i="27"/>
  <c r="Z81" i="27"/>
  <c r="AA81" i="27"/>
  <c r="F83" i="27"/>
  <c r="I83" i="27"/>
  <c r="J83" i="27"/>
  <c r="K83" i="27"/>
  <c r="L83" i="27"/>
  <c r="M83" i="27"/>
  <c r="N83" i="27"/>
  <c r="O83" i="27"/>
  <c r="P83" i="27"/>
  <c r="Q83" i="27"/>
  <c r="R83" i="27"/>
  <c r="S83" i="27"/>
  <c r="T83" i="27"/>
  <c r="U83" i="27"/>
  <c r="V83" i="27"/>
  <c r="W83" i="27"/>
  <c r="X83" i="27"/>
  <c r="Y83" i="27"/>
  <c r="Z83" i="27"/>
  <c r="AA83" i="27"/>
  <c r="F90" i="27"/>
  <c r="F95" i="27" s="1"/>
  <c r="F97" i="27" s="1"/>
  <c r="J90" i="27"/>
  <c r="J95" i="27" s="1"/>
  <c r="J97" i="27" s="1"/>
  <c r="K90" i="27"/>
  <c r="K95" i="27" s="1"/>
  <c r="K97" i="27" s="1"/>
  <c r="L90" i="27"/>
  <c r="L95" i="27" s="1"/>
  <c r="L97" i="27" s="1"/>
  <c r="M90" i="27"/>
  <c r="M95" i="27" s="1"/>
  <c r="M97" i="27" s="1"/>
  <c r="N90" i="27"/>
  <c r="N95" i="27" s="1"/>
  <c r="N97" i="27" s="1"/>
  <c r="O90" i="27"/>
  <c r="O95" i="27" s="1"/>
  <c r="O97" i="27" s="1"/>
  <c r="P90" i="27"/>
  <c r="P95" i="27" s="1"/>
  <c r="P97" i="27" s="1"/>
  <c r="Q90" i="27"/>
  <c r="Q95" i="27" s="1"/>
  <c r="Q97" i="27" s="1"/>
  <c r="R90" i="27"/>
  <c r="R95" i="27" s="1"/>
  <c r="R97" i="27" s="1"/>
  <c r="S90" i="27"/>
  <c r="S95" i="27" s="1"/>
  <c r="S97" i="27" s="1"/>
  <c r="T90" i="27"/>
  <c r="T95" i="27" s="1"/>
  <c r="T97" i="27" s="1"/>
  <c r="U90" i="27"/>
  <c r="U95" i="27" s="1"/>
  <c r="U97" i="27" s="1"/>
  <c r="V90" i="27"/>
  <c r="V95" i="27" s="1"/>
  <c r="V97" i="27" s="1"/>
  <c r="W90" i="27"/>
  <c r="W95" i="27" s="1"/>
  <c r="W97" i="27" s="1"/>
  <c r="X90" i="27"/>
  <c r="X95" i="27" s="1"/>
  <c r="X97" i="27" s="1"/>
  <c r="Y90" i="27"/>
  <c r="Y95" i="27" s="1"/>
  <c r="Y97" i="27" s="1"/>
  <c r="AA90" i="27"/>
  <c r="AA95" i="27" s="1"/>
  <c r="AA97" i="27" s="1"/>
  <c r="E107" i="27"/>
  <c r="F107" i="27" s="1"/>
  <c r="H107" i="27"/>
  <c r="I107" i="27" s="1"/>
  <c r="J107" i="27" s="1"/>
  <c r="L107" i="27"/>
  <c r="M107" i="27" s="1"/>
  <c r="N107" i="27" s="1"/>
  <c r="P107" i="27"/>
  <c r="Q107" i="27" s="1"/>
  <c r="R107" i="27" s="1"/>
  <c r="T107" i="27"/>
  <c r="U107" i="27" s="1"/>
  <c r="V107" i="27" s="1"/>
  <c r="X107" i="27"/>
  <c r="Y107" i="27" s="1"/>
  <c r="F99" i="27"/>
  <c r="W102" i="27"/>
  <c r="X102" i="27"/>
  <c r="Y102" i="27"/>
  <c r="J4" i="1"/>
  <c r="J7" i="1" s="1"/>
  <c r="AK71" i="27"/>
  <c r="AJ172" i="27"/>
  <c r="AJ70" i="27"/>
  <c r="AL70" i="27"/>
  <c r="AK172" i="27"/>
  <c r="AL71" i="27"/>
  <c r="AK48" i="27"/>
  <c r="AL48" i="27"/>
  <c r="AK70" i="27"/>
  <c r="AL172" i="27"/>
  <c r="CL61" i="27" l="1"/>
  <c r="CL99" i="27"/>
  <c r="AU171" i="27"/>
  <c r="AQ43" i="27"/>
  <c r="DB43" i="27"/>
  <c r="DB66" i="27"/>
  <c r="AV171" i="27"/>
  <c r="AR43" i="27"/>
  <c r="DA45" i="27"/>
  <c r="DA57" i="27" s="1"/>
  <c r="DA58" i="27"/>
  <c r="DA59" i="27"/>
  <c r="DC43" i="27"/>
  <c r="DC45" i="27" s="1"/>
  <c r="DC66" i="27"/>
  <c r="BW72" i="27"/>
  <c r="BS72" i="27"/>
  <c r="BJ72" i="27"/>
  <c r="BN72" i="27"/>
  <c r="BD45" i="27"/>
  <c r="BD57" i="27" s="1"/>
  <c r="BD59" i="27"/>
  <c r="BD58" i="27"/>
  <c r="BP54" i="27"/>
  <c r="BP61" i="27"/>
  <c r="EG19" i="27"/>
  <c r="CS61" i="27"/>
  <c r="CS54" i="27"/>
  <c r="CN54" i="27"/>
  <c r="CN99" i="27"/>
  <c r="CM54" i="27"/>
  <c r="CM99" i="27"/>
  <c r="CM61" i="27"/>
  <c r="CP59" i="27"/>
  <c r="CP64" i="27"/>
  <c r="CP49" i="27"/>
  <c r="CP51" i="27" s="1"/>
  <c r="CP62" i="27" s="1"/>
  <c r="G41" i="27"/>
  <c r="G43" i="27" s="1"/>
  <c r="CP57" i="27"/>
  <c r="CP58" i="27"/>
  <c r="AS172" i="27"/>
  <c r="AS71" i="27"/>
  <c r="AU175" i="27"/>
  <c r="AV59" i="27"/>
  <c r="EA42" i="27"/>
  <c r="ED3" i="27"/>
  <c r="CL54" i="27"/>
  <c r="DX54" i="27"/>
  <c r="DY43" i="27"/>
  <c r="ED48" i="27"/>
  <c r="EE47" i="27"/>
  <c r="P171" i="27"/>
  <c r="DG172" i="27"/>
  <c r="AQ173" i="27"/>
  <c r="DL47" i="27"/>
  <c r="DL71" i="27" s="1"/>
  <c r="AS171" i="27"/>
  <c r="DL3" i="27"/>
  <c r="DM3" i="27" s="1"/>
  <c r="DN3" i="27" s="1"/>
  <c r="DO3" i="27" s="1"/>
  <c r="DP3" i="27" s="1"/>
  <c r="DQ3" i="27" s="1"/>
  <c r="I74" i="27"/>
  <c r="CN61" i="27"/>
  <c r="AB171" i="27"/>
  <c r="DL46" i="27"/>
  <c r="DM70" i="27" s="1"/>
  <c r="AC175" i="27"/>
  <c r="AF174" i="27"/>
  <c r="CF64" i="27"/>
  <c r="CJ64" i="27"/>
  <c r="CG64" i="27"/>
  <c r="CK64" i="27"/>
  <c r="CO54" i="27"/>
  <c r="CO72" i="27" s="1"/>
  <c r="CO61" i="27"/>
  <c r="CE45" i="27"/>
  <c r="CE57" i="27" s="1"/>
  <c r="CE58" i="27"/>
  <c r="CE59" i="27"/>
  <c r="CI64" i="27"/>
  <c r="CI59" i="27"/>
  <c r="CI58" i="27"/>
  <c r="CI45" i="27"/>
  <c r="CF59" i="27"/>
  <c r="CF58" i="27"/>
  <c r="CF45" i="27"/>
  <c r="CF57" i="27" s="1"/>
  <c r="CG58" i="27"/>
  <c r="CG59" i="27"/>
  <c r="CG45" i="27"/>
  <c r="CG57" i="27" s="1"/>
  <c r="CH45" i="27"/>
  <c r="CH57" i="27" s="1"/>
  <c r="CH64" i="27"/>
  <c r="CH59" i="27"/>
  <c r="CH58" i="27"/>
  <c r="AL173" i="27"/>
  <c r="DG6" i="27"/>
  <c r="AM175" i="27"/>
  <c r="M173" i="27"/>
  <c r="AG173" i="27"/>
  <c r="DG48" i="27"/>
  <c r="DF16" i="27"/>
  <c r="G174" i="27"/>
  <c r="AL171" i="27"/>
  <c r="AK173" i="27"/>
  <c r="AQ175" i="27"/>
  <c r="AR171" i="27"/>
  <c r="DG71" i="27"/>
  <c r="AT174" i="27"/>
  <c r="AE171" i="27"/>
  <c r="AO171" i="27"/>
  <c r="DH172" i="27"/>
  <c r="P173" i="27"/>
  <c r="AK175" i="27"/>
  <c r="M85" i="27"/>
  <c r="R71" i="27"/>
  <c r="S171" i="27"/>
  <c r="K48" i="27"/>
  <c r="F85" i="27"/>
  <c r="DF70" i="27"/>
  <c r="Z175" i="27"/>
  <c r="U41" i="27"/>
  <c r="U43" i="27" s="1"/>
  <c r="U58" i="27" s="1"/>
  <c r="W173" i="27"/>
  <c r="J85" i="27"/>
  <c r="AA175" i="27"/>
  <c r="AP174" i="27"/>
  <c r="AG171" i="27"/>
  <c r="AP171" i="27"/>
  <c r="AE175" i="27"/>
  <c r="AK171" i="27"/>
  <c r="J171" i="27"/>
  <c r="AT71" i="27"/>
  <c r="AT48" i="27"/>
  <c r="DI172" i="27"/>
  <c r="DH71" i="27"/>
  <c r="DJ7" i="27"/>
  <c r="AE174" i="27"/>
  <c r="AA173" i="27"/>
  <c r="DH15" i="27"/>
  <c r="Y173" i="27"/>
  <c r="Z90" i="27"/>
  <c r="Z95" i="27" s="1"/>
  <c r="Z97" i="27" s="1"/>
  <c r="DH16" i="27"/>
  <c r="AB175" i="27"/>
  <c r="I85" i="27"/>
  <c r="DF71" i="27"/>
  <c r="AI171" i="27"/>
  <c r="X85" i="27"/>
  <c r="AN171" i="27"/>
  <c r="AB173" i="27"/>
  <c r="DE6" i="27"/>
  <c r="AJ174" i="27"/>
  <c r="DH7" i="27"/>
  <c r="AN173" i="27"/>
  <c r="AK41" i="27"/>
  <c r="AK43" i="27" s="1"/>
  <c r="AK45" i="27" s="1"/>
  <c r="DJ6" i="27"/>
  <c r="DH4" i="27"/>
  <c r="DH5" i="27" s="1"/>
  <c r="DE48" i="27"/>
  <c r="S5" i="27"/>
  <c r="S174" i="27" s="1"/>
  <c r="AO175" i="27"/>
  <c r="AH171" i="27"/>
  <c r="N171" i="27"/>
  <c r="AF173" i="27"/>
  <c r="AM171" i="27"/>
  <c r="AD171" i="27"/>
  <c r="AH175" i="27"/>
  <c r="DK6" i="27"/>
  <c r="DK50" i="27"/>
  <c r="DJ4" i="27"/>
  <c r="Y171" i="27"/>
  <c r="E43" i="27"/>
  <c r="E45" i="27" s="1"/>
  <c r="E49" i="27" s="1"/>
  <c r="E51" i="27" s="1"/>
  <c r="E53" i="27" s="1"/>
  <c r="W171" i="27"/>
  <c r="DG15" i="27"/>
  <c r="AH174" i="27"/>
  <c r="O41" i="27"/>
  <c r="O43" i="27" s="1"/>
  <c r="O143" i="27" s="1"/>
  <c r="O145" i="27" s="1"/>
  <c r="O85" i="27"/>
  <c r="DF8" i="27"/>
  <c r="J174" i="27"/>
  <c r="U171" i="27"/>
  <c r="DK70" i="27"/>
  <c r="AM173" i="27"/>
  <c r="M48" i="27"/>
  <c r="AI41" i="27"/>
  <c r="AI43" i="27" s="1"/>
  <c r="AI58" i="27" s="1"/>
  <c r="W81" i="27"/>
  <c r="W85" i="27" s="1"/>
  <c r="AD173" i="27"/>
  <c r="DG16" i="27"/>
  <c r="Q174" i="27"/>
  <c r="DI70" i="27"/>
  <c r="AA41" i="27"/>
  <c r="AA43" i="27" s="1"/>
  <c r="AA140" i="27" s="1"/>
  <c r="AA142" i="27" s="1"/>
  <c r="AE173" i="27"/>
  <c r="AH173" i="27"/>
  <c r="DG7" i="27"/>
  <c r="AD41" i="27"/>
  <c r="AD43" i="27" s="1"/>
  <c r="AD58" i="27" s="1"/>
  <c r="J41" i="27"/>
  <c r="J43" i="27" s="1"/>
  <c r="X41" i="27"/>
  <c r="X43" i="27" s="1"/>
  <c r="I41" i="27"/>
  <c r="I43" i="27" s="1"/>
  <c r="T85" i="27"/>
  <c r="DI4" i="27"/>
  <c r="AF171" i="27"/>
  <c r="S85" i="27"/>
  <c r="DF48" i="27"/>
  <c r="U174" i="27"/>
  <c r="AJ171" i="27"/>
  <c r="AI174" i="27"/>
  <c r="N5" i="27"/>
  <c r="N174" i="27" s="1"/>
  <c r="AE41" i="27"/>
  <c r="N41" i="27"/>
  <c r="N43" i="27" s="1"/>
  <c r="M171" i="27"/>
  <c r="U173" i="27"/>
  <c r="DK4" i="27"/>
  <c r="DK5" i="27" s="1"/>
  <c r="DJ70" i="27"/>
  <c r="X173" i="27"/>
  <c r="R85" i="27"/>
  <c r="DF15" i="27"/>
  <c r="DJ15" i="27"/>
  <c r="AM85" i="27"/>
  <c r="AQ171" i="27"/>
  <c r="AI175" i="27"/>
  <c r="AM5" i="27"/>
  <c r="AM174" i="27" s="1"/>
  <c r="AF41" i="27"/>
  <c r="AF43" i="27" s="1"/>
  <c r="DI8" i="27"/>
  <c r="DK48" i="27"/>
  <c r="AJ173" i="27"/>
  <c r="Z5" i="27"/>
  <c r="Z174" i="27" s="1"/>
  <c r="DB174" i="27"/>
  <c r="AB41" i="27"/>
  <c r="AB43" i="27" s="1"/>
  <c r="DI7" i="27"/>
  <c r="Y5" i="27"/>
  <c r="Y174" i="27" s="1"/>
  <c r="AC171" i="27"/>
  <c r="M41" i="27"/>
  <c r="DF6" i="27"/>
  <c r="X175" i="27"/>
  <c r="P81" i="27"/>
  <c r="P85" i="27" s="1"/>
  <c r="Z171" i="27"/>
  <c r="AI173" i="27"/>
  <c r="R171" i="27"/>
  <c r="DK18" i="27"/>
  <c r="DF7" i="27"/>
  <c r="Q171" i="27"/>
  <c r="K174" i="27"/>
  <c r="K171" i="27"/>
  <c r="DF4" i="27"/>
  <c r="DF5" i="27" s="1"/>
  <c r="DI16" i="27"/>
  <c r="DG4" i="27"/>
  <c r="AG174" i="27"/>
  <c r="X171" i="27"/>
  <c r="DH6" i="27"/>
  <c r="AH41" i="27"/>
  <c r="AL174" i="27"/>
  <c r="S41" i="27"/>
  <c r="S43" i="27" s="1"/>
  <c r="S59" i="27" s="1"/>
  <c r="DF172" i="27"/>
  <c r="DH176" i="27"/>
  <c r="DK29" i="27"/>
  <c r="K41" i="27"/>
  <c r="I5" i="27"/>
  <c r="T41" i="27"/>
  <c r="W175" i="27"/>
  <c r="L85" i="27"/>
  <c r="C43" i="27"/>
  <c r="C45" i="27" s="1"/>
  <c r="C49" i="27" s="1"/>
  <c r="C51" i="27" s="1"/>
  <c r="C53" i="27" s="1"/>
  <c r="C54" i="27" s="1"/>
  <c r="H43" i="27"/>
  <c r="DK8" i="27"/>
  <c r="AD175" i="27"/>
  <c r="AT69" i="27"/>
  <c r="Y41" i="27"/>
  <c r="Y43" i="27" s="1"/>
  <c r="Y78" i="27" s="1"/>
  <c r="DD4" i="27"/>
  <c r="AC173" i="27"/>
  <c r="W41" i="27"/>
  <c r="O171" i="27"/>
  <c r="DJ71" i="27"/>
  <c r="AN175" i="27"/>
  <c r="DL20" i="27"/>
  <c r="DM20" i="27" s="1"/>
  <c r="DN20" i="27" s="1"/>
  <c r="DO20" i="27" s="1"/>
  <c r="DP20" i="27" s="1"/>
  <c r="DQ20" i="27" s="1"/>
  <c r="W5" i="27"/>
  <c r="DG70" i="27"/>
  <c r="AM41" i="27"/>
  <c r="AM43" i="27" s="1"/>
  <c r="DJ8" i="27"/>
  <c r="T171" i="27"/>
  <c r="V85" i="27"/>
  <c r="S173" i="27"/>
  <c r="DC174" i="27"/>
  <c r="U135" i="27"/>
  <c r="V135" i="27" s="1"/>
  <c r="W135" i="27" s="1"/>
  <c r="X135" i="27" s="1"/>
  <c r="AK174" i="27"/>
  <c r="AO174" i="27"/>
  <c r="T174" i="27"/>
  <c r="P174" i="27"/>
  <c r="DL7" i="27"/>
  <c r="DM7" i="27" s="1"/>
  <c r="DN7" i="27" s="1"/>
  <c r="DO7" i="27" s="1"/>
  <c r="DP7" i="27" s="1"/>
  <c r="DQ7" i="27" s="1"/>
  <c r="AS173" i="27"/>
  <c r="DB64" i="27"/>
  <c r="DB45" i="27"/>
  <c r="O174" i="27"/>
  <c r="V171" i="27"/>
  <c r="L171" i="27"/>
  <c r="AB174" i="27"/>
  <c r="DJ48" i="27"/>
  <c r="Y85" i="27"/>
  <c r="DK71" i="27"/>
  <c r="AO41" i="27"/>
  <c r="AO43" i="27" s="1"/>
  <c r="AT173" i="27"/>
  <c r="Q41" i="27"/>
  <c r="AG41" i="27"/>
  <c r="AG43" i="27" s="1"/>
  <c r="AJ175" i="27"/>
  <c r="AN41" i="27"/>
  <c r="DE172" i="27"/>
  <c r="P43" i="27"/>
  <c r="AF175" i="27"/>
  <c r="AA171" i="27"/>
  <c r="AL175" i="27"/>
  <c r="AP175" i="27"/>
  <c r="R41" i="27"/>
  <c r="R43" i="27" s="1"/>
  <c r="R143" i="27" s="1"/>
  <c r="R145" i="27" s="1"/>
  <c r="DK16" i="27"/>
  <c r="AP173" i="27"/>
  <c r="AJ41" i="27"/>
  <c r="R5" i="27"/>
  <c r="V174" i="27" s="1"/>
  <c r="DJ18" i="27"/>
  <c r="Z41" i="27"/>
  <c r="Z43" i="27" s="1"/>
  <c r="Z140" i="27" s="1"/>
  <c r="Z142" i="27" s="1"/>
  <c r="DE4" i="27"/>
  <c r="H5" i="27"/>
  <c r="H174" i="27" s="1"/>
  <c r="K85" i="27"/>
  <c r="DI15" i="27"/>
  <c r="AO173" i="27"/>
  <c r="X174" i="27"/>
  <c r="DI48" i="27"/>
  <c r="DI6" i="27"/>
  <c r="AR175" i="27"/>
  <c r="DH70" i="27"/>
  <c r="D43" i="27"/>
  <c r="D45" i="27" s="1"/>
  <c r="D49" i="27" s="1"/>
  <c r="D51" i="27" s="1"/>
  <c r="D53" i="27" s="1"/>
  <c r="D54" i="27" s="1"/>
  <c r="DK7" i="27"/>
  <c r="V41" i="27"/>
  <c r="DH48" i="27"/>
  <c r="DG8" i="27"/>
  <c r="Q85" i="27"/>
  <c r="L41" i="27"/>
  <c r="V173" i="27"/>
  <c r="AP59" i="27"/>
  <c r="DI71" i="27"/>
  <c r="AN174" i="27"/>
  <c r="AA85" i="27"/>
  <c r="DI18" i="27"/>
  <c r="R173" i="27"/>
  <c r="Z85" i="27"/>
  <c r="N85" i="27"/>
  <c r="DH8" i="27"/>
  <c r="DJ16" i="27"/>
  <c r="AL41" i="27"/>
  <c r="AL43" i="27" s="1"/>
  <c r="DL8" i="27"/>
  <c r="DM8" i="27" s="1"/>
  <c r="DN8" i="27" s="1"/>
  <c r="DO8" i="27" s="1"/>
  <c r="DP8" i="27" s="1"/>
  <c r="DQ8" i="27" s="1"/>
  <c r="V141" i="27"/>
  <c r="DL18" i="27"/>
  <c r="DM18" i="27" s="1"/>
  <c r="DN18" i="27" s="1"/>
  <c r="DO18" i="27" s="1"/>
  <c r="U85" i="27"/>
  <c r="DL29" i="27"/>
  <c r="AC41" i="27"/>
  <c r="DE7" i="27"/>
  <c r="Q173" i="27"/>
  <c r="Z173" i="27"/>
  <c r="AR173" i="27"/>
  <c r="I45" i="27" l="1"/>
  <c r="I49" i="27" s="1"/>
  <c r="I51" i="27" s="1"/>
  <c r="I53" i="27" s="1"/>
  <c r="I99" i="27" s="1"/>
  <c r="I64" i="27"/>
  <c r="H45" i="27"/>
  <c r="H49" i="27" s="1"/>
  <c r="H51" i="27" s="1"/>
  <c r="H64" i="27"/>
  <c r="J78" i="27"/>
  <c r="J64" i="27"/>
  <c r="DC64" i="27"/>
  <c r="G45" i="27"/>
  <c r="G49" i="27" s="1"/>
  <c r="G51" i="27" s="1"/>
  <c r="G53" i="27" s="1"/>
  <c r="G54" i="27" s="1"/>
  <c r="G64" i="27"/>
  <c r="CS72" i="27"/>
  <c r="CN72" i="27"/>
  <c r="CR72" i="27"/>
  <c r="DB49" i="27"/>
  <c r="DB57" i="27"/>
  <c r="DC49" i="27"/>
  <c r="DC57" i="27"/>
  <c r="DC59" i="27"/>
  <c r="DC58" i="27"/>
  <c r="BD49" i="27"/>
  <c r="BD51" i="27" s="1"/>
  <c r="DA49" i="27"/>
  <c r="DB59" i="27"/>
  <c r="DB58" i="27"/>
  <c r="CQ72" i="27"/>
  <c r="BP72" i="27"/>
  <c r="BT72" i="27"/>
  <c r="EH19" i="27"/>
  <c r="DY45" i="27"/>
  <c r="DY59" i="27"/>
  <c r="DY64" i="27"/>
  <c r="DY58" i="27"/>
  <c r="CP60" i="27"/>
  <c r="CP53" i="27"/>
  <c r="AV45" i="27"/>
  <c r="AV57" i="27" s="1"/>
  <c r="AT175" i="27"/>
  <c r="AV58" i="27"/>
  <c r="DL16" i="27"/>
  <c r="DM16" i="27" s="1"/>
  <c r="DN16" i="27" s="1"/>
  <c r="DO16" i="27" s="1"/>
  <c r="DP16" i="27" s="1"/>
  <c r="DQ16" i="27" s="1"/>
  <c r="AS175" i="27"/>
  <c r="AS174" i="27"/>
  <c r="EE3" i="27"/>
  <c r="EB42" i="27"/>
  <c r="EA37" i="27"/>
  <c r="EA41" i="27" s="1"/>
  <c r="DZ43" i="27"/>
  <c r="EF47" i="27"/>
  <c r="EE48" i="27"/>
  <c r="AV174" i="27"/>
  <c r="DL48" i="27"/>
  <c r="AR174" i="27"/>
  <c r="DL70" i="27"/>
  <c r="CE49" i="27"/>
  <c r="CE51" i="27" s="1"/>
  <c r="CH49" i="27"/>
  <c r="CH51" i="27" s="1"/>
  <c r="CI49" i="27"/>
  <c r="CI57" i="27"/>
  <c r="CF49" i="27"/>
  <c r="CG49" i="27"/>
  <c r="DL4" i="27"/>
  <c r="DL5" i="27" s="1"/>
  <c r="DL174" i="27" s="1"/>
  <c r="AT171" i="27"/>
  <c r="AA143" i="27"/>
  <c r="AA145" i="27" s="1"/>
  <c r="AK58" i="27"/>
  <c r="AK59" i="27"/>
  <c r="AA45" i="27"/>
  <c r="AA49" i="27" s="1"/>
  <c r="AA146" i="27"/>
  <c r="AA148" i="27" s="1"/>
  <c r="AA66" i="27"/>
  <c r="AA59" i="27"/>
  <c r="AK64" i="27"/>
  <c r="AA134" i="27"/>
  <c r="AA136" i="27" s="1"/>
  <c r="U134" i="27"/>
  <c r="U136" i="27" s="1"/>
  <c r="U45" i="27"/>
  <c r="U57" i="27" s="1"/>
  <c r="U132" i="27" s="1"/>
  <c r="U140" i="27"/>
  <c r="U142" i="27" s="1"/>
  <c r="U143" i="27"/>
  <c r="U145" i="27" s="1"/>
  <c r="U146" i="27"/>
  <c r="U148" i="27" s="1"/>
  <c r="AA78" i="27"/>
  <c r="U78" i="27"/>
  <c r="U137" i="27"/>
  <c r="U139" i="27" s="1"/>
  <c r="U59" i="27"/>
  <c r="O58" i="27"/>
  <c r="O78" i="27"/>
  <c r="O140" i="27"/>
  <c r="O142" i="27" s="1"/>
  <c r="DI173" i="27"/>
  <c r="DJ171" i="27"/>
  <c r="DH175" i="27"/>
  <c r="DF173" i="27"/>
  <c r="AA137" i="27"/>
  <c r="AA139" i="27" s="1"/>
  <c r="AA58" i="27"/>
  <c r="AR59" i="27"/>
  <c r="S64" i="27"/>
  <c r="O134" i="27"/>
  <c r="O136" i="27" s="1"/>
  <c r="O146" i="27"/>
  <c r="O148" i="27" s="1"/>
  <c r="O59" i="27"/>
  <c r="O45" i="27"/>
  <c r="O137" i="27"/>
  <c r="O139" i="27" s="1"/>
  <c r="E62" i="27"/>
  <c r="N78" i="27"/>
  <c r="N146" i="27"/>
  <c r="N148" i="27" s="1"/>
  <c r="N143" i="27"/>
  <c r="N145" i="27" s="1"/>
  <c r="N59" i="27"/>
  <c r="N58" i="27"/>
  <c r="N134" i="27"/>
  <c r="N136" i="27" s="1"/>
  <c r="N140" i="27"/>
  <c r="N142" i="27" s="1"/>
  <c r="N137" i="27"/>
  <c r="N139" i="27" s="1"/>
  <c r="DH41" i="27"/>
  <c r="DH43" i="27" s="1"/>
  <c r="DH58" i="27" s="1"/>
  <c r="AC174" i="27"/>
  <c r="DJ5" i="27"/>
  <c r="Y45" i="27"/>
  <c r="Y49" i="27" s="1"/>
  <c r="AE66" i="27"/>
  <c r="W43" i="27"/>
  <c r="W64" i="27" s="1"/>
  <c r="Y146" i="27"/>
  <c r="Y148" i="27" s="1"/>
  <c r="I54" i="27"/>
  <c r="Y140" i="27"/>
  <c r="AD174" i="27"/>
  <c r="I62" i="27"/>
  <c r="AP58" i="27"/>
  <c r="I78" i="27"/>
  <c r="AB66" i="27"/>
  <c r="M66" i="27"/>
  <c r="Y64" i="27"/>
  <c r="DG173" i="27"/>
  <c r="DH173" i="27"/>
  <c r="X66" i="27"/>
  <c r="S137" i="27"/>
  <c r="S139" i="27" s="1"/>
  <c r="DG41" i="27"/>
  <c r="DG43" i="27" s="1"/>
  <c r="AE43" i="27"/>
  <c r="AE58" i="27" s="1"/>
  <c r="AH66" i="27"/>
  <c r="AF45" i="27"/>
  <c r="AF49" i="27" s="1"/>
  <c r="AF64" i="27"/>
  <c r="AI45" i="27"/>
  <c r="AP45" i="27"/>
  <c r="AP49" i="27" s="1"/>
  <c r="N66" i="27"/>
  <c r="AP66" i="27"/>
  <c r="AF66" i="27"/>
  <c r="AI66" i="27"/>
  <c r="DI5" i="27"/>
  <c r="DI174" i="27" s="1"/>
  <c r="DI171" i="27"/>
  <c r="J45" i="27"/>
  <c r="J49" i="27" s="1"/>
  <c r="J51" i="27" s="1"/>
  <c r="J62" i="27" s="1"/>
  <c r="AM66" i="27"/>
  <c r="AI59" i="27"/>
  <c r="AH43" i="27"/>
  <c r="AH45" i="27" s="1"/>
  <c r="AH57" i="27" s="1"/>
  <c r="AF58" i="27"/>
  <c r="Y137" i="27"/>
  <c r="Y139" i="27" s="1"/>
  <c r="M43" i="27"/>
  <c r="M64" i="27" s="1"/>
  <c r="AF59" i="27"/>
  <c r="Z66" i="27"/>
  <c r="DK41" i="27"/>
  <c r="DK43" i="27" s="1"/>
  <c r="AB45" i="27"/>
  <c r="AB58" i="27"/>
  <c r="AB59" i="27"/>
  <c r="AU174" i="27"/>
  <c r="Y66" i="27"/>
  <c r="Y58" i="27"/>
  <c r="E99" i="27"/>
  <c r="E54" i="27"/>
  <c r="AQ174" i="27"/>
  <c r="Y143" i="27"/>
  <c r="Y145" i="27" s="1"/>
  <c r="Y134" i="27"/>
  <c r="Y136" i="27" s="1"/>
  <c r="Y59" i="27"/>
  <c r="S146" i="27"/>
  <c r="S148" i="27" s="1"/>
  <c r="DG5" i="27"/>
  <c r="DG171" i="27"/>
  <c r="DH171" i="27"/>
  <c r="S58" i="27"/>
  <c r="S66" i="27"/>
  <c r="AS68" i="27"/>
  <c r="DL19" i="27"/>
  <c r="S143" i="27"/>
  <c r="S145" i="27" s="1"/>
  <c r="DF41" i="27"/>
  <c r="DF43" i="27" s="1"/>
  <c r="T43" i="27"/>
  <c r="T64" i="27" s="1"/>
  <c r="T66" i="27"/>
  <c r="V43" i="27"/>
  <c r="V78" i="27" s="1"/>
  <c r="V66" i="27"/>
  <c r="R137" i="27"/>
  <c r="R139" i="27" s="1"/>
  <c r="DD171" i="27"/>
  <c r="DD5" i="27"/>
  <c r="DD174" i="27" s="1"/>
  <c r="N45" i="27"/>
  <c r="N64" i="27"/>
  <c r="AK66" i="27"/>
  <c r="AA174" i="27"/>
  <c r="W174" i="27"/>
  <c r="M174" i="27"/>
  <c r="I174" i="27"/>
  <c r="S140" i="27"/>
  <c r="S142" i="27" s="1"/>
  <c r="S45" i="27"/>
  <c r="S49" i="27" s="1"/>
  <c r="K43" i="27"/>
  <c r="K66" i="27"/>
  <c r="S134" i="27"/>
  <c r="S136" i="27" s="1"/>
  <c r="AP64" i="27"/>
  <c r="W66" i="27"/>
  <c r="S78" i="27"/>
  <c r="O66" i="27"/>
  <c r="DD41" i="27"/>
  <c r="Q43" i="27"/>
  <c r="Q66" i="27"/>
  <c r="U66" i="27"/>
  <c r="P59" i="27"/>
  <c r="P45" i="27"/>
  <c r="P137" i="27"/>
  <c r="P139" i="27" s="1"/>
  <c r="P134" i="27"/>
  <c r="P136" i="27" s="1"/>
  <c r="P58" i="27"/>
  <c r="P78" i="27"/>
  <c r="P140" i="27"/>
  <c r="P142" i="27" s="1"/>
  <c r="P143" i="27"/>
  <c r="P145" i="27" s="1"/>
  <c r="P146" i="27"/>
  <c r="P148" i="27" s="1"/>
  <c r="R174" i="27"/>
  <c r="R134" i="27"/>
  <c r="R136" i="27" s="1"/>
  <c r="AJ66" i="27"/>
  <c r="AJ43" i="27"/>
  <c r="AR66" i="27"/>
  <c r="AN43" i="27"/>
  <c r="AN66" i="27"/>
  <c r="AQ66" i="27"/>
  <c r="AL66" i="27"/>
  <c r="AL45" i="27"/>
  <c r="AL59" i="27"/>
  <c r="AL58" i="27"/>
  <c r="R66" i="27"/>
  <c r="AM58" i="27"/>
  <c r="AM78" i="27"/>
  <c r="AM59" i="27"/>
  <c r="AM64" i="27"/>
  <c r="AM45" i="27"/>
  <c r="AK57" i="27"/>
  <c r="AK49" i="27"/>
  <c r="AB64" i="27"/>
  <c r="X134" i="27"/>
  <c r="X136" i="27" s="1"/>
  <c r="X143" i="27"/>
  <c r="X145" i="27" s="1"/>
  <c r="X146" i="27"/>
  <c r="X148" i="27" s="1"/>
  <c r="X140" i="27"/>
  <c r="X45" i="27"/>
  <c r="X137" i="27"/>
  <c r="X139" i="27" s="1"/>
  <c r="X78" i="27"/>
  <c r="X58" i="27"/>
  <c r="X59" i="27"/>
  <c r="H62" i="27"/>
  <c r="H53" i="27"/>
  <c r="AD45" i="27"/>
  <c r="AD64" i="27"/>
  <c r="AD59" i="27"/>
  <c r="P66" i="27"/>
  <c r="L43" i="27"/>
  <c r="L66" i="27"/>
  <c r="R58" i="27"/>
  <c r="R45" i="27"/>
  <c r="R146" i="27"/>
  <c r="R148" i="27" s="1"/>
  <c r="R64" i="27"/>
  <c r="R59" i="27"/>
  <c r="R140" i="27"/>
  <c r="R142" i="27" s="1"/>
  <c r="R78" i="27"/>
  <c r="AO66" i="27"/>
  <c r="AD66" i="27"/>
  <c r="DE171" i="27"/>
  <c r="DF171" i="27"/>
  <c r="DE5" i="27"/>
  <c r="DI41" i="27"/>
  <c r="Z134" i="27"/>
  <c r="Z136" i="27" s="1"/>
  <c r="Z137" i="27"/>
  <c r="Z139" i="27" s="1"/>
  <c r="Z59" i="27"/>
  <c r="Z58" i="27"/>
  <c r="Z146" i="27"/>
  <c r="Z148" i="27" s="1"/>
  <c r="Z78" i="27"/>
  <c r="Z143" i="27"/>
  <c r="Z145" i="27" s="1"/>
  <c r="Z45" i="27"/>
  <c r="AG58" i="27"/>
  <c r="AG45" i="27"/>
  <c r="AG59" i="27"/>
  <c r="L174" i="27"/>
  <c r="AC66" i="27"/>
  <c r="AC43" i="27"/>
  <c r="AG66" i="27"/>
  <c r="DE41" i="27"/>
  <c r="W141" i="27"/>
  <c r="DL6" i="27"/>
  <c r="G99" i="27" l="1"/>
  <c r="G62" i="27"/>
  <c r="DE66" i="27"/>
  <c r="BD60" i="27"/>
  <c r="DD43" i="27"/>
  <c r="DD66" i="27"/>
  <c r="DA51" i="27"/>
  <c r="DA60" i="27"/>
  <c r="DC51" i="27"/>
  <c r="DC60" i="27"/>
  <c r="DB60" i="27"/>
  <c r="DB51" i="27"/>
  <c r="AV49" i="27"/>
  <c r="AV51" i="27" s="1"/>
  <c r="AV53" i="27" s="1"/>
  <c r="AV54" i="27" s="1"/>
  <c r="AZ72" i="27" s="1"/>
  <c r="BD53" i="27"/>
  <c r="BD62" i="27"/>
  <c r="CE60" i="27"/>
  <c r="EI19" i="27"/>
  <c r="DY49" i="27"/>
  <c r="DY57" i="27"/>
  <c r="DZ45" i="27"/>
  <c r="DZ64" i="27"/>
  <c r="DZ59" i="27"/>
  <c r="DZ58" i="27"/>
  <c r="CP54" i="27"/>
  <c r="CP99" i="27"/>
  <c r="CP61" i="27"/>
  <c r="CH60" i="27"/>
  <c r="DM4" i="27"/>
  <c r="DN4" i="27" s="1"/>
  <c r="EB37" i="27"/>
  <c r="EB41" i="27" s="1"/>
  <c r="EA43" i="27"/>
  <c r="EC42" i="27"/>
  <c r="EF3" i="27"/>
  <c r="EG47" i="27"/>
  <c r="EF48" i="27"/>
  <c r="AA57" i="27"/>
  <c r="AA132" i="27" s="1"/>
  <c r="CI51" i="27"/>
  <c r="CI60" i="27"/>
  <c r="CE53" i="27"/>
  <c r="CE99" i="27" s="1"/>
  <c r="CE62" i="27"/>
  <c r="CF60" i="27"/>
  <c r="CF51" i="27"/>
  <c r="CG60" i="27"/>
  <c r="CG51" i="27"/>
  <c r="CH53" i="27"/>
  <c r="CH99" i="27" s="1"/>
  <c r="CH62" i="27"/>
  <c r="DH59" i="27"/>
  <c r="U49" i="27"/>
  <c r="U51" i="27" s="1"/>
  <c r="AA133" i="27"/>
  <c r="Y57" i="27"/>
  <c r="Y132" i="27" s="1"/>
  <c r="DH64" i="27"/>
  <c r="U133" i="27"/>
  <c r="AF57" i="27"/>
  <c r="DH66" i="27"/>
  <c r="J53" i="27"/>
  <c r="J54" i="27" s="1"/>
  <c r="DJ174" i="27"/>
  <c r="O133" i="27"/>
  <c r="DJ41" i="27"/>
  <c r="DJ43" i="27" s="1"/>
  <c r="W45" i="27"/>
  <c r="W57" i="27" s="1"/>
  <c r="W132" i="27" s="1"/>
  <c r="N133" i="27"/>
  <c r="W146" i="27"/>
  <c r="W148" i="27" s="1"/>
  <c r="AR58" i="27"/>
  <c r="AV64" i="27"/>
  <c r="DK174" i="27"/>
  <c r="V64" i="27"/>
  <c r="AR45" i="27"/>
  <c r="W143" i="27"/>
  <c r="W145" i="27" s="1"/>
  <c r="M134" i="27"/>
  <c r="M136" i="27" s="1"/>
  <c r="W59" i="27"/>
  <c r="W78" i="27"/>
  <c r="M137" i="27"/>
  <c r="M139" i="27" s="1"/>
  <c r="W140" i="27"/>
  <c r="W142" i="27" s="1"/>
  <c r="W137" i="27"/>
  <c r="W139" i="27" s="1"/>
  <c r="W134" i="27"/>
  <c r="W136" i="27" s="1"/>
  <c r="W58" i="27"/>
  <c r="O57" i="27"/>
  <c r="O132" i="27" s="1"/>
  <c r="O49" i="27"/>
  <c r="AA64" i="27"/>
  <c r="M45" i="27"/>
  <c r="M57" i="27" s="1"/>
  <c r="M132" i="27" s="1"/>
  <c r="M78" i="27"/>
  <c r="M146" i="27"/>
  <c r="M148" i="27" s="1"/>
  <c r="M58" i="27"/>
  <c r="AP57" i="27"/>
  <c r="AE45" i="27"/>
  <c r="AE49" i="27" s="1"/>
  <c r="AE60" i="27" s="1"/>
  <c r="AE59" i="27"/>
  <c r="AE64" i="27"/>
  <c r="AH64" i="27"/>
  <c r="AL64" i="27"/>
  <c r="AI64" i="27"/>
  <c r="M59" i="27"/>
  <c r="AI49" i="27"/>
  <c r="AI57" i="27"/>
  <c r="DG66" i="27"/>
  <c r="S133" i="27"/>
  <c r="M140" i="27"/>
  <c r="M142" i="27" s="1"/>
  <c r="M143" i="27"/>
  <c r="M145" i="27" s="1"/>
  <c r="V59" i="27"/>
  <c r="V140" i="27"/>
  <c r="V142" i="27" s="1"/>
  <c r="V134" i="27"/>
  <c r="V136" i="27" s="1"/>
  <c r="AB49" i="27"/>
  <c r="AB57" i="27"/>
  <c r="P133" i="27"/>
  <c r="Z64" i="27"/>
  <c r="V143" i="27"/>
  <c r="V145" i="27" s="1"/>
  <c r="V137" i="27"/>
  <c r="V139" i="27" s="1"/>
  <c r="V146" i="27"/>
  <c r="V148" i="27" s="1"/>
  <c r="V45" i="27"/>
  <c r="V57" i="27" s="1"/>
  <c r="V132" i="27" s="1"/>
  <c r="V58" i="27"/>
  <c r="AH58" i="27"/>
  <c r="AH59" i="27"/>
  <c r="DD45" i="27"/>
  <c r="DD64" i="27"/>
  <c r="AA60" i="27"/>
  <c r="AA51" i="27"/>
  <c r="X64" i="27"/>
  <c r="T59" i="27"/>
  <c r="T146" i="27"/>
  <c r="T148" i="27" s="1"/>
  <c r="T78" i="27"/>
  <c r="T58" i="27"/>
  <c r="T45" i="27"/>
  <c r="T143" i="27"/>
  <c r="T145" i="27" s="1"/>
  <c r="T140" i="27"/>
  <c r="T142" i="27" s="1"/>
  <c r="T137" i="27"/>
  <c r="T139" i="27" s="1"/>
  <c r="T134" i="27"/>
  <c r="T136" i="27" s="1"/>
  <c r="DF58" i="27"/>
  <c r="DF45" i="27"/>
  <c r="DF59" i="27"/>
  <c r="N49" i="27"/>
  <c r="N57" i="27"/>
  <c r="N132" i="27" s="1"/>
  <c r="AT68" i="27"/>
  <c r="S57" i="27"/>
  <c r="S132" i="27" s="1"/>
  <c r="R133" i="27"/>
  <c r="K146" i="27"/>
  <c r="K148" i="27" s="1"/>
  <c r="K58" i="27"/>
  <c r="K143" i="27"/>
  <c r="K145" i="27" s="1"/>
  <c r="K137" i="27"/>
  <c r="K139" i="27" s="1"/>
  <c r="K78" i="27"/>
  <c r="K140" i="27"/>
  <c r="K142" i="27" s="1"/>
  <c r="K134" i="27"/>
  <c r="K136" i="27" s="1"/>
  <c r="O64" i="27"/>
  <c r="K59" i="27"/>
  <c r="K64" i="27"/>
  <c r="K45" i="27"/>
  <c r="DH174" i="27"/>
  <c r="DG174" i="27"/>
  <c r="AO64" i="27"/>
  <c r="AO45" i="27"/>
  <c r="AO59" i="27"/>
  <c r="AO58" i="27"/>
  <c r="X57" i="27"/>
  <c r="X132" i="27" s="1"/>
  <c r="X49" i="27"/>
  <c r="AM49" i="27"/>
  <c r="AM57" i="27"/>
  <c r="AL57" i="27"/>
  <c r="AL49" i="27"/>
  <c r="Y60" i="27"/>
  <c r="Y51" i="27"/>
  <c r="P49" i="27"/>
  <c r="P57" i="27"/>
  <c r="P132" i="27" s="1"/>
  <c r="L59" i="27"/>
  <c r="L143" i="27"/>
  <c r="L145" i="27" s="1"/>
  <c r="L146" i="27"/>
  <c r="L148" i="27" s="1"/>
  <c r="L58" i="27"/>
  <c r="L140" i="27"/>
  <c r="L142" i="27" s="1"/>
  <c r="L137" i="27"/>
  <c r="L139" i="27" s="1"/>
  <c r="L45" i="27"/>
  <c r="L64" i="27"/>
  <c r="L78" i="27"/>
  <c r="L134" i="27"/>
  <c r="L136" i="27" s="1"/>
  <c r="AQ58" i="27"/>
  <c r="AQ64" i="27"/>
  <c r="AQ45" i="27"/>
  <c r="AQ59" i="27"/>
  <c r="DL42" i="27"/>
  <c r="Z133" i="27"/>
  <c r="AD57" i="27"/>
  <c r="AD49" i="27"/>
  <c r="DI43" i="27"/>
  <c r="DI66" i="27"/>
  <c r="H99" i="27"/>
  <c r="H54" i="27"/>
  <c r="AG49" i="27"/>
  <c r="AG57" i="27"/>
  <c r="DF174" i="27"/>
  <c r="DE174" i="27"/>
  <c r="R57" i="27"/>
  <c r="R132" i="27" s="1"/>
  <c r="R49" i="27"/>
  <c r="AN59" i="27"/>
  <c r="AN64" i="27"/>
  <c r="AN45" i="27"/>
  <c r="AN58" i="27"/>
  <c r="AR64" i="27"/>
  <c r="Q59" i="27"/>
  <c r="Q146" i="27"/>
  <c r="Q148" i="27" s="1"/>
  <c r="Q78" i="27"/>
  <c r="Q58" i="27"/>
  <c r="Q45" i="27"/>
  <c r="Q134" i="27"/>
  <c r="Q136" i="27" s="1"/>
  <c r="Q64" i="27"/>
  <c r="Q137" i="27"/>
  <c r="Q139" i="27" s="1"/>
  <c r="Q143" i="27"/>
  <c r="Q145" i="27" s="1"/>
  <c r="U64" i="27"/>
  <c r="Q140" i="27"/>
  <c r="Q142" i="27" s="1"/>
  <c r="AH49" i="27"/>
  <c r="AH60" i="27" s="1"/>
  <c r="DG58" i="27"/>
  <c r="DG59" i="27"/>
  <c r="DG64" i="27"/>
  <c r="Z57" i="27"/>
  <c r="Z132" i="27" s="1"/>
  <c r="Z49" i="27"/>
  <c r="AK51" i="27"/>
  <c r="AK60" i="27"/>
  <c r="AJ59" i="27"/>
  <c r="AJ45" i="27"/>
  <c r="AJ58" i="27"/>
  <c r="AJ64" i="27"/>
  <c r="P64" i="27"/>
  <c r="AV60" i="27"/>
  <c r="AP51" i="27"/>
  <c r="AP60" i="27"/>
  <c r="X141" i="27"/>
  <c r="AF51" i="27"/>
  <c r="AF60" i="27"/>
  <c r="DF66" i="27"/>
  <c r="DE43" i="27"/>
  <c r="AG64" i="27"/>
  <c r="AC64" i="27"/>
  <c r="AC45" i="27"/>
  <c r="AC59" i="27"/>
  <c r="AC58" i="27"/>
  <c r="AW64" i="27"/>
  <c r="DL41" i="27"/>
  <c r="DM6" i="27"/>
  <c r="S60" i="27"/>
  <c r="S51" i="27"/>
  <c r="DD49" i="27" l="1"/>
  <c r="DD57" i="27"/>
  <c r="DC62" i="27"/>
  <c r="DC53" i="27"/>
  <c r="DC61" i="27" s="1"/>
  <c r="DA62" i="27"/>
  <c r="DA53" i="27"/>
  <c r="DA61" i="27" s="1"/>
  <c r="CP72" i="27"/>
  <c r="CT72" i="27"/>
  <c r="DB53" i="27"/>
  <c r="DB61" i="27" s="1"/>
  <c r="DB62" i="27"/>
  <c r="DD59" i="27"/>
  <c r="DD58" i="27"/>
  <c r="BD54" i="27"/>
  <c r="BD61" i="27"/>
  <c r="EJ19" i="27"/>
  <c r="DY51" i="27"/>
  <c r="DY60" i="27"/>
  <c r="EA45" i="27"/>
  <c r="EA59" i="27"/>
  <c r="EA58" i="27"/>
  <c r="EA64" i="27"/>
  <c r="DZ49" i="27"/>
  <c r="DZ57" i="27"/>
  <c r="DM5" i="27"/>
  <c r="DM174" i="27" s="1"/>
  <c r="ED42" i="27"/>
  <c r="EG3" i="27"/>
  <c r="EC37" i="27"/>
  <c r="EC41" i="27" s="1"/>
  <c r="EB43" i="27"/>
  <c r="EH47" i="27"/>
  <c r="EG48" i="27"/>
  <c r="U60" i="27"/>
  <c r="CE54" i="27"/>
  <c r="CE61" i="27"/>
  <c r="CI62" i="27"/>
  <c r="CI53" i="27"/>
  <c r="CI99" i="27" s="1"/>
  <c r="CF62" i="27"/>
  <c r="CF53" i="27"/>
  <c r="CF99" i="27" s="1"/>
  <c r="CG62" i="27"/>
  <c r="CG53" i="27"/>
  <c r="CG99" i="27" s="1"/>
  <c r="CH54" i="27"/>
  <c r="CH61" i="27"/>
  <c r="DK66" i="27"/>
  <c r="AE51" i="27"/>
  <c r="AE62" i="27" s="1"/>
  <c r="W49" i="27"/>
  <c r="W51" i="27" s="1"/>
  <c r="W133" i="27"/>
  <c r="J99" i="27"/>
  <c r="DJ66" i="27"/>
  <c r="V49" i="27"/>
  <c r="V60" i="27" s="1"/>
  <c r="M49" i="27"/>
  <c r="M51" i="27" s="1"/>
  <c r="DG45" i="27"/>
  <c r="DG44" i="27" s="1"/>
  <c r="AE57" i="27"/>
  <c r="AR57" i="27"/>
  <c r="AR49" i="27"/>
  <c r="DI45" i="27"/>
  <c r="DI49" i="27" s="1"/>
  <c r="DI51" i="27" s="1"/>
  <c r="DI53" i="27" s="1"/>
  <c r="O51" i="27"/>
  <c r="O60" i="27"/>
  <c r="M133" i="27"/>
  <c r="V133" i="27"/>
  <c r="AH51" i="27"/>
  <c r="AH62" i="27" s="1"/>
  <c r="AI60" i="27"/>
  <c r="AI51" i="27"/>
  <c r="T133" i="27"/>
  <c r="AB51" i="27"/>
  <c r="AB60" i="27"/>
  <c r="K133" i="27"/>
  <c r="T49" i="27"/>
  <c r="T57" i="27"/>
  <c r="T132" i="27" s="1"/>
  <c r="N51" i="27"/>
  <c r="N60" i="27"/>
  <c r="DF57" i="27"/>
  <c r="DF49" i="27"/>
  <c r="K49" i="27"/>
  <c r="K57" i="27"/>
  <c r="K132" i="27" s="1"/>
  <c r="AA53" i="27"/>
  <c r="AA62" i="27"/>
  <c r="AU68" i="27"/>
  <c r="Z51" i="27"/>
  <c r="Z60" i="27"/>
  <c r="Q133" i="27"/>
  <c r="DN5" i="27"/>
  <c r="DO4" i="27"/>
  <c r="AM60" i="27"/>
  <c r="AM51" i="27"/>
  <c r="Q49" i="27"/>
  <c r="Q57" i="27"/>
  <c r="Q132" i="27" s="1"/>
  <c r="AD51" i="27"/>
  <c r="AD60" i="27"/>
  <c r="X60" i="27"/>
  <c r="X51" i="27"/>
  <c r="AQ57" i="27"/>
  <c r="AQ49" i="27"/>
  <c r="R51" i="27"/>
  <c r="R60" i="27"/>
  <c r="AG60" i="27"/>
  <c r="AG51" i="27"/>
  <c r="DE45" i="27"/>
  <c r="DE49" i="27" s="1"/>
  <c r="DE51" i="27" s="1"/>
  <c r="AJ49" i="27"/>
  <c r="AJ57" i="27"/>
  <c r="DJ45" i="27"/>
  <c r="DJ49" i="27" s="1"/>
  <c r="DJ60" i="27" s="1"/>
  <c r="L133" i="27"/>
  <c r="P60" i="27"/>
  <c r="P51" i="27"/>
  <c r="Y53" i="27"/>
  <c r="Y62" i="27"/>
  <c r="AO57" i="27"/>
  <c r="AO49" i="27"/>
  <c r="AN49" i="27"/>
  <c r="AN57" i="27"/>
  <c r="DK45" i="27"/>
  <c r="DK49" i="27" s="1"/>
  <c r="DI58" i="27"/>
  <c r="DI59" i="27"/>
  <c r="DI64" i="27"/>
  <c r="AK53" i="27"/>
  <c r="AK62" i="27"/>
  <c r="L57" i="27"/>
  <c r="L132" i="27" s="1"/>
  <c r="L49" i="27"/>
  <c r="AL60" i="27"/>
  <c r="AL51" i="27"/>
  <c r="DE59" i="27"/>
  <c r="DE64" i="27"/>
  <c r="DE58" i="27"/>
  <c r="DF64" i="27"/>
  <c r="Y141" i="27"/>
  <c r="Y142" i="27" s="1"/>
  <c r="Y133" i="27" s="1"/>
  <c r="X142" i="27"/>
  <c r="X133" i="27" s="1"/>
  <c r="AP53" i="27"/>
  <c r="AP62" i="27"/>
  <c r="DJ64" i="27"/>
  <c r="DK64" i="27"/>
  <c r="S53" i="27"/>
  <c r="S62" i="27"/>
  <c r="DN6" i="27"/>
  <c r="DL66" i="27"/>
  <c r="DL43" i="27"/>
  <c r="AF53" i="27"/>
  <c r="AF62" i="27"/>
  <c r="AS59" i="27"/>
  <c r="AS49" i="27"/>
  <c r="AS58" i="27"/>
  <c r="AS64" i="27"/>
  <c r="DH45" i="27"/>
  <c r="AC57" i="27"/>
  <c r="AC49" i="27"/>
  <c r="U62" i="27"/>
  <c r="U53" i="27"/>
  <c r="AV62" i="27"/>
  <c r="DE62" i="27" l="1"/>
  <c r="DE53" i="27"/>
  <c r="DD51" i="27"/>
  <c r="DD60" i="27"/>
  <c r="CH72" i="27"/>
  <c r="CL72" i="27"/>
  <c r="CE72" i="27"/>
  <c r="BH72" i="27"/>
  <c r="BD72" i="27"/>
  <c r="DM41" i="27"/>
  <c r="DM66" i="27" s="1"/>
  <c r="DN174" i="27"/>
  <c r="DY62" i="27"/>
  <c r="DY53" i="27"/>
  <c r="EB45" i="27"/>
  <c r="EB59" i="27"/>
  <c r="EB58" i="27"/>
  <c r="EB64" i="27"/>
  <c r="DZ51" i="27"/>
  <c r="DZ60" i="27"/>
  <c r="EA49" i="27"/>
  <c r="EA60" i="27" s="1"/>
  <c r="EA57" i="27"/>
  <c r="EE42" i="27"/>
  <c r="EH3" i="27"/>
  <c r="W60" i="27"/>
  <c r="ED37" i="27"/>
  <c r="ED41" i="27" s="1"/>
  <c r="EC43" i="27"/>
  <c r="EI47" i="27"/>
  <c r="EH48" i="27"/>
  <c r="CI61" i="27"/>
  <c r="CI54" i="27"/>
  <c r="CM72" i="27" s="1"/>
  <c r="CF61" i="27"/>
  <c r="CF54" i="27"/>
  <c r="CG61" i="27"/>
  <c r="CG54" i="27"/>
  <c r="DG49" i="27"/>
  <c r="DG51" i="27" s="1"/>
  <c r="AE53" i="27"/>
  <c r="AE61" i="27" s="1"/>
  <c r="M60" i="27"/>
  <c r="DI60" i="27"/>
  <c r="DG57" i="27"/>
  <c r="V51" i="27"/>
  <c r="V53" i="27" s="1"/>
  <c r="DI57" i="27"/>
  <c r="AH53" i="27"/>
  <c r="AH61" i="27" s="1"/>
  <c r="AR51" i="27"/>
  <c r="AR60" i="27"/>
  <c r="DI44" i="27"/>
  <c r="O62" i="27"/>
  <c r="O53" i="27"/>
  <c r="DE57" i="27"/>
  <c r="AI62" i="27"/>
  <c r="AI53" i="27"/>
  <c r="AB53" i="27"/>
  <c r="AB62" i="27"/>
  <c r="DE60" i="27"/>
  <c r="AA54" i="27"/>
  <c r="AA61" i="27"/>
  <c r="AA99" i="27"/>
  <c r="AT49" i="27"/>
  <c r="AT64" i="27"/>
  <c r="AT58" i="27"/>
  <c r="AT59" i="27"/>
  <c r="K60" i="27"/>
  <c r="K51" i="27"/>
  <c r="M53" i="27"/>
  <c r="M62" i="27"/>
  <c r="DF60" i="27"/>
  <c r="DF51" i="27"/>
  <c r="DF53" i="27" s="1"/>
  <c r="N62" i="27"/>
  <c r="N53" i="27"/>
  <c r="T51" i="27"/>
  <c r="T60" i="27"/>
  <c r="AD62" i="27"/>
  <c r="AD53" i="27"/>
  <c r="P53" i="27"/>
  <c r="P62" i="27"/>
  <c r="DK60" i="27"/>
  <c r="DK51" i="27"/>
  <c r="Q51" i="27"/>
  <c r="Q60" i="27"/>
  <c r="AM62" i="27"/>
  <c r="AM53" i="27"/>
  <c r="AN51" i="27"/>
  <c r="AN60" i="27"/>
  <c r="W53" i="27"/>
  <c r="W62" i="27"/>
  <c r="R53" i="27"/>
  <c r="R62" i="27"/>
  <c r="AK61" i="27"/>
  <c r="AK54" i="27"/>
  <c r="AL53" i="27"/>
  <c r="AL62" i="27"/>
  <c r="DO5" i="27"/>
  <c r="DO174" i="27" s="1"/>
  <c r="DP4" i="27"/>
  <c r="Y54" i="27"/>
  <c r="Y99" i="27"/>
  <c r="Y61" i="27"/>
  <c r="L60" i="27"/>
  <c r="L51" i="27"/>
  <c r="AO51" i="27"/>
  <c r="AO60" i="27"/>
  <c r="AQ60" i="27"/>
  <c r="AQ51" i="27"/>
  <c r="AG62" i="27"/>
  <c r="AG53" i="27"/>
  <c r="AJ51" i="27"/>
  <c r="AJ60" i="27"/>
  <c r="DJ44" i="27"/>
  <c r="X62" i="27"/>
  <c r="X53" i="27"/>
  <c r="Z62" i="27"/>
  <c r="Z53" i="27"/>
  <c r="DI54" i="27"/>
  <c r="DI61" i="27"/>
  <c r="AF54" i="27"/>
  <c r="AF61" i="27"/>
  <c r="DH57" i="27"/>
  <c r="DH49" i="27"/>
  <c r="DH44" i="27"/>
  <c r="AS60" i="27"/>
  <c r="AS51" i="27"/>
  <c r="DO6" i="27"/>
  <c r="DN41" i="27"/>
  <c r="AP54" i="27"/>
  <c r="AP61" i="27"/>
  <c r="S61" i="27"/>
  <c r="S99" i="27"/>
  <c r="S54" i="27"/>
  <c r="U99" i="27"/>
  <c r="U61" i="27"/>
  <c r="U54" i="27"/>
  <c r="AV61" i="27"/>
  <c r="DL45" i="27"/>
  <c r="DL49" i="27" s="1"/>
  <c r="DL64" i="27"/>
  <c r="AC60" i="27"/>
  <c r="AC51" i="27"/>
  <c r="DD53" i="27" l="1"/>
  <c r="DD62" i="27"/>
  <c r="DE54" i="27"/>
  <c r="DE61" i="27"/>
  <c r="CI72" i="27"/>
  <c r="CJ72" i="27"/>
  <c r="CF72" i="27"/>
  <c r="CG72" i="27"/>
  <c r="CK72" i="27"/>
  <c r="DM43" i="27"/>
  <c r="AU64" i="27"/>
  <c r="AU45" i="27"/>
  <c r="DY54" i="27"/>
  <c r="DY61" i="27"/>
  <c r="EC45" i="27"/>
  <c r="EC58" i="27"/>
  <c r="EC64" i="27"/>
  <c r="EC59" i="27"/>
  <c r="DZ62" i="27"/>
  <c r="DZ53" i="27"/>
  <c r="EB49" i="27"/>
  <c r="EB60" i="27" s="1"/>
  <c r="EB57" i="27"/>
  <c r="EI3" i="27"/>
  <c r="EE37" i="27"/>
  <c r="EE41" i="27" s="1"/>
  <c r="ED43" i="27"/>
  <c r="AE54" i="27"/>
  <c r="AE72" i="27" s="1"/>
  <c r="EF42" i="27"/>
  <c r="EJ47" i="27"/>
  <c r="EJ48" i="27" s="1"/>
  <c r="EI48" i="27"/>
  <c r="AH74" i="27"/>
  <c r="DI74" i="27" s="1"/>
  <c r="DJ50" i="27" s="1"/>
  <c r="DJ51" i="27" s="1"/>
  <c r="AH54" i="27"/>
  <c r="DG60" i="27"/>
  <c r="V62" i="27"/>
  <c r="AR62" i="27"/>
  <c r="AR53" i="27"/>
  <c r="O54" i="27"/>
  <c r="S72" i="27" s="1"/>
  <c r="O99" i="27"/>
  <c r="O61" i="27"/>
  <c r="AI54" i="27"/>
  <c r="AI61" i="27"/>
  <c r="AB61" i="27"/>
  <c r="AB54" i="27"/>
  <c r="AF72" i="27" s="1"/>
  <c r="M99" i="27"/>
  <c r="M54" i="27"/>
  <c r="M61" i="27"/>
  <c r="K62" i="27"/>
  <c r="K53" i="27"/>
  <c r="T62" i="27"/>
  <c r="T53" i="27"/>
  <c r="N54" i="27"/>
  <c r="N61" i="27"/>
  <c r="N99" i="27"/>
  <c r="AT60" i="27"/>
  <c r="AT51" i="27"/>
  <c r="DF62" i="27"/>
  <c r="DK62" i="27"/>
  <c r="DK53" i="27"/>
  <c r="L53" i="27"/>
  <c r="L62" i="27"/>
  <c r="X54" i="27"/>
  <c r="X61" i="27"/>
  <c r="X99" i="27"/>
  <c r="Z61" i="27"/>
  <c r="Z99" i="27"/>
  <c r="Z54" i="27"/>
  <c r="R61" i="27"/>
  <c r="R54" i="27"/>
  <c r="R99" i="27"/>
  <c r="P61" i="27"/>
  <c r="P99" i="27"/>
  <c r="P54" i="27"/>
  <c r="AD54" i="27"/>
  <c r="AD61" i="27"/>
  <c r="AO53" i="27"/>
  <c r="AO62" i="27"/>
  <c r="W99" i="27"/>
  <c r="W54" i="27"/>
  <c r="AA72" i="27" s="1"/>
  <c r="W61" i="27"/>
  <c r="AQ53" i="27"/>
  <c r="AQ62" i="27"/>
  <c r="Q62" i="27"/>
  <c r="Q53" i="27"/>
  <c r="AJ53" i="27"/>
  <c r="AJ62" i="27"/>
  <c r="AG54" i="27"/>
  <c r="AK72" i="27" s="1"/>
  <c r="AG61" i="27"/>
  <c r="AN53" i="27"/>
  <c r="AN62" i="27"/>
  <c r="AL54" i="27"/>
  <c r="AP72" i="27" s="1"/>
  <c r="AL61" i="27"/>
  <c r="DQ4" i="27"/>
  <c r="DP5" i="27"/>
  <c r="DP174" i="27" s="1"/>
  <c r="AM54" i="27"/>
  <c r="AM61" i="27"/>
  <c r="AM99" i="27"/>
  <c r="DG53" i="27"/>
  <c r="DG62" i="27"/>
  <c r="AS62" i="27"/>
  <c r="DH60" i="27"/>
  <c r="DH51" i="27"/>
  <c r="Y72" i="27"/>
  <c r="DN66" i="27"/>
  <c r="DN43" i="27"/>
  <c r="AC53" i="27"/>
  <c r="AC62" i="27"/>
  <c r="DP6" i="27"/>
  <c r="DO41" i="27"/>
  <c r="DL44" i="27"/>
  <c r="DL60" i="27"/>
  <c r="DL51" i="27"/>
  <c r="V99" i="27"/>
  <c r="V61" i="27"/>
  <c r="V54" i="27"/>
  <c r="DD61" i="27" l="1"/>
  <c r="DD54" i="27"/>
  <c r="DD72" i="27" s="1"/>
  <c r="DM45" i="27"/>
  <c r="DM44" i="27" s="1"/>
  <c r="DM64" i="27"/>
  <c r="AU57" i="27"/>
  <c r="AU49" i="27"/>
  <c r="AI72" i="27"/>
  <c r="ED45" i="27"/>
  <c r="ED58" i="27"/>
  <c r="ED59" i="27"/>
  <c r="ED64" i="27"/>
  <c r="DZ54" i="27"/>
  <c r="DZ61" i="27"/>
  <c r="EC49" i="27"/>
  <c r="EC60" i="27" s="1"/>
  <c r="EC57" i="27"/>
  <c r="EF37" i="27"/>
  <c r="EF41" i="27" s="1"/>
  <c r="EF43" i="27" s="1"/>
  <c r="EE43" i="27"/>
  <c r="EJ3" i="27"/>
  <c r="AH72" i="27"/>
  <c r="EG42" i="27"/>
  <c r="AM72" i="27"/>
  <c r="AR54" i="27"/>
  <c r="AV72" i="27" s="1"/>
  <c r="AR61" i="27"/>
  <c r="AL72" i="27"/>
  <c r="W72" i="27"/>
  <c r="T61" i="27"/>
  <c r="T54" i="27"/>
  <c r="T72" i="27" s="1"/>
  <c r="T99" i="27"/>
  <c r="AT62" i="27"/>
  <c r="K61" i="27"/>
  <c r="K54" i="27"/>
  <c r="O72" i="27" s="1"/>
  <c r="K99" i="27"/>
  <c r="R72" i="27"/>
  <c r="DF61" i="27"/>
  <c r="DF54" i="27"/>
  <c r="DF72" i="27" s="1"/>
  <c r="AO54" i="27"/>
  <c r="AO72" i="27" s="1"/>
  <c r="AO61" i="27"/>
  <c r="DG61" i="27"/>
  <c r="DG54" i="27"/>
  <c r="AJ54" i="27"/>
  <c r="AJ72" i="27" s="1"/>
  <c r="AJ61" i="27"/>
  <c r="AD72" i="27"/>
  <c r="AB72" i="27"/>
  <c r="Q54" i="27"/>
  <c r="Q61" i="27"/>
  <c r="Q99" i="27"/>
  <c r="AN61" i="27"/>
  <c r="AN54" i="27"/>
  <c r="DQ5" i="27"/>
  <c r="L54" i="27"/>
  <c r="P72" i="27" s="1"/>
  <c r="L61" i="27"/>
  <c r="L99" i="27"/>
  <c r="AQ61" i="27"/>
  <c r="AQ54" i="27"/>
  <c r="DK54" i="27"/>
  <c r="DK61" i="27"/>
  <c r="DQ6" i="27"/>
  <c r="DP41" i="27"/>
  <c r="DP43" i="27" s="1"/>
  <c r="DL52" i="27"/>
  <c r="DL53" i="27" s="1"/>
  <c r="DM48" i="27"/>
  <c r="DM49" i="27" s="1"/>
  <c r="DM71" i="27"/>
  <c r="AS53" i="27"/>
  <c r="AC54" i="27"/>
  <c r="AC61" i="27"/>
  <c r="DN64" i="27"/>
  <c r="DN45" i="27"/>
  <c r="DN44" i="27" s="1"/>
  <c r="DH52" i="27"/>
  <c r="DH53" i="27" s="1"/>
  <c r="V72" i="27"/>
  <c r="Z72" i="27"/>
  <c r="DO66" i="27"/>
  <c r="DO43" i="27"/>
  <c r="DJ52" i="27"/>
  <c r="DJ53" i="27" s="1"/>
  <c r="DE72" i="27" l="1"/>
  <c r="AU60" i="27"/>
  <c r="AU51" i="27"/>
  <c r="EE45" i="27"/>
  <c r="EE59" i="27"/>
  <c r="EE58" i="27"/>
  <c r="EE64" i="27"/>
  <c r="ED49" i="27"/>
  <c r="ED60" i="27" s="1"/>
  <c r="ED57" i="27"/>
  <c r="EH42" i="27"/>
  <c r="X72" i="27"/>
  <c r="EG37" i="27"/>
  <c r="EG41" i="27" s="1"/>
  <c r="AT53" i="27"/>
  <c r="AT54" i="27" s="1"/>
  <c r="DG72" i="27"/>
  <c r="Q72" i="27"/>
  <c r="U72" i="27"/>
  <c r="AN72" i="27"/>
  <c r="AR72" i="27"/>
  <c r="AQ72" i="27"/>
  <c r="DM60" i="27"/>
  <c r="DJ54" i="27"/>
  <c r="DJ61" i="27"/>
  <c r="DJ74" i="27"/>
  <c r="DK74" i="27" s="1"/>
  <c r="DL74" i="27" s="1"/>
  <c r="DO64" i="27"/>
  <c r="DO45" i="27"/>
  <c r="AC72" i="27"/>
  <c r="AG72" i="27"/>
  <c r="DH54" i="27"/>
  <c r="DH61" i="27"/>
  <c r="DL61" i="27"/>
  <c r="DL54" i="27"/>
  <c r="DL72" i="27" s="1"/>
  <c r="DP45" i="27"/>
  <c r="DP64" i="27"/>
  <c r="AS54" i="27"/>
  <c r="AS61" i="27"/>
  <c r="DN48" i="27"/>
  <c r="DN49" i="27" s="1"/>
  <c r="DN71" i="27"/>
  <c r="DQ41" i="27"/>
  <c r="DQ43" i="27" s="1"/>
  <c r="AT72" i="27" l="1"/>
  <c r="AX72" i="27"/>
  <c r="AS72" i="27"/>
  <c r="AW72" i="27"/>
  <c r="AU53" i="27"/>
  <c r="AU62" i="27"/>
  <c r="EF45" i="27"/>
  <c r="EF64" i="27"/>
  <c r="EF59" i="27"/>
  <c r="EF58" i="27"/>
  <c r="EE49" i="27"/>
  <c r="EE60" i="27" s="1"/>
  <c r="EE57" i="27"/>
  <c r="EH37" i="27"/>
  <c r="EH41" i="27" s="1"/>
  <c r="EG43" i="27"/>
  <c r="EI42" i="27"/>
  <c r="AT61" i="27"/>
  <c r="DO71" i="27"/>
  <c r="DO48" i="27"/>
  <c r="DO49" i="27" s="1"/>
  <c r="DP48" i="27"/>
  <c r="DP49" i="27" s="1"/>
  <c r="DH72" i="27"/>
  <c r="DI72" i="27"/>
  <c r="DM50" i="27"/>
  <c r="DM51" i="27" s="1"/>
  <c r="DJ72" i="27"/>
  <c r="DK72" i="27"/>
  <c r="DR41" i="27"/>
  <c r="DR43" i="27" s="1"/>
  <c r="DP44" i="27"/>
  <c r="DO44" i="27"/>
  <c r="DN60" i="27"/>
  <c r="DQ64" i="27"/>
  <c r="DQ45" i="27"/>
  <c r="DQ44" i="27" s="1"/>
  <c r="AU54" i="27" l="1"/>
  <c r="AU61" i="27"/>
  <c r="EG45" i="27"/>
  <c r="EG59" i="27"/>
  <c r="EG64" i="27"/>
  <c r="EG58" i="27"/>
  <c r="EF49" i="27"/>
  <c r="EF60" i="27" s="1"/>
  <c r="EF57" i="27"/>
  <c r="EJ42" i="27"/>
  <c r="EI37" i="27"/>
  <c r="EI41" i="27" s="1"/>
  <c r="EH43" i="27"/>
  <c r="DP60" i="27"/>
  <c r="DM52" i="27"/>
  <c r="DM53" i="27" s="1"/>
  <c r="DQ48" i="27"/>
  <c r="DQ49" i="27" s="1"/>
  <c r="DT43" i="27"/>
  <c r="DS43" i="27"/>
  <c r="DS45" i="27" s="1"/>
  <c r="DS49" i="27" s="1"/>
  <c r="DO60" i="27"/>
  <c r="DR45" i="27"/>
  <c r="DR64" i="27"/>
  <c r="DU64" i="27" l="1"/>
  <c r="DT45" i="27"/>
  <c r="DT49" i="27" s="1"/>
  <c r="AU72" i="27"/>
  <c r="AY72" i="27"/>
  <c r="EH45" i="27"/>
  <c r="EH58" i="27"/>
  <c r="EH64" i="27"/>
  <c r="EH59" i="27"/>
  <c r="EG49" i="27"/>
  <c r="EG60" i="27" s="1"/>
  <c r="EG57" i="27"/>
  <c r="EJ37" i="27"/>
  <c r="EJ41" i="27" s="1"/>
  <c r="EJ43" i="27" s="1"/>
  <c r="EI43" i="27"/>
  <c r="DQ60" i="27"/>
  <c r="DM54" i="27"/>
  <c r="DM72" i="27" s="1"/>
  <c r="DM61" i="27"/>
  <c r="DM74" i="27"/>
  <c r="DS64" i="27"/>
  <c r="DR48" i="27"/>
  <c r="DR49" i="27" s="1"/>
  <c r="DT64" i="27"/>
  <c r="DR44" i="27"/>
  <c r="EJ45" i="27" l="1"/>
  <c r="EJ64" i="27"/>
  <c r="EJ59" i="27"/>
  <c r="EJ58" i="27"/>
  <c r="EI45" i="27"/>
  <c r="EI64" i="27"/>
  <c r="EI58" i="27"/>
  <c r="EI59" i="27"/>
  <c r="EH49" i="27"/>
  <c r="EH60" i="27" s="1"/>
  <c r="EH57" i="27"/>
  <c r="DR60" i="27"/>
  <c r="DN50" i="27"/>
  <c r="DN51" i="27" s="1"/>
  <c r="EI49" i="27" l="1"/>
  <c r="EI60" i="27" s="1"/>
  <c r="EI57" i="27"/>
  <c r="EJ49" i="27"/>
  <c r="EJ60" i="27" s="1"/>
  <c r="EJ57" i="27"/>
  <c r="DS60" i="27"/>
  <c r="DT60" i="27"/>
  <c r="DN52" i="27"/>
  <c r="DN53" i="27" s="1"/>
  <c r="DN61" i="27" l="1"/>
  <c r="DN54" i="27"/>
  <c r="DN72" i="27" s="1"/>
  <c r="DN74" i="27"/>
  <c r="DO50" i="27" l="1"/>
  <c r="DO51" i="27" s="1"/>
  <c r="DO52" i="27" l="1"/>
  <c r="DO53" i="27" s="1"/>
  <c r="DO54" i="27" l="1"/>
  <c r="DO72" i="27" s="1"/>
  <c r="DO61" i="27"/>
  <c r="DO74" i="27"/>
  <c r="DP50" i="27" l="1"/>
  <c r="DP51" i="27" s="1"/>
  <c r="DP52" i="27" l="1"/>
  <c r="DP53" i="27" s="1"/>
  <c r="DP54" i="27" l="1"/>
  <c r="DP61" i="27"/>
  <c r="DP74" i="27"/>
  <c r="DQ50" i="27" l="1"/>
  <c r="DQ51" i="27" s="1"/>
  <c r="DQ52" i="27" l="1"/>
  <c r="DQ53" i="27" s="1"/>
  <c r="DQ61" i="27" l="1"/>
  <c r="DQ54" i="27"/>
  <c r="DQ74" i="27"/>
  <c r="DR50" i="27" l="1"/>
  <c r="DR51" i="27" s="1"/>
  <c r="DR52" i="27" l="1"/>
  <c r="DR53" i="27" s="1"/>
  <c r="DR54" i="27" l="1"/>
  <c r="DR61" i="27"/>
  <c r="DR74" i="27"/>
  <c r="DS51" i="27" l="1"/>
  <c r="DS53" i="27" l="1"/>
  <c r="DS61" i="27" l="1"/>
  <c r="DS54" i="27"/>
  <c r="DS74" i="27"/>
  <c r="DT51" i="27" l="1"/>
  <c r="DT53" i="27" l="1"/>
  <c r="DT54" i="27" l="1"/>
  <c r="DT61" i="27"/>
  <c r="DT74" i="27"/>
  <c r="DV54" i="27" l="1"/>
  <c r="EA51" i="27" l="1"/>
  <c r="EA52" i="27" l="1"/>
  <c r="EA53" i="27" l="1"/>
  <c r="EA61" i="27" s="1"/>
  <c r="EA62" i="27"/>
  <c r="EA74" i="27" l="1"/>
  <c r="EB50" i="27" s="1"/>
  <c r="EB51" i="27" s="1"/>
  <c r="EA54" i="27"/>
  <c r="EB52" i="27" l="1"/>
  <c r="EB53" i="27" l="1"/>
  <c r="EB61" i="27" s="1"/>
  <c r="EB62" i="27"/>
  <c r="EB74" i="27" l="1"/>
  <c r="EC50" i="27" s="1"/>
  <c r="EC51" i="27" s="1"/>
  <c r="EB54" i="27"/>
  <c r="EC52" i="27" l="1"/>
  <c r="EC53" i="27" l="1"/>
  <c r="EC61" i="27" s="1"/>
  <c r="EC62" i="27"/>
  <c r="EC54" i="27" l="1"/>
  <c r="EC74" i="27"/>
  <c r="ED50" i="27" s="1"/>
  <c r="ED51" i="27" s="1"/>
  <c r="ED52" i="27" l="1"/>
  <c r="ED53" i="27" l="1"/>
  <c r="ED61" i="27" s="1"/>
  <c r="ED62" i="27"/>
  <c r="ED74" i="27" l="1"/>
  <c r="EE50" i="27" s="1"/>
  <c r="EE51" i="27" s="1"/>
  <c r="ED54" i="27"/>
  <c r="EE52" i="27" l="1"/>
  <c r="EE53" i="27" l="1"/>
  <c r="EE61" i="27" s="1"/>
  <c r="EE62" i="27"/>
  <c r="EE54" i="27" l="1"/>
  <c r="EE74" i="27"/>
  <c r="EF50" i="27" s="1"/>
  <c r="EF51" i="27" s="1"/>
  <c r="EF52" i="27" l="1"/>
  <c r="EF53" i="27" l="1"/>
  <c r="EF54" i="27" s="1"/>
  <c r="EF62" i="27"/>
  <c r="EF74" i="27" l="1"/>
  <c r="EG50" i="27" s="1"/>
  <c r="EG51" i="27" s="1"/>
  <c r="EF61" i="27"/>
  <c r="EG52" i="27" l="1"/>
  <c r="EG53" i="27" l="1"/>
  <c r="EG62" i="27"/>
  <c r="EG61" i="27" l="1"/>
  <c r="EG74" i="27"/>
  <c r="EH50" i="27" s="1"/>
  <c r="EH51" i="27" s="1"/>
  <c r="EG54" i="27"/>
  <c r="EH52" i="27" l="1"/>
  <c r="EH53" i="27" l="1"/>
  <c r="EH62" i="27"/>
  <c r="EH61" i="27" l="1"/>
  <c r="EH54" i="27"/>
  <c r="EH74" i="27"/>
  <c r="EI50" i="27" s="1"/>
  <c r="EI51" i="27" s="1"/>
  <c r="EI52" i="27" l="1"/>
  <c r="EI53" i="27" l="1"/>
  <c r="EI74" i="27" s="1"/>
  <c r="EI62" i="27"/>
  <c r="EI54" i="27" l="1"/>
  <c r="EI61" i="27"/>
  <c r="EJ50" i="27"/>
  <c r="EJ51" i="27" s="1"/>
  <c r="EJ52" i="27" l="1"/>
  <c r="EJ53" i="27" l="1"/>
  <c r="EK53" i="27" s="1"/>
  <c r="EL53" i="27" s="1"/>
  <c r="EM53" i="27" s="1"/>
  <c r="EN53" i="27" s="1"/>
  <c r="EO53" i="27" s="1"/>
  <c r="EP53" i="27" s="1"/>
  <c r="EQ53" i="27" s="1"/>
  <c r="ER53" i="27" s="1"/>
  <c r="ES53" i="27" s="1"/>
  <c r="ET53" i="27" s="1"/>
  <c r="EU53" i="27" s="1"/>
  <c r="EV53" i="27" s="1"/>
  <c r="EW53" i="27" s="1"/>
  <c r="EX53" i="27" s="1"/>
  <c r="EY53" i="27" s="1"/>
  <c r="EZ53" i="27" s="1"/>
  <c r="FA53" i="27" s="1"/>
  <c r="FB53" i="27" s="1"/>
  <c r="FC53" i="27" s="1"/>
  <c r="FD53" i="27" s="1"/>
  <c r="FE53" i="27" s="1"/>
  <c r="FF53" i="27" s="1"/>
  <c r="FG53" i="27" s="1"/>
  <c r="FH53" i="27" s="1"/>
  <c r="FI53" i="27" s="1"/>
  <c r="FJ53" i="27" s="1"/>
  <c r="FK53" i="27" s="1"/>
  <c r="FL53" i="27" s="1"/>
  <c r="FM53" i="27" s="1"/>
  <c r="FN53" i="27" s="1"/>
  <c r="FO53" i="27" s="1"/>
  <c r="FP53" i="27" s="1"/>
  <c r="FQ53" i="27" s="1"/>
  <c r="FR53" i="27" s="1"/>
  <c r="FS53" i="27" s="1"/>
  <c r="FT53" i="27" s="1"/>
  <c r="FU53" i="27" s="1"/>
  <c r="FV53" i="27" s="1"/>
  <c r="FW53" i="27" s="1"/>
  <c r="FX53" i="27" s="1"/>
  <c r="FY53" i="27" s="1"/>
  <c r="FZ53" i="27" s="1"/>
  <c r="GA53" i="27" s="1"/>
  <c r="GB53" i="27" s="1"/>
  <c r="GC53" i="27" s="1"/>
  <c r="GD53" i="27" s="1"/>
  <c r="GE53" i="27" s="1"/>
  <c r="GF53" i="27" s="1"/>
  <c r="GG53" i="27" s="1"/>
  <c r="GH53" i="27" s="1"/>
  <c r="GI53" i="27" s="1"/>
  <c r="GJ53" i="27" s="1"/>
  <c r="GK53" i="27" s="1"/>
  <c r="GL53" i="27" s="1"/>
  <c r="GM53" i="27" s="1"/>
  <c r="GN53" i="27" s="1"/>
  <c r="GO53" i="27" s="1"/>
  <c r="GP53" i="27" s="1"/>
  <c r="GQ53" i="27" s="1"/>
  <c r="GR53" i="27" s="1"/>
  <c r="EJ62" i="27"/>
  <c r="EJ74" i="27" l="1"/>
  <c r="EJ54" i="27"/>
  <c r="EJ61" i="27"/>
  <c r="GS53" i="27"/>
  <c r="GT53" i="27" s="1"/>
  <c r="GU53" i="27" s="1"/>
  <c r="GV53" i="27" s="1"/>
  <c r="GW53" i="27" s="1"/>
  <c r="GX53" i="27" s="1"/>
  <c r="GY53" i="27" s="1"/>
  <c r="GZ53" i="27" s="1"/>
  <c r="HA53" i="27" s="1"/>
  <c r="HB53" i="27" s="1"/>
  <c r="EM59" i="27" l="1"/>
  <c r="EM60" i="27" s="1"/>
  <c r="D180"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tc={A6543DC0-CB94-4CB1-99B4-3F7D8212FA7D}</author>
    <author>tc={54ECDECD-AA35-4375-AC21-94668D788B79}</author>
    <author>tc={D6A92409-CA99-40A1-88DC-B7A73ABD2D61}</author>
    <author>tc={44E7E711-BCC1-4AD2-8680-58369B8354DF}</author>
    <author>tc={3CC28BE0-8712-41A4-9E7A-C2331E672FA9}</author>
    <author>tc={E609C7CB-3EB7-4FF0-803C-2DC500014A2B}</author>
    <author>tc={2C48FDE0-F3B7-42E8-9372-1A785F610513}</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42"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43" authorId="0" shapeId="0" xr:uid="{00000000-0006-0000-0100-000025000000}">
      <text>
        <r>
          <rPr>
            <b/>
            <sz val="8"/>
            <color indexed="81"/>
            <rFont val="Tahoma"/>
            <family val="2"/>
          </rPr>
          <t>Martin Shkreli:</t>
        </r>
        <r>
          <rPr>
            <sz val="8"/>
            <color indexed="81"/>
            <rFont val="Tahoma"/>
            <family val="2"/>
          </rPr>
          <t xml:space="preserve">
3324 consensus</t>
        </r>
      </text>
    </comment>
    <comment ref="Y43" authorId="0" shapeId="0" xr:uid="{00000000-0006-0000-0100-000026000000}">
      <text>
        <r>
          <rPr>
            <b/>
            <sz val="8"/>
            <color indexed="81"/>
            <rFont val="Tahoma"/>
            <family val="2"/>
          </rPr>
          <t>Martin Shkreli:</t>
        </r>
        <r>
          <rPr>
            <sz val="8"/>
            <color indexed="81"/>
            <rFont val="Tahoma"/>
            <family val="2"/>
          </rPr>
          <t xml:space="preserve">
inventory left channel</t>
        </r>
      </text>
    </comment>
    <comment ref="AA43" authorId="0" shapeId="0" xr:uid="{00000000-0006-0000-0100-000027000000}">
      <text>
        <r>
          <rPr>
            <b/>
            <sz val="8"/>
            <color indexed="81"/>
            <rFont val="Tahoma"/>
            <family val="2"/>
          </rPr>
          <t>Martin Shkreli:</t>
        </r>
        <r>
          <rPr>
            <sz val="8"/>
            <color indexed="81"/>
            <rFont val="Tahoma"/>
            <family val="2"/>
          </rPr>
          <t xml:space="preserve">
3768 mean</t>
        </r>
      </text>
    </comment>
    <comment ref="AJ43" authorId="0" shapeId="0" xr:uid="{00000000-0006-0000-0100-000028000000}">
      <text>
        <r>
          <rPr>
            <b/>
            <sz val="8"/>
            <color indexed="81"/>
            <rFont val="Tahoma"/>
            <family val="2"/>
          </rPr>
          <t>Martin Shkreli:</t>
        </r>
        <r>
          <rPr>
            <sz val="8"/>
            <color indexed="81"/>
            <rFont val="Tahoma"/>
            <family val="2"/>
          </rPr>
          <t xml:space="preserve">
3577 consensus</t>
        </r>
      </text>
    </comment>
    <comment ref="DG43"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43"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43" authorId="0" shapeId="0" xr:uid="{00000000-0006-0000-0100-00002B000000}">
      <text>
        <r>
          <rPr>
            <b/>
            <sz val="8"/>
            <color indexed="81"/>
            <rFont val="Tahoma"/>
            <family val="2"/>
          </rPr>
          <t>Martin Shkreli:</t>
        </r>
        <r>
          <rPr>
            <sz val="8"/>
            <color indexed="81"/>
            <rFont val="Tahoma"/>
            <family val="2"/>
          </rPr>
          <t xml:space="preserve">
14.4-14.8bn guidance</t>
        </r>
      </text>
    </comment>
    <comment ref="DL43" authorId="5" shapeId="0" xr:uid="{00000000-0006-0000-0100-00002C000000}">
      <text>
        <r>
          <rPr>
            <b/>
            <sz val="9"/>
            <color indexed="81"/>
            <rFont val="Tahoma"/>
            <family val="2"/>
          </rPr>
          <t>Martin:</t>
        </r>
        <r>
          <rPr>
            <sz val="9"/>
            <color indexed="81"/>
            <rFont val="Tahoma"/>
            <family val="2"/>
          </rPr>
          <t xml:space="preserve">
Q410: 15.1-15.5</t>
        </r>
      </text>
    </comment>
    <comment ref="DZ43" authorId="6" shapeId="0" xr:uid="{A6543DC0-CB94-4CB1-99B4-3F7D8212FA7D}">
      <text>
        <t>[Threaded comment]
Your version of Excel allows you to read this threaded comment; however, any edits to it will get removed if the file is opened in a newer version of Excel. Learn more: https://go.microsoft.com/fwlink/?linkid=870924
Comment:
    Q4 guidance: 34.3-35.7B</t>
      </text>
    </comment>
    <comment ref="DH47"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7"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DZ52" authorId="7" shapeId="0" xr:uid="{54ECDECD-AA35-4375-AC21-94668D788B79}">
      <text>
        <t>[Threaded comment]
Your version of Excel allows you to read this threaded comment; however, any edits to it will get removed if the file is opened in a newer version of Excel. Learn more: https://go.microsoft.com/fwlink/?linkid=870924
Comment:
    Q4 guidance: 15-16%</t>
      </text>
    </comment>
    <comment ref="BW53" authorId="8"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53" authorId="9"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53" authorId="10"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53" authorId="11"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4" authorId="0" shapeId="0" xr:uid="{00000000-0006-0000-0100-00002F000000}">
      <text>
        <r>
          <rPr>
            <b/>
            <sz val="8"/>
            <color indexed="81"/>
            <rFont val="Tahoma"/>
            <family val="2"/>
          </rPr>
          <t>Martin Shkreli:</t>
        </r>
        <r>
          <rPr>
            <sz val="8"/>
            <color indexed="81"/>
            <rFont val="Tahoma"/>
            <family val="2"/>
          </rPr>
          <t xml:space="preserve">
1.16 consensus</t>
        </r>
      </text>
    </comment>
    <comment ref="DD54" authorId="0" shapeId="0" xr:uid="{00000000-0006-0000-0100-000030000000}">
      <text>
        <r>
          <rPr>
            <b/>
            <sz val="8"/>
            <color indexed="81"/>
            <rFont val="Tahoma"/>
            <family val="2"/>
          </rPr>
          <t>Martin Shkreli:</t>
        </r>
        <r>
          <rPr>
            <sz val="8"/>
            <color indexed="81"/>
            <rFont val="Tahoma"/>
            <family val="2"/>
          </rPr>
          <t xml:space="preserve">
1.85-1.95 guidance</t>
        </r>
      </text>
    </comment>
    <comment ref="DE54" authorId="0" shapeId="0" xr:uid="{00000000-0006-0000-0100-000031000000}">
      <text>
        <r>
          <rPr>
            <b/>
            <sz val="8"/>
            <color indexed="81"/>
            <rFont val="Tahoma"/>
            <family val="2"/>
          </rPr>
          <t>Martin Shkreli:</t>
        </r>
        <r>
          <rPr>
            <sz val="8"/>
            <color indexed="81"/>
            <rFont val="Tahoma"/>
            <family val="2"/>
          </rPr>
          <t xml:space="preserve">
2.30-4.0 guidance</t>
        </r>
      </text>
    </comment>
    <comment ref="DF54"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4"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4"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4"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4" authorId="5" shapeId="0" xr:uid="{00000000-0006-0000-0100-000036000000}">
      <text>
        <r>
          <rPr>
            <b/>
            <sz val="9"/>
            <color indexed="81"/>
            <rFont val="Tahoma"/>
            <family val="2"/>
          </rPr>
          <t>Martin:</t>
        </r>
        <r>
          <rPr>
            <sz val="9"/>
            <color indexed="81"/>
            <rFont val="Tahoma"/>
            <family val="2"/>
          </rPr>
          <t xml:space="preserve">
Q410: 5.00-5.20</t>
        </r>
      </text>
    </comment>
    <comment ref="DZ54" authorId="12" shapeId="0" xr:uid="{2C48FDE0-F3B7-42E8-9372-1A785F610513}">
      <text>
        <t>[Threaded comment]
Your version of Excel allows you to read this threaded comment; however, any edits to it will get removed if the file is opened in a newer version of Excel. Learn more: https://go.microsoft.com/fwlink/?linkid=870924
Comment:
    Q4 guidance: 20.00-21.20</t>
      </text>
    </comment>
    <comment ref="DH55"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62" authorId="5" shapeId="0" xr:uid="{00000000-0006-0000-0100-000038000000}">
      <text>
        <r>
          <rPr>
            <b/>
            <sz val="9"/>
            <color indexed="81"/>
            <rFont val="Tahoma"/>
            <family val="2"/>
          </rPr>
          <t>Martin:</t>
        </r>
        <r>
          <rPr>
            <sz val="9"/>
            <color indexed="81"/>
            <rFont val="Tahoma"/>
            <family val="2"/>
          </rPr>
          <t xml:space="preserve">
Q410: 19-20%</t>
        </r>
      </text>
    </comment>
    <comment ref="DF64" authorId="0" shapeId="0" xr:uid="{00000000-0006-0000-0100-000039000000}">
      <text>
        <r>
          <rPr>
            <b/>
            <sz val="8"/>
            <color indexed="81"/>
            <rFont val="Tahoma"/>
            <family val="2"/>
          </rPr>
          <t>Martin Shkreli:</t>
        </r>
        <r>
          <rPr>
            <sz val="8"/>
            <color indexed="81"/>
            <rFont val="Tahoma"/>
            <family val="2"/>
          </rPr>
          <t xml:space="preserve">
12-16% guidance</t>
        </r>
      </text>
    </comment>
    <comment ref="DG70" authorId="0" shapeId="0" xr:uid="{00000000-0006-0000-0100-00003A000000}">
      <text>
        <r>
          <rPr>
            <b/>
            <sz val="8"/>
            <color indexed="81"/>
            <rFont val="Tahoma"/>
            <family val="2"/>
          </rPr>
          <t>Martin Shkreli:</t>
        </r>
        <r>
          <rPr>
            <sz val="8"/>
            <color indexed="81"/>
            <rFont val="Tahoma"/>
            <family val="2"/>
          </rPr>
          <t xml:space="preserve">
30-40% growth guidance</t>
        </r>
      </text>
    </comment>
    <comment ref="DF72"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<sst xmlns="http://schemas.openxmlformats.org/spreadsheetml/2006/main" count="1917" uniqueCount="1538">
  <si>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</si>
  <si>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</si>
  <si>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</si>
  <si>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</si>
  <si>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</si>
  <si>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</si>
  <si>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</si>
  <si>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</si>
  <si>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</si>
  <si>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</si>
  <si>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</si>
  <si>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</si>
  <si>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</si>
  <si>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</si>
  <si>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</si>
  <si>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</si>
  <si>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</si>
  <si>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</si>
  <si>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</si>
  <si>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</si>
  <si>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</si>
  <si>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</si>
  <si>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</si>
  <si>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</si>
  <si>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</si>
  <si>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</si>
  <si>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</si>
  <si>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</si>
  <si>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</si>
  <si>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</si>
  <si>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</si>
  <si>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</si>
  <si>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</si>
  <si>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</si>
  <si>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</si>
  <si>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</si>
  <si>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</si>
  <si>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</si>
  <si>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</si>
  <si>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</si>
  <si>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</si>
  <si>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</si>
  <si>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</si>
  <si>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</si>
  <si>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</si>
  <si>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</si>
  <si>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</si>
  <si>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</si>
  <si>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</si>
  <si>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</si>
  <si>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</si>
  <si>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</si>
  <si>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</si>
  <si>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</si>
  <si>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</si>
  <si>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</si>
  <si>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</si>
  <si>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</si>
  <si>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</si>
  <si>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</si>
  <si>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</si>
  <si>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</si>
  <si>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</si>
  <si>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</si>
  <si>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</si>
  <si>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</si>
  <si>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</si>
  <si>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</si>
  <si>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</si>
  <si>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</si>
  <si>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</si>
  <si>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</si>
  <si>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</si>
  <si>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</si>
  <si>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</si>
  <si>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</si>
  <si>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</si>
  <si>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</si>
  <si>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</si>
  <si>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</si>
  <si>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</si>
  <si>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</si>
  <si>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</si>
  <si>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</si>
  <si>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</si>
  <si>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</si>
  <si>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</si>
  <si>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</si>
  <si>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</si>
  <si>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</si>
  <si>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</si>
  <si>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</si>
  <si>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</si>
  <si>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</si>
  <si>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</si>
  <si>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</si>
  <si>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</si>
  <si>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</si>
  <si>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</si>
  <si>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</si>
  <si>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</si>
  <si>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</si>
  <si>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</si>
  <si>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</si>
  <si>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</si>
  <si>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</si>
  <si>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</si>
  <si>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</si>
  <si>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</si>
  <si>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</si>
  <si>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</si>
  <si>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</si>
  <si>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</si>
  <si>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</si>
  <si>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</si>
  <si>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</si>
  <si>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</si>
  <si>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</si>
  <si>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</si>
  <si>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</si>
  <si>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</si>
  <si>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</si>
  <si>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</si>
  <si>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</si>
  <si>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</si>
  <si>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</si>
  <si>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</si>
  <si>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</si>
  <si>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</si>
  <si>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</si>
  <si>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</si>
  <si>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</si>
  <si>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</si>
  <si>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</si>
  <si>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</si>
  <si>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</si>
  <si>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</si>
  <si>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</si>
  <si>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</si>
  <si>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</si>
  <si>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</si>
  <si>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</si>
  <si>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</si>
  <si>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</si>
  <si>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</si>
  <si>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</si>
  <si>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</si>
  <si>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</si>
  <si>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</si>
  <si>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</si>
  <si>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</si>
  <si>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</si>
  <si>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</si>
  <si>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</si>
  <si>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</si>
  <si>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</si>
  <si>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</si>
  <si>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</si>
  <si>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</si>
  <si>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</si>
  <si>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</si>
  <si>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</si>
  <si>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</si>
  <si>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</si>
  <si>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</si>
  <si>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</si>
  <si>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</si>
  <si>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</si>
  <si>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</si>
  <si>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</si>
  <si>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</si>
  <si>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</si>
  <si>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</si>
  <si>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</si>
  <si>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</si>
  <si>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</si>
  <si>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</si>
  <si>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</si>
  <si>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</si>
  <si>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</si>
  <si>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</si>
  <si>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</si>
  <si>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</si>
  <si>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</si>
  <si>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</si>
  <si>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</si>
  <si>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</si>
  <si>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</si>
  <si>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</si>
  <si>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</si>
  <si>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</si>
  <si>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</si>
  <si>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</si>
  <si>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</si>
  <si>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</si>
  <si>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</si>
  <si>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</si>
  <si>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</si>
  <si>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</si>
  <si>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</si>
  <si>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</si>
  <si>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</si>
  <si>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</si>
  <si>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</si>
  <si>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</si>
  <si>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</si>
  <si>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</si>
  <si>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</si>
  <si>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</si>
  <si>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</si>
  <si>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</si>
  <si>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</si>
  <si>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</si>
  <si>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</si>
  <si>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</si>
  <si>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</si>
  <si>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</si>
  <si>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</si>
  <si>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</si>
  <si>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</si>
  <si>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</si>
  <si>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</si>
  <si>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</si>
  <si>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</si>
  <si>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</si>
  <si>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</si>
  <si>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</si>
  <si>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</si>
  <si>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</si>
  <si>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</si>
  <si>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</si>
  <si>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</si>
  <si>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</si>
  <si>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</si>
  <si>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</si>
  <si>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</si>
  <si>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</si>
  <si>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</si>
  <si>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</si>
  <si>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</si>
  <si>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</si>
  <si>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</si>
  <si>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</si>
  <si>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</si>
  <si>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</si>
  <si>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</si>
  <si>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</si>
  <si>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</si>
  <si>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</si>
  <si>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</si>
  <si>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</si>
  <si>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</si>
  <si>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</si>
  <si>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</si>
  <si>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</si>
  <si>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</si>
  <si>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</si>
  <si>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</si>
  <si>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</si>
  <si>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</si>
  <si>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</si>
  <si>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</si>
  <si>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</si>
  <si>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</si>
  <si>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</si>
  <si>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</si>
  <si>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</si>
  <si>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</si>
  <si>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</si>
  <si>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</si>
  <si>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</si>
  <si>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</si>
  <si>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</si>
  <si>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</si>
  <si>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</si>
  <si>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</si>
  <si>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</si>
  <si>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</si>
  <si>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</si>
  <si>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</si>
  <si>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</si>
  <si>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</si>
  <si>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</si>
  <si>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</si>
  <si>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</si>
  <si>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</si>
  <si>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</si>
  <si>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</si>
  <si>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</si>
  <si>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</si>
  <si>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</si>
  <si>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</si>
  <si>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</si>
  <si>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</si>
  <si>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</si>
  <si>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</si>
  <si>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</si>
  <si>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</si>
  <si>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</si>
  <si>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</si>
  <si>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</si>
  <si>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</si>
  <si>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</si>
  <si>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</si>
  <si>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</si>
  <si>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</si>
  <si>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</si>
  <si>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</si>
  <si>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</si>
  <si>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</si>
  <si>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</si>
  <si>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</si>
  <si>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</si>
  <si>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</si>
  <si>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</si>
  <si>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</si>
  <si>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</si>
  <si>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</si>
  <si>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</si>
  <si>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</si>
  <si>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</si>
  <si>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</si>
  <si>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</si>
  <si>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</si>
  <si>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</si>
  <si>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</si>
  <si>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</si>
  <si>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</si>
  <si>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</si>
  <si>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</si>
  <si>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</si>
  <si>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</si>
  <si>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</si>
  <si>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</si>
  <si>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</si>
  <si>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</si>
  <si>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</si>
  <si>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</si>
  <si>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</si>
  <si>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</si>
  <si>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</si>
  <si>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</si>
  <si>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</si>
  <si>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</si>
  <si>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</si>
  <si>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</si>
  <si>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</si>
  <si>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</si>
  <si>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</si>
  <si>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</si>
  <si>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</si>
  <si>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</si>
  <si>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</si>
  <si>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</si>
  <si>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</si>
  <si>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</si>
  <si>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</si>
  <si>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</si>
  <si>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</si>
  <si>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</si>
  <si>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</si>
  <si>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</si>
  <si>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</si>
  <si>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</si>
  <si>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</si>
  <si>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</si>
  <si>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</si>
  <si>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</si>
  <si>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</si>
  <si>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</si>
  <si>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</si>
  <si>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</si>
  <si>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</si>
  <si>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</si>
  <si>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</si>
  <si>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</si>
  <si>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</si>
  <si>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</si>
  <si>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</si>
  <si>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</si>
  <si>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</si>
  <si>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</si>
  <si>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</si>
  <si>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</si>
  <si>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</si>
  <si>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</si>
  <si>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</si>
  <si>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</si>
  <si>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</si>
  <si>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</si>
  <si>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</si>
  <si>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</si>
  <si>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</si>
  <si>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</si>
  <si>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</si>
  <si>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</si>
  <si>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</si>
  <si>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</si>
  <si>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</si>
  <si>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</si>
  <si>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</si>
  <si>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</si>
  <si>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</si>
  <si>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</si>
  <si>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</si>
  <si>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</si>
  <si>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</si>
  <si>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</si>
  <si>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</si>
  <si>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</si>
  <si>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</si>
  <si>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</si>
  <si>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</si>
  <si>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</si>
  <si>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</si>
  <si>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</si>
  <si>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</si>
  <si>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</si>
  <si>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</si>
  <si>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</si>
  <si>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</si>
  <si>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</si>
  <si>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</si>
  <si>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</si>
  <si>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</si>
  <si>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</si>
  <si>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</si>
  <si>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</si>
  <si>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</si>
  <si>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</si>
  <si>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</si>
  <si>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</si>
  <si>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</si>
  <si>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</si>
  <si>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</si>
  <si>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</si>
  <si>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</si>
  <si>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</si>
  <si>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</si>
  <si>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</si>
  <si>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</si>
  <si>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</si>
  <si>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</si>
  <si>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</si>
  <si>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</si>
  <si>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</si>
  <si>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</si>
  <si>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</si>
  <si>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</si>
  <si>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</si>
  <si>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</si>
  <si>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</si>
  <si>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</si>
  <si>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</si>
  <si>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</si>
  <si>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</si>
  <si>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</si>
  <si>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</si>
  <si>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</si>
  <si>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</si>
  <si>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</si>
  <si>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</si>
  <si>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</si>
  <si>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</si>
  <si>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</si>
  <si>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</si>
  <si>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</si>
  <si>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</si>
  <si>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</si>
  <si>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</si>
  <si>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</si>
  <si>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</si>
  <si>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</si>
  <si>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</si>
  <si>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</si>
  <si>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</si>
  <si>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</si>
  <si>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</si>
  <si>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</si>
  <si>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</si>
  <si>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</si>
  <si>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</si>
  <si>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</si>
  <si>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</si>
  <si>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</si>
  <si>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</si>
  <si>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</si>
  <si>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</si>
  <si>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</si>
  <si>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</si>
  <si>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</si>
  <si>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</si>
  <si>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</si>
  <si>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</si>
  <si>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</si>
  <si>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</si>
  <si>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</si>
  <si>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</si>
  <si>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</si>
  <si>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</si>
  <si>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</si>
  <si>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</si>
  <si>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</si>
  <si>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</si>
  <si>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</si>
  <si>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</si>
  <si>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</si>
  <si>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</si>
  <si>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</si>
  <si>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</si>
  <si>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</si>
  <si>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</si>
  <si>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</si>
  <si>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</si>
  <si>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</si>
  <si>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</si>
  <si>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</si>
  <si>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</si>
  <si>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</si>
  <si>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</si>
  <si>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</si>
  <si>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</si>
  <si>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</si>
  <si>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</si>
  <si>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</si>
  <si>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</si>
  <si>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</si>
  <si>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</si>
  <si>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</si>
  <si>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</si>
  <si>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</si>
  <si>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</si>
  <si>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</si>
  <si>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</si>
  <si>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</si>
  <si>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</si>
  <si>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</si>
  <si>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</si>
  <si>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</si>
  <si>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</si>
  <si>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</si>
  <si>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</si>
  <si>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</si>
  <si>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</si>
  <si>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</si>
  <si>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</si>
  <si>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</si>
  <si>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</si>
  <si>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</si>
  <si>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</si>
  <si>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</si>
  <si>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</si>
  <si>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</si>
  <si>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</si>
  <si>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</si>
  <si>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</si>
  <si>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</si>
  <si>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</si>
  <si>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</si>
  <si>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</si>
  <si>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</si>
  <si>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</si>
  <si>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</si>
  <si>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</si>
  <si>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</si>
  <si>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</si>
  <si>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</si>
  <si>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</si>
  <si>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</si>
  <si>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</si>
  <si>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</si>
  <si>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</si>
  <si>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</si>
  <si>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</si>
  <si>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</si>
  <si>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</si>
  <si>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</si>
  <si>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</si>
  <si>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</si>
  <si>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</si>
  <si>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</si>
  <si>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</si>
  <si>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</si>
  <si>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</si>
  <si>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</si>
  <si>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</si>
  <si>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</si>
  <si>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</si>
  <si>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</si>
  <si>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</si>
  <si>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</si>
  <si>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</si>
  <si>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</si>
  <si>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</si>
  <si>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</si>
  <si>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</si>
  <si>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</si>
  <si>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</si>
  <si>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</si>
  <si>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</si>
  <si>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</si>
  <si>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</si>
  <si>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</si>
  <si>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</si>
  <si>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</si>
  <si>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</si>
  <si>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</si>
  <si>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</si>
  <si>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</si>
  <si>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</si>
  <si>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</si>
  <si>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</si>
  <si>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</si>
  <si>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</si>
  <si>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</si>
  <si>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</si>
  <si>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</si>
  <si>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</si>
  <si>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</si>
  <si>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</si>
  <si>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</si>
  <si>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</si>
  <si>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</si>
  <si>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</si>
  <si>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</si>
  <si>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</si>
  <si>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</si>
  <si>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</si>
  <si>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</si>
  <si>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</si>
  <si>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</si>
  <si>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</si>
  <si>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</si>
  <si>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</si>
  <si>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</si>
  <si>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</si>
  <si>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</si>
  <si>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</si>
  <si>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</si>
  <si>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</si>
  <si>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</si>
  <si>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</si>
  <si>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</si>
  <si>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</si>
  <si>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</si>
  <si>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</si>
  <si>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</si>
  <si>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</si>
  <si>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</si>
  <si>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</si>
  <si>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</si>
  <si>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</si>
  <si>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</si>
  <si>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</si>
  <si>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</si>
  <si>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</si>
  <si>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</si>
  <si>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</si>
  <si>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</si>
  <si>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</si>
  <si>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</si>
  <si>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</si>
  <si>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</si>
  <si>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</si>
  <si>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</si>
  <si>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</si>
  <si>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</si>
  <si>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</si>
  <si>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</si>
  <si>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</si>
  <si>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</si>
  <si>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</si>
  <si>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</si>
  <si>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</si>
  <si>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</si>
  <si>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</si>
  <si>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</si>
  <si>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</si>
  <si>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</si>
  <si>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</si>
  <si>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</si>
  <si>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</si>
  <si>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</si>
  <si>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</si>
  <si>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</si>
  <si>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</si>
  <si>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</si>
  <si>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</si>
  <si>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</si>
  <si>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</si>
  <si>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</si>
  <si>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</si>
  <si>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</si>
  <si>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</si>
  <si>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</si>
  <si>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</si>
  <si>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</si>
  <si>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</si>
  <si>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</si>
  <si>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</si>
  <si>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</si>
  <si>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</si>
  <si>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</si>
  <si>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</si>
  <si>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</si>
  <si>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</si>
  <si>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</si>
  <si>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</si>
  <si>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</si>
  <si>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</si>
  <si>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</si>
  <si>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</si>
  <si>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</si>
  <si>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</si>
  <si>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</si>
  <si>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</si>
  <si>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</si>
  <si>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</si>
  <si>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</si>
  <si>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</si>
  <si>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</si>
  <si>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</si>
  <si>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</si>
  <si>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</si>
  <si>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</si>
  <si>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</si>
  <si>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</si>
  <si>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</si>
  <si>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</si>
  <si>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</si>
  <si>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</si>
  <si>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</si>
  <si>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</si>
  <si>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</si>
  <si>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</si>
  <si>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</si>
  <si>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</si>
  <si>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</si>
  <si>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</si>
  <si>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</si>
  <si>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</si>
  <si>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</si>
  <si>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</si>
  <si>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</si>
  <si>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</si>
  <si>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</si>
  <si>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</si>
  <si>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</si>
  <si>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</si>
  <si>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</si>
  <si>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</si>
  <si>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</si>
  <si>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</si>
  <si>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</si>
  <si>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</si>
  <si>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</si>
  <si>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</si>
  <si>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</si>
  <si>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</si>
  <si>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</si>
  <si>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</si>
  <si>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</si>
  <si>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</si>
  <si>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</si>
  <si>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</si>
  <si>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</si>
  <si>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</si>
  <si>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</si>
  <si>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</si>
  <si>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</si>
  <si>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</si>
  <si>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</si>
  <si>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</si>
  <si>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</si>
  <si>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</si>
  <si>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</si>
  <si>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</si>
  <si>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</si>
  <si>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</si>
  <si>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</si>
  <si>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</si>
  <si>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</si>
  <si>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</si>
  <si>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</si>
  <si>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</si>
  <si>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</si>
  <si>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</si>
  <si>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</si>
  <si>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</si>
  <si>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</si>
  <si>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</si>
  <si>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</si>
  <si>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</si>
  <si>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</si>
  <si>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</si>
  <si>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</si>
  <si>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</si>
  <si>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</si>
  <si>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</si>
  <si>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</si>
  <si>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</si>
  <si>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</si>
  <si>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</si>
  <si>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</si>
  <si>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</si>
  <si>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</si>
  <si>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</si>
  <si>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</si>
  <si>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</si>
  <si>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</si>
  <si>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</si>
  <si>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</si>
  <si>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</si>
  <si>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</si>
  <si>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</si>
  <si>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</si>
  <si>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</si>
  <si>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</si>
  <si>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</si>
  <si>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</si>
  <si>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</si>
  <si>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</si>
  <si>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</si>
  <si>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</si>
  <si>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</si>
  <si>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</si>
  <si>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</si>
  <si>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</si>
  <si>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</si>
  <si>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</si>
  <si>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</si>
  <si>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</si>
  <si>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</si>
  <si>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</si>
  <si>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</si>
  <si>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</si>
  <si>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</si>
  <si>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</si>
  <si>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</si>
  <si>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</si>
  <si>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</si>
  <si>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</si>
  <si>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</si>
  <si>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</si>
  <si>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</si>
  <si>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</si>
  <si>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</si>
  <si>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</si>
  <si>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</si>
  <si>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</si>
  <si>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</si>
  <si>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</si>
  <si>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</si>
  <si>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</si>
  <si>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</si>
  <si>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</si>
  <si>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</si>
  <si>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</si>
  <si>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</si>
  <si>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</si>
  <si>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</si>
  <si>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</si>
  <si>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</si>
  <si>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</si>
  <si>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</si>
  <si>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</si>
  <si>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</si>
  <si>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</si>
  <si>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</si>
  <si>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</si>
  <si>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</si>
  <si>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</si>
  <si>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</si>
  <si>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</si>
  <si>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</si>
  <si>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</si>
  <si>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</si>
  <si>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</si>
  <si>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</si>
  <si>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</si>
  <si>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</si>
  <si>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</si>
  <si>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</si>
  <si>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</si>
  <si>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</si>
  <si>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</si>
  <si>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</si>
  <si>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</si>
  <si>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</si>
  <si>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</si>
  <si>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</si>
  <si>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</si>
  <si>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</si>
  <si>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</si>
  <si>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</si>
  <si>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</si>
  <si>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</si>
  <si>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</si>
  <si>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</si>
  <si>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</si>
  <si>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</si>
  <si>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</si>
  <si>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</si>
  <si>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</si>
  <si>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</si>
  <si>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</si>
  <si>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</si>
  <si>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</si>
  <si>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</si>
  <si>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</si>
  <si>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</si>
  <si>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</si>
  <si>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</si>
  <si>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</si>
  <si>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</si>
  <si>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</si>
  <si>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</si>
  <si>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</si>
  <si>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</si>
  <si>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</si>
  <si>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</si>
  <si>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</si>
  <si>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</si>
  <si>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</si>
  <si>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</si>
  <si>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</si>
  <si>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</si>
  <si>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</si>
  <si>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</si>
  <si>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</si>
  <si>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</si>
  <si>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</si>
  <si>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</si>
  <si>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</si>
  <si>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</si>
  <si>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</si>
  <si>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</si>
  <si>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</si>
  <si>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</si>
  <si>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</si>
  <si>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</si>
  <si>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</si>
  <si>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</si>
  <si>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</si>
  <si>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</si>
  <si>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</si>
  <si>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</si>
  <si>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</si>
  <si>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</si>
  <si>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</si>
  <si>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</si>
  <si>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</si>
  <si>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</si>
  <si>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</si>
  <si>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</si>
  <si>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</si>
  <si>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</si>
  <si>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</si>
  <si>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</si>
  <si>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</si>
  <si>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</si>
  <si>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</si>
  <si>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</si>
  <si>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</si>
  <si>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</si>
  <si>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</si>
  <si>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</si>
  <si>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</si>
  <si>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</si>
  <si>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</si>
  <si>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</si>
  <si>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</si>
  <si>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</si>
  <si>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</si>
  <si>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</si>
  <si>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</si>
  <si>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</si>
  <si>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</si>
  <si>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</si>
  <si>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</si>
  <si>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</si>
  <si>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</si>
  <si>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</si>
  <si>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</si>
  <si>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</si>
  <si>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</si>
  <si>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</si>
  <si>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</si>
  <si>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</si>
  <si>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</si>
  <si>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</si>
  <si>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</si>
  <si>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</si>
  <si>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</si>
  <si>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</si>
  <si>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</si>
  <si>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</si>
  <si>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</si>
  <si>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</si>
  <si>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</si>
  <si>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</si>
  <si>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</si>
  <si>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</si>
  <si>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</si>
  <si>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</si>
  <si>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</si>
  <si>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</si>
  <si>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</si>
  <si>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</si>
  <si>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</si>
  <si>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</si>
  <si>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</si>
  <si>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</si>
  <si>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</si>
  <si>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</si>
  <si>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</si>
  <si>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</si>
  <si>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</si>
  <si>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</si>
  <si>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</si>
  <si>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</si>
  <si>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</si>
  <si>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</si>
  <si>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</si>
  <si>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</si>
  <si>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</si>
  <si>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</si>
  <si>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</si>
  <si>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</si>
  <si>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</si>
  <si>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</si>
  <si>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</si>
  <si>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</si>
  <si>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</si>
  <si>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</si>
  <si>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</si>
  <si>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</si>
  <si>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</si>
  <si>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</si>
  <si>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</si>
  <si>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</si>
  <si>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</si>
  <si>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</si>
  <si>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</si>
  <si>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</si>
  <si>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</si>
  <si>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</si>
  <si>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</si>
  <si>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</si>
  <si>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</si>
  <si>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</si>
  <si>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</si>
  <si>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</si>
  <si>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</si>
  <si>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</si>
  <si>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</si>
  <si>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</si>
  <si>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</si>
  <si>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</si>
  <si>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</si>
  <si>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</si>
  <si>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</si>
  <si>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</si>
  <si>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</si>
  <si>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</si>
  <si>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</si>
  <si>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</si>
  <si>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</si>
  <si>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</si>
  <si>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</si>
  <si>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</si>
  <si>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</si>
  <si>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</si>
  <si>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</si>
  <si>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</si>
  <si>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</si>
  <si>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</si>
  <si>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</si>
  <si>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</si>
  <si>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</si>
  <si>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</si>
  <si>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</si>
  <si>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</si>
  <si>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</si>
  <si>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</si>
  <si>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</si>
  <si>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</si>
  <si>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</si>
  <si>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</si>
  <si>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</si>
  <si>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</si>
  <si>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</si>
  <si>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</si>
  <si>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</si>
  <si>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</si>
  <si>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</si>
  <si>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</si>
  <si>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</si>
  <si>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</si>
  <si>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</si>
  <si>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</si>
  <si>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</si>
  <si>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</si>
  <si>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</si>
  <si>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</si>
  <si>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</si>
  <si>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</si>
  <si>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</si>
  <si>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</si>
  <si>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</si>
  <si>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</si>
  <si>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</si>
  <si>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</si>
  <si>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</si>
  <si>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</si>
  <si>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</si>
  <si>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</si>
  <si>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</si>
  <si>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</si>
  <si>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</si>
  <si>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</si>
  <si>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</si>
  <si>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</si>
  <si>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</si>
  <si>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</si>
  <si>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</si>
  <si>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</si>
  <si>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</si>
  <si>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</si>
  <si>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</si>
  <si>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</si>
  <si>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</si>
  <si>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</si>
  <si>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</si>
  <si>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</si>
  <si>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</si>
  <si>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</si>
  <si>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</si>
  <si>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</si>
  <si>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</si>
  <si>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</si>
  <si>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</si>
  <si>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</si>
  <si>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</si>
  <si>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</si>
  <si>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</si>
  <si>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</si>
  <si>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</si>
  <si>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</si>
  <si>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</si>
  <si>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</si>
  <si>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</si>
  <si>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</si>
  <si>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</si>
  <si>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</si>
  <si>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</si>
  <si>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</si>
  <si>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</si>
  <si>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</si>
  <si>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</si>
  <si>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</si>
  <si>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</si>
  <si>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</si>
  <si>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</si>
  <si>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</si>
  <si>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</si>
  <si>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</si>
  <si>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</si>
  <si>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</si>
  <si>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</si>
  <si>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</si>
  <si>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</si>
  <si>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</si>
  <si>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</si>
  <si>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</si>
  <si>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</si>
  <si>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</si>
  <si>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</si>
  <si>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</si>
  <si>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</si>
  <si>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</si>
  <si>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</si>
  <si>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</si>
  <si>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</si>
  <si>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</si>
  <si>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</si>
  <si>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</si>
  <si>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</si>
  <si>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</si>
  <si>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</si>
  <si>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</si>
  <si>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</si>
  <si>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</si>
  <si>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</si>
  <si>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</si>
  <si>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</si>
  <si>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</si>
  <si>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</si>
  <si>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</si>
  <si>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</si>
  <si>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</si>
  <si>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</si>
  <si>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</si>
  <si>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</si>
  <si>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</si>
  <si>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</si>
  <si>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</si>
  <si>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</si>
  <si>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</si>
  <si>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</si>
  <si>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</si>
  <si>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</si>
  <si>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</si>
  <si>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</si>
  <si>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</si>
  <si>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</si>
  <si>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</si>
  <si>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</si>
  <si>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</si>
  <si>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</si>
  <si>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</si>
  <si>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</si>
  <si>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</si>
  <si>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</si>
  <si>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</si>
  <si>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</si>
  <si>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</si>
  <si>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</si>
  <si>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</si>
  <si>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</si>
  <si>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</si>
  <si>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</si>
  <si>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</si>
  <si>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</si>
  <si>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</si>
  <si>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</si>
  <si>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</si>
  <si>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</si>
  <si>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</si>
  <si>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</si>
  <si>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</si>
  <si>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</si>
  <si>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</si>
  <si>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</si>
  <si>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</si>
  <si>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</si>
  <si>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</si>
  <si>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</si>
  <si>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</si>
  <si>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</si>
  <si>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</si>
  <si>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</si>
  <si>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</si>
  <si>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</si>
  <si>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</si>
  <si>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</si>
  <si>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</si>
  <si>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</si>
  <si>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</si>
  <si>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</si>
  <si>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</si>
  <si>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</si>
  <si>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</si>
  <si>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</si>
  <si>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</si>
  <si>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</si>
  <si>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</si>
  <si>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</si>
  <si>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</si>
  <si>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</si>
  <si>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</si>
  <si>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</si>
  <si>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</si>
  <si>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</si>
  <si>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</si>
  <si>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</si>
  <si>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</si>
  <si>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</si>
  <si>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</si>
  <si>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</si>
  <si>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</si>
  <si>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</si>
  <si>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</si>
  <si>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</si>
  <si>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</si>
  <si>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</si>
  <si>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</si>
  <si>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</si>
  <si>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</si>
  <si>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</si>
  <si>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</si>
  <si>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</si>
  <si>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</si>
  <si>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</si>
  <si>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</si>
  <si>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</si>
  <si>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</si>
  <si>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</si>
  <si>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</si>
  <si>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</si>
  <si>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</si>
  <si>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</si>
  <si>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</si>
  <si>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</si>
  <si>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</si>
  <si>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</si>
  <si>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</si>
  <si>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</si>
  <si>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</si>
  <si>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</si>
  <si>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</si>
  <si>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</si>
  <si>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</si>
  <si>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</si>
  <si>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</si>
  <si>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</si>
  <si>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</si>
  <si>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</si>
  <si>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</si>
  <si>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</si>
  <si>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</si>
  <si>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</si>
  <si>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</si>
  <si>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</si>
  <si>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</si>
  <si>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</si>
  <si>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</si>
  <si>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</si>
  <si>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</si>
  <si>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</si>
  <si>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</si>
  <si>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</si>
  <si>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</si>
  <si>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</si>
  <si>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</si>
  <si>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</si>
  <si>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</si>
  <si>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</si>
  <si>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</si>
  <si>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asthma</t>
  </si>
  <si>
    <t>dazodalibep</t>
  </si>
  <si>
    <t>CD40L</t>
  </si>
  <si>
    <t>Sjogren's</t>
  </si>
  <si>
    <t>daxdilimab</t>
  </si>
  <si>
    <t>ILT7</t>
  </si>
  <si>
    <t>AMG670/HZN825 (fipaxalparant)</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</si>
  <si>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</si>
  <si>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</si>
  <si>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</si>
  <si>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</si>
  <si>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</si>
  <si>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</si>
  <si>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</si>
  <si>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</si>
  <si>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</si>
  <si>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</si>
  <si>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</si>
  <si>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</si>
  <si>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</si>
  <si>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</si>
  <si>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</si>
  <si>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</si>
  <si>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</si>
  <si>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</si>
  <si>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</si>
  <si>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</si>
  <si>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</si>
  <si>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</si>
  <si>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</si>
  <si>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</si>
  <si>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</si>
  <si>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</si>
  <si>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</si>
  <si>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</si>
  <si>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</si>
  <si>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</si>
  <si>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</si>
  <si>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</si>
  <si>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</si>
  <si>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</si>
  <si>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</si>
  <si>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Acquisitions</t>
  </si>
  <si>
    <t>10/20/2022: Acquires ChemoCentryx for 3.9B.</t>
  </si>
  <si>
    <t>10/19/2021: Acquires Tenebio for 993m.</t>
  </si>
  <si>
    <t>4/16/2021: Acquires Five Prime for 1.6B.</t>
  </si>
  <si>
    <t>2/7/2025: investor conference</t>
  </si>
  <si>
    <t>2/4/2025: Q424 results</t>
  </si>
  <si>
    <t>Teneobio</t>
  </si>
  <si>
    <t>AMG 133</t>
  </si>
  <si>
    <t>Part 1: 52 week weight loss without a plateau</t>
  </si>
  <si>
    <t>Part 2: data readout 2H25</t>
  </si>
  <si>
    <t>Phase III MARITIME</t>
  </si>
  <si>
    <t>1H25 group of studies</t>
  </si>
  <si>
    <t>Phase II n=350 T2DM</t>
  </si>
  <si>
    <t>Phase II n=592 chronic weight management with or without obesity</t>
  </si>
  <si>
    <t>Phase I</t>
  </si>
  <si>
    <t>21mg, 70mg, 140mg, 280mg, 560mg, 840mg</t>
  </si>
  <si>
    <t>single dose from -4% to -9% weight loss at day 150</t>
  </si>
  <si>
    <t>multiple (3) doses from -6% to -15% weight loss at 90</t>
  </si>
  <si>
    <t>GLP-1/GIPR antagonist peptide-antibody conjugate</t>
  </si>
  <si>
    <t>BMD changes?</t>
  </si>
  <si>
    <t>AMG513</t>
  </si>
  <si>
    <t>Obesity</t>
  </si>
  <si>
    <t>III</t>
  </si>
  <si>
    <t>AMG 890</t>
  </si>
  <si>
    <t>olpasiran</t>
  </si>
  <si>
    <t>Lp(a) siRNA</t>
  </si>
  <si>
    <t>Phase III "OCEAN(a)-Outcomes" atherosclerotic CV with elevated Lp(a)</t>
  </si>
  <si>
    <t>Phase III outcomes with elevated Lp(a) and high risk for CV event - initiate 2H25/1H26.</t>
  </si>
  <si>
    <t>evolocumab</t>
  </si>
  <si>
    <t>Hypercholesterolemia</t>
  </si>
  <si>
    <t>PCSK9 mab</t>
  </si>
  <si>
    <t>BLA 125522 approved 8/27/2015</t>
  </si>
  <si>
    <t>Phase III "VESALIUS-CV" high CV risk without prior MI/stroke - data 2H25</t>
  </si>
  <si>
    <t>Phase IV "EVOLVE-MI" administered within 10 days of AMI</t>
  </si>
  <si>
    <t>100%?</t>
  </si>
  <si>
    <t>ANCA-vasculitis</t>
  </si>
  <si>
    <t>C5aR antagonist</t>
  </si>
  <si>
    <t>avacopan</t>
  </si>
  <si>
    <t>ANCA-associated vasculitis</t>
  </si>
  <si>
    <t>Phase III "CL010_168"</t>
  </si>
  <si>
    <t>superior sustained remission vs. prednisone (12.5% better)</t>
  </si>
  <si>
    <t>NDA 214487 approved 10/7/2021</t>
  </si>
  <si>
    <t>Tavneos, fka CCX168</t>
  </si>
  <si>
    <t xml:space="preserve">Phase III ANCA-associated vasculitis (GPA/MPA) with rituxan or cyclophosphamide </t>
  </si>
  <si>
    <t>teprotumumab</t>
  </si>
  <si>
    <t>FDA approval 1/21/2020</t>
  </si>
  <si>
    <t>EMA approval 2H25</t>
  </si>
  <si>
    <t>Phase III Japanese TED</t>
  </si>
  <si>
    <t>Phase III subcutaneous TED</t>
  </si>
  <si>
    <t>Phase III "MIRROR"</t>
  </si>
  <si>
    <t>Phase III "AGILE" shorter duration infusion</t>
  </si>
  <si>
    <t>similar to MIRROR</t>
  </si>
  <si>
    <t>pegloticase</t>
  </si>
  <si>
    <t>BLA 125293 approved 9/14/2010</t>
  </si>
  <si>
    <t>uricase</t>
  </si>
  <si>
    <t>Uplizna (inebilizumab)</t>
  </si>
  <si>
    <t>inebilizumab</t>
  </si>
  <si>
    <t>NMOSD, gMG</t>
  </si>
  <si>
    <t>BLA 761142 approved 6/11/2020</t>
  </si>
  <si>
    <t>Viela Bio acquisition by Horizon</t>
  </si>
  <si>
    <t>Uplizna, MEDI-551</t>
  </si>
  <si>
    <t>CD19 mab</t>
  </si>
  <si>
    <t>Phase III "MINT" gMG</t>
  </si>
  <si>
    <t>Phase III "MITIGATE" IgG4-RD</t>
  </si>
  <si>
    <t>IPF, systemic sclerosis (failed)</t>
  </si>
  <si>
    <t>DLE, myositis</t>
  </si>
  <si>
    <t>tezepelumab</t>
  </si>
  <si>
    <t>BLA 761224 approved 12/17/2021</t>
  </si>
  <si>
    <t>AZN?</t>
  </si>
  <si>
    <t>Severe Asthma</t>
  </si>
  <si>
    <t>Phase III "PATHWAY"</t>
  </si>
  <si>
    <t>Phase III "NAVIGATOR"</t>
  </si>
  <si>
    <t>IND 103031 filed 8/8/2008</t>
  </si>
  <si>
    <t>Phase III "SOURCE"</t>
  </si>
  <si>
    <t>Phase III "COPD"</t>
  </si>
  <si>
    <t>Phase III "WAYPOINT" chronic rhinosinusitis with nasal polyps</t>
  </si>
  <si>
    <t>Phase IV "PASSAGE"</t>
  </si>
  <si>
    <t>Phase IIIb "WAYFINDER" severe asthma</t>
  </si>
  <si>
    <t>rocatinlimab</t>
  </si>
  <si>
    <t>AMG 451/KHK4083</t>
  </si>
  <si>
    <t>Atopic Dermatitis</t>
  </si>
  <si>
    <t>Kyowa Kirin</t>
  </si>
  <si>
    <t>Phase III "ROCKET" - eight trial program</t>
  </si>
  <si>
    <t>Phase III "ROCKET SHUTTLE" moderate-to-severe AD - data 1H25</t>
  </si>
  <si>
    <t>Phase III "ROCKET IGNITE" moderate-to-severe-AD monotherapy - data 1H25</t>
  </si>
  <si>
    <t>Phase III "ROCKET ASCEND" moderate-to-severe AD maintenance - data 2H25</t>
  </si>
  <si>
    <t>Phase III "ROCKET ASTRO" moderate-to-severe adolescent AD - data 2H25</t>
  </si>
  <si>
    <t>Phase II moderate-to-severe asthma</t>
  </si>
  <si>
    <t>Phase III prurigo nodularis</t>
  </si>
  <si>
    <t>NDA 205437 filed 3/21/2013 by Celgene.</t>
  </si>
  <si>
    <t>PDE4 inhibitor</t>
  </si>
  <si>
    <t>apremilast</t>
  </si>
  <si>
    <t>Psoriatic Arthritis</t>
  </si>
  <si>
    <t>Phase II "PSA-001" n=204</t>
  </si>
  <si>
    <t>Phase III "PSA-002" n=504</t>
  </si>
  <si>
    <t>Phase III "PSA-003" n=488</t>
  </si>
  <si>
    <t>Phase III "PSA-004" n=505</t>
  </si>
  <si>
    <t>Phase III "PSA-005" n=528</t>
  </si>
  <si>
    <t>Otezla, fka CC-10004</t>
  </si>
  <si>
    <t>38% vs. 19% ACR20</t>
  </si>
  <si>
    <t>32% vs. 19% ACR20</t>
  </si>
  <si>
    <t>41% vs. 18% ACR20</t>
  </si>
  <si>
    <t>blinatumomab</t>
  </si>
  <si>
    <t>Ph- or B-precursor ALL</t>
  </si>
  <si>
    <t>CD19xCD3</t>
  </si>
  <si>
    <t>BLA 125557</t>
  </si>
  <si>
    <t>Blincyto, fka AMG 103</t>
  </si>
  <si>
    <t>Phase II "MT103-211" n=185</t>
  </si>
  <si>
    <t>41.6% CR/CRh</t>
  </si>
  <si>
    <t>Phase II "SLE"</t>
  </si>
  <si>
    <t>SNY</t>
  </si>
  <si>
    <t>failed Celiac</t>
  </si>
  <si>
    <t>inhaled TSLP fab</t>
  </si>
  <si>
    <t>Phase III "AALL1731" - published NEJM</t>
  </si>
  <si>
    <t>Phase III "Golden Gate"</t>
  </si>
  <si>
    <t>IV; subcutaneous registration study enrolling</t>
  </si>
  <si>
    <t>DLL3xCD3</t>
  </si>
  <si>
    <t>Phase III "DeLLphi-304" 2L ES-SCLC</t>
  </si>
  <si>
    <t>Phase III "DeLLphi-305" with durvalumab 1L ES-SCLC maintenance</t>
  </si>
  <si>
    <t>Phase III "DeLLphi-306" LS-SCLC</t>
  </si>
  <si>
    <t>Phase Ib "DeLLphi-308" subcutaneous ES-SCLC</t>
  </si>
  <si>
    <t>Phase II "DeLLphi-309"  ES-SCLC alternative dosing</t>
  </si>
  <si>
    <t>Phase Ib "DeLLphi-303" with PD-1 inhibitor 1L ES-SCLC</t>
  </si>
  <si>
    <t>tarlatamab</t>
  </si>
  <si>
    <t>BLA 761344 approved 5/16/24</t>
  </si>
  <si>
    <t>Imdelltra, fka AMG757</t>
  </si>
  <si>
    <t>IV</t>
  </si>
  <si>
    <t>Phase III "DeLLphi-301" R/R SCLC</t>
  </si>
  <si>
    <t>monotherapy ORR 40%</t>
  </si>
  <si>
    <t>STEAP1xCD3</t>
  </si>
  <si>
    <t>AMG 509</t>
  </si>
  <si>
    <t>xaluritamig</t>
  </si>
  <si>
    <t>Phase III 2L mCRPC</t>
  </si>
  <si>
    <t>Phase I 1L monotherapy</t>
  </si>
  <si>
    <t>Phase I combination</t>
  </si>
  <si>
    <t>Approval</t>
  </si>
  <si>
    <t>Gastric Cancer</t>
  </si>
  <si>
    <t xml:space="preserve">bemarituzumab </t>
  </si>
  <si>
    <t>gastric cancer</t>
  </si>
  <si>
    <t>Phase III "FORTITUDE-101" with chemotherapy 1L Gastric - results 1H25</t>
  </si>
  <si>
    <t>Phase III "FORTITUDE-102" with chemotherapy+PD-1 1L Gastric - 2H25 results</t>
  </si>
  <si>
    <t>Phase Ib/II "FORTITUDE-103" 1L GC</t>
  </si>
  <si>
    <t>Phase Ib/II "FORTITUDE-301" basket study</t>
  </si>
  <si>
    <t>Phase III "CodeBreaK 202" vs. Keytruda 1L G12C+ PD-L1 NSCLC</t>
  </si>
  <si>
    <t>Phase III "CodeBreaK 301" 1L G12C+ CRC</t>
  </si>
  <si>
    <t>Nplate, fka AMG531</t>
  </si>
  <si>
    <t>romiplostim</t>
  </si>
  <si>
    <t>AMG 193</t>
  </si>
  <si>
    <t>Phase II MTAP-null NSCLC</t>
  </si>
  <si>
    <t>2H25 results</t>
  </si>
  <si>
    <t>ABP692 (ocrelizumab)</t>
  </si>
  <si>
    <t>MS</t>
  </si>
  <si>
    <t>CD20</t>
  </si>
  <si>
    <t>maridebart</t>
  </si>
  <si>
    <t>ABP234</t>
  </si>
  <si>
    <t>Buybacks</t>
  </si>
  <si>
    <t>Pavblu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</si>
</sst>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6">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xf numFmtId="2" fontId="7" fillId="0" borderId="0" xfId="0" applyNumberFormat="1" applyFont="1" applyAlignment="1">
      <alignment horizontal="right"/>
    </xf>
    <xf numFmtId="9" fontId="0" fillId="0" borderId="0" xfId="0" applyNumberFormat="1" applyAlignment="1">
      <alignment horizontal="left"/>
    </xf>
    <xf numFmtId="0" fontId="0" fillId="0" borderId="0" xfId="0" quotePrefix="1"/>
    <xf numFmtId="14" fontId="0" fillId="0" borderId="0" xfId="0" applyNumberFormat="1"/>
    <xf numFmtId="0" fontId="1" fillId="0" borderId="0" xfId="0" quotePrefix="1" applyFont="1"/>
    <xf numFmtId="3" fontId="0" fillId="6" borderId="0" xfId="0" applyNumberFormat="1" applyFill="1" applyAlignment="1">
      <alignment horizontal="right"/>
    </xf>
    <xf numFmtId="3" fontId="1" fillId="6" borderId="0" xfId="0" applyNumberFormat="1" applyFont="1" applyFill="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99</xdr:col>
      <xdr:colOff>27576</xdr:colOff>
      <xdr:row>0</xdr:row>
      <xdr:rowOff>0</xdr:rowOff>
    </xdr:from>
    <xdr:to>
      <xdr:col>99</xdr:col>
      <xdr:colOff>27576</xdr:colOff>
      <xdr:row>138</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8349262" y="0"/>
          <a:ext cx="0" cy="2257284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129</xdr:col>
      <xdr:colOff>49173</xdr:colOff>
      <xdr:row>0</xdr:row>
      <xdr:rowOff>0</xdr:rowOff>
    </xdr:from>
    <xdr:to>
      <xdr:col>129</xdr:col>
      <xdr:colOff>49173</xdr:colOff>
      <xdr:row>194</xdr:row>
      <xdr:rowOff>1</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3925794" y="0"/>
          <a:ext cx="0" cy="3145220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156883</xdr:colOff>
      <xdr:row>22</xdr:row>
      <xdr:rowOff>157013</xdr:rowOff>
    </xdr:from>
    <xdr:to>
      <xdr:col>13</xdr:col>
      <xdr:colOff>474183</xdr:colOff>
      <xdr:row>45</xdr:row>
      <xdr:rowOff>80839</xdr:rowOff>
    </xdr:to>
    <xdr:pic>
      <xdr:nvPicPr>
        <xdr:cNvPr id="2" name="Picture 1">
          <a:extLst>
            <a:ext uri="{FF2B5EF4-FFF2-40B4-BE49-F238E27FC236}">
              <a16:creationId xmlns:a16="http://schemas.microsoft.com/office/drawing/2014/main" id="{32DD577B-2F78-9C24-0926-C8A7BD2DE281}"/>
            </a:ext>
          </a:extLst>
        </xdr:cNvPr>
        <xdr:cNvPicPr>
          <a:picLocks noChangeAspect="1"/>
        </xdr:cNvPicPr>
      </xdr:nvPicPr>
      <xdr:blipFill>
        <a:blip xmlns:r="http://schemas.openxmlformats.org/officeDocument/2006/relationships" r:embed="rId1"/>
        <a:stretch>
          <a:fillRect/>
        </a:stretch>
      </xdr:blipFill>
      <xdr:spPr>
        <a:xfrm>
          <a:off x="1322295" y="3608425"/>
          <a:ext cx="7055770" cy="37039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Z43" dT="2025-02-11T18:44:00.29" personId="{7718D75B-6F2A-49A5-B788-F882785C3404}" id="{A6543DC0-CB94-4CB1-99B4-3F7D8212FA7D}">
    <text>Q4 guidance: 34.3-35.7B</text>
  </threadedComment>
  <threadedComment ref="DZ52" dT="2025-02-11T18:44:36.65" personId="{7718D75B-6F2A-49A5-B788-F882785C3404}" id="{54ECDECD-AA35-4375-AC21-94668D788B79}">
    <text>Q4 guidance: 15-16%</text>
  </threadedComment>
  <threadedComment ref="BW53" dT="2023-02-28T17:29:20.53" personId="{7718D75B-6F2A-49A5-B788-F882785C3404}" id="{D6A92409-CA99-40A1-88DC-B7A73ABD2D61}">
    <text>2230m NGNI</text>
  </threadedComment>
  <threadedComment ref="CA53" dT="2023-02-28T17:29:15.09" personId="{7718D75B-6F2A-49A5-B788-F882785C3404}" id="{44E7E711-BCC1-4AD2-8680-58369B8354DF}">
    <text>NG NI: 2476m</text>
  </threadedComment>
  <threadedComment ref="CK53" dT="2023-02-28T17:19:26.41" personId="{7718D75B-6F2A-49A5-B788-F882785C3404}" id="{3CC28BE0-8712-41A4-9E7A-C2331E672FA9}">
    <text>NGNI 2530</text>
  </threadedComment>
  <threadedComment ref="CL53" dT="2023-02-28T17:09:06.38" personId="{7718D75B-6F2A-49A5-B788-F882785C3404}" id="{E609C7CB-3EB7-4FF0-803C-2DC500014A2B}">
    <text>2202m NG NI</text>
  </threadedComment>
  <threadedComment ref="DZ54" dT="2025-02-11T18:44:23.86" personId="{7718D75B-6F2A-49A5-B788-F882785C3404}" id="{2C48FDE0-F3B7-42E8-9372-1A785F610513}">
    <text>Q4 guidance: 20.00-21.20</text>
  </threadedComment>
</ThreadedComment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I28"/>
  <sheetViews>
    <sheetView zoomScale="175" zoomScaleNormal="175" workbookViewId="0">
      <pane xSplit="2" ySplit="2" topLeftCell="D3" activePane="bottomRight" state="frozen"/>
      <selection pane="topRight" activeCell="C1" sqref="C1"/>
      <selection pane="bottomLeft" activeCell="A3" sqref="A3"/>
      <selection pane="bottomRight" activeCell="I22" sqref="I22"/>
    </sheetView>
  </sheetViews>
  <sheetFormatPr defaultColWidth="8.85546875" defaultRowHeight="12.75"/>
  <cols>
    <col min="1" max="1" width="5" bestFit="1" customWidth="1"/>
    <col min="2" max="3" width="20.85546875" customWidth="1"/>
  </cols>
  <sheetData>
    <row r="1" spans="1:8">
      <c r="A1" s="11" t="s">
        <v>5</v>
      </c>
    </row>
    <row r="2" spans="1:8">
      <c r="B2" t="s">
        <v>1201</v>
      </c>
      <c r="C2" s="102" t="s">
        <v>1210</v>
      </c>
      <c r="D2" t="s">
        <v>3</v>
      </c>
      <c r="E2" t="s">
        <v>1202</v>
      </c>
      <c r="F2" t="s">
        <v>6</v>
      </c>
      <c r="G2" t="s">
        <v>1203</v>
      </c>
      <c r="H2" s="102" t="s">
        <v>1516</v>
      </c>
    </row>
    <row r="3" spans="1:8">
      <c r="B3" s="25" t="s">
        <v>213</v>
      </c>
      <c r="C3" s="60"/>
      <c r="D3" s="29" t="s">
        <v>1045</v>
      </c>
      <c r="E3" s="6" t="s">
        <v>807</v>
      </c>
      <c r="F3" s="12">
        <v>1</v>
      </c>
      <c r="G3" t="s">
        <v>1204</v>
      </c>
    </row>
    <row r="4" spans="1:8">
      <c r="B4" s="5" t="s">
        <v>1233</v>
      </c>
      <c r="C4" s="4"/>
    </row>
    <row r="5" spans="1:8">
      <c r="B5" s="5" t="s">
        <v>1236</v>
      </c>
      <c r="C5" s="4"/>
    </row>
    <row r="6" spans="1:8">
      <c r="B6" s="5" t="s">
        <v>1242</v>
      </c>
      <c r="C6" s="4"/>
    </row>
    <row r="7" spans="1:8">
      <c r="B7" s="5" t="s">
        <v>1301</v>
      </c>
      <c r="C7" s="4"/>
    </row>
    <row r="8" spans="1:8">
      <c r="B8" s="5" t="s">
        <v>1302</v>
      </c>
      <c r="C8" s="4"/>
    </row>
    <row r="9" spans="1:8">
      <c r="B9" s="5" t="s">
        <v>1197</v>
      </c>
      <c r="C9" s="4"/>
    </row>
    <row r="10" spans="1:8">
      <c r="B10" s="5" t="s">
        <v>1190</v>
      </c>
      <c r="C10" s="4"/>
    </row>
    <row r="11" spans="1:8">
      <c r="B11" s="5" t="s">
        <v>1303</v>
      </c>
      <c r="C11" s="4"/>
    </row>
    <row r="12" spans="1:8">
      <c r="B12" s="5" t="s">
        <v>1304</v>
      </c>
      <c r="C12" s="4"/>
    </row>
    <row r="13" spans="1:8">
      <c r="B13" s="5" t="s">
        <v>1305</v>
      </c>
      <c r="C13" s="4"/>
    </row>
    <row r="14" spans="1:8">
      <c r="B14" s="109" t="s">
        <v>1306</v>
      </c>
      <c r="C14" s="112"/>
    </row>
    <row r="15" spans="1:8">
      <c r="B15" s="109" t="s">
        <v>1307</v>
      </c>
      <c r="C15" s="112"/>
    </row>
    <row r="16" spans="1:8">
      <c r="B16" s="109" t="s">
        <v>1308</v>
      </c>
      <c r="C16" s="112"/>
    </row>
    <row r="17" spans="2:9">
      <c r="B17" s="109" t="s">
        <v>1309</v>
      </c>
      <c r="C17" s="112"/>
    </row>
    <row r="18" spans="2:9">
      <c r="B18" s="109" t="s">
        <v>1310</v>
      </c>
      <c r="C18" s="112"/>
    </row>
    <row r="19" spans="2:9">
      <c r="B19" s="25" t="s">
        <v>212</v>
      </c>
      <c r="C19" s="60"/>
      <c r="D19" s="6" t="s">
        <v>568</v>
      </c>
      <c r="E19" s="6" t="s">
        <v>807</v>
      </c>
      <c r="F19" s="12">
        <v>1</v>
      </c>
      <c r="G19" s="6">
        <v>1991</v>
      </c>
      <c r="H19" s="44" t="s">
        <v>1106</v>
      </c>
    </row>
    <row r="20" spans="2:9">
      <c r="B20" s="25" t="s">
        <v>1046</v>
      </c>
      <c r="C20" s="60"/>
      <c r="D20" s="6" t="s">
        <v>1131</v>
      </c>
      <c r="E20" s="6" t="s">
        <v>34</v>
      </c>
      <c r="F20" s="12" t="s">
        <v>579</v>
      </c>
      <c r="G20" s="12"/>
      <c r="H20" s="66"/>
    </row>
    <row r="21" spans="2:9">
      <c r="B21" s="112" t="s">
        <v>1306</v>
      </c>
      <c r="C21" s="102" t="s">
        <v>1137</v>
      </c>
      <c r="D21" s="102" t="s">
        <v>1138</v>
      </c>
    </row>
    <row r="22" spans="2:9">
      <c r="B22" s="112" t="s">
        <v>1304</v>
      </c>
      <c r="C22" s="102" t="s">
        <v>1155</v>
      </c>
      <c r="D22" s="102" t="s">
        <v>529</v>
      </c>
      <c r="F22" s="102" t="s">
        <v>536</v>
      </c>
      <c r="H22" s="132">
        <v>42109</v>
      </c>
    </row>
    <row r="24" spans="2:9">
      <c r="B24" s="68" t="s">
        <v>1135</v>
      </c>
      <c r="C24" s="16"/>
      <c r="D24" s="29" t="s">
        <v>1142</v>
      </c>
      <c r="E24" s="29" t="s">
        <v>1141</v>
      </c>
      <c r="F24" s="52" t="s">
        <v>1136</v>
      </c>
      <c r="G24" s="29"/>
      <c r="H24" s="29"/>
      <c r="I24" s="24"/>
    </row>
    <row r="25" spans="2:9">
      <c r="B25" s="25" t="s">
        <v>1039</v>
      </c>
      <c r="C25" s="60"/>
      <c r="D25" s="6" t="s">
        <v>60</v>
      </c>
      <c r="E25" s="6" t="s">
        <v>808</v>
      </c>
      <c r="F25" s="12" t="s">
        <v>849</v>
      </c>
      <c r="G25" s="6" t="s">
        <v>850</v>
      </c>
      <c r="H25" s="6"/>
      <c r="I25" s="24"/>
    </row>
    <row r="26" spans="2:9">
      <c r="B26" s="68" t="s">
        <v>535</v>
      </c>
      <c r="C26" s="16"/>
      <c r="D26" s="6"/>
      <c r="E26" s="29" t="s">
        <v>214</v>
      </c>
      <c r="F26" s="29"/>
      <c r="G26" s="6"/>
      <c r="H26" s="6"/>
      <c r="I26" s="24"/>
    </row>
    <row r="27" spans="2:9">
      <c r="B27" s="25" t="s">
        <v>126</v>
      </c>
      <c r="C27" s="60"/>
      <c r="D27" s="29" t="s">
        <v>1047</v>
      </c>
      <c r="E27" s="6" t="s">
        <v>33</v>
      </c>
      <c r="F27" s="12">
        <v>1</v>
      </c>
      <c r="G27" s="6" t="s">
        <v>850</v>
      </c>
      <c r="H27" s="6"/>
    </row>
    <row r="28" spans="2:9">
      <c r="B28" s="5" t="s">
        <v>133</v>
      </c>
      <c r="C28" s="4"/>
      <c r="D28" s="6" t="s">
        <v>134</v>
      </c>
      <c r="E28" s="6" t="s">
        <v>107</v>
      </c>
      <c r="F28" s="6"/>
      <c r="G28" s="6" t="s">
        <v>769</v>
      </c>
      <c r="H28" s="6"/>
      <c r="I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5B0C-1138-47EF-A1AF-501CD2A82B77}">
  <dimension ref="A1:C12"/>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s="102" t="s">
        <v>1201</v>
      </c>
      <c r="C2" s="102" t="s">
        <v>1227</v>
      </c>
    </row>
    <row r="3" spans="1:3">
      <c r="B3" s="102" t="s">
        <v>1210</v>
      </c>
      <c r="C3" s="102" t="s">
        <v>1425</v>
      </c>
    </row>
    <row r="4" spans="1:3">
      <c r="B4" s="102" t="s">
        <v>3</v>
      </c>
      <c r="C4" s="102" t="s">
        <v>1369</v>
      </c>
    </row>
    <row r="5" spans="1:3">
      <c r="B5" s="102" t="s">
        <v>806</v>
      </c>
      <c r="C5" s="102" t="s">
        <v>1375</v>
      </c>
    </row>
    <row r="6" spans="1:3">
      <c r="B6" s="102" t="s">
        <v>899</v>
      </c>
      <c r="C6" s="102" t="s">
        <v>1426</v>
      </c>
    </row>
    <row r="7" spans="1:3">
      <c r="B7" s="102"/>
      <c r="C7" s="102" t="s">
        <v>1427</v>
      </c>
    </row>
    <row r="8" spans="1:3">
      <c r="B8" s="102" t="s">
        <v>322</v>
      </c>
    </row>
    <row r="9" spans="1:3">
      <c r="C9" s="48" t="s">
        <v>1428</v>
      </c>
    </row>
    <row r="12" spans="1:3">
      <c r="C12" s="48" t="s">
        <v>1429</v>
      </c>
    </row>
  </sheetData>
  <hyperlinks>
    <hyperlink ref="A1" location="Main!A1" display="Main" xr:uid="{051F37E6-804E-47F7-9418-5CAEA468CB7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BCE5-5CCB-4A20-A2B6-3B355931616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1423</v>
      </c>
    </row>
    <row r="3" spans="1:3">
      <c r="B3" s="102" t="s">
        <v>1210</v>
      </c>
      <c r="C3" s="102" t="s">
        <v>1418</v>
      </c>
    </row>
    <row r="4" spans="1:3">
      <c r="B4" s="102" t="s">
        <v>806</v>
      </c>
      <c r="C4" s="102" t="s">
        <v>1417</v>
      </c>
    </row>
    <row r="5" spans="1:3">
      <c r="B5" s="102" t="s">
        <v>3</v>
      </c>
      <c r="C5" s="102" t="s">
        <v>1419</v>
      </c>
    </row>
    <row r="6" spans="1:3">
      <c r="B6" s="102" t="s">
        <v>899</v>
      </c>
      <c r="C6" s="102" t="s">
        <v>1422</v>
      </c>
    </row>
    <row r="7" spans="1:3">
      <c r="B7" s="102" t="s">
        <v>322</v>
      </c>
    </row>
    <row r="8" spans="1:3">
      <c r="C8" s="48" t="s">
        <v>1420</v>
      </c>
    </row>
    <row r="9" spans="1:3">
      <c r="C9" s="102" t="s">
        <v>1421</v>
      </c>
    </row>
    <row r="11" spans="1:3">
      <c r="C11" s="48" t="s">
        <v>1424</v>
      </c>
    </row>
  </sheetData>
  <hyperlinks>
    <hyperlink ref="A1" location="Main!A1" display="Main" xr:uid="{5DF54F89-3213-488F-A694-6F4560C3486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7366-2B23-4FB7-AD10-CB99CA037C19}">
  <dimension ref="A1:C17"/>
  <sheetViews>
    <sheetView zoomScale="145" zoomScaleNormal="145" workbookViewId="0"/>
  </sheetViews>
  <sheetFormatPr defaultRowHeight="12.75"/>
  <cols>
    <col min="1" max="1" width="4.5703125" bestFit="1" customWidth="1"/>
    <col min="2" max="2" width="11.85546875" bestFit="1" customWidth="1"/>
  </cols>
  <sheetData>
    <row r="1" spans="1:3">
      <c r="A1" s="11" t="s">
        <v>5</v>
      </c>
    </row>
    <row r="2" spans="1:3">
      <c r="B2" s="102" t="s">
        <v>1201</v>
      </c>
      <c r="C2" s="102" t="s">
        <v>1441</v>
      </c>
    </row>
    <row r="3" spans="1:3">
      <c r="B3" s="102" t="s">
        <v>1210</v>
      </c>
      <c r="C3" s="102" t="s">
        <v>1437</v>
      </c>
    </row>
    <row r="4" spans="1:3">
      <c r="B4" s="102" t="s">
        <v>3</v>
      </c>
      <c r="C4" s="102" t="s">
        <v>1438</v>
      </c>
    </row>
    <row r="5" spans="1:3">
      <c r="B5" s="102" t="s">
        <v>806</v>
      </c>
      <c r="C5" s="102" t="s">
        <v>1442</v>
      </c>
    </row>
    <row r="6" spans="1:3">
      <c r="B6" s="102" t="s">
        <v>6</v>
      </c>
      <c r="C6" s="102" t="s">
        <v>1440</v>
      </c>
    </row>
    <row r="7" spans="1:3">
      <c r="B7" s="102" t="s">
        <v>899</v>
      </c>
      <c r="C7" s="102" t="s">
        <v>1439</v>
      </c>
    </row>
    <row r="8" spans="1:3">
      <c r="B8" s="102" t="s">
        <v>322</v>
      </c>
    </row>
    <row r="9" spans="1:3">
      <c r="C9" s="48" t="s">
        <v>1443</v>
      </c>
    </row>
    <row r="13" spans="1:3">
      <c r="C13" s="48" t="s">
        <v>1444</v>
      </c>
    </row>
    <row r="17" spans="3:3">
      <c r="C17" s="48" t="s">
        <v>1490</v>
      </c>
    </row>
  </sheetData>
  <hyperlinks>
    <hyperlink ref="A1" location="Main!A1" display="Main" xr:uid="{3D7B7BC1-1DF3-4D3D-A7E4-A849EC1D843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286</v>
      </c>
      <c r="C2" t="s">
        <v>354</v>
      </c>
    </row>
    <row r="3" spans="1:11">
      <c r="B3" t="s">
        <v>287</v>
      </c>
      <c r="C3" t="s">
        <v>509</v>
      </c>
    </row>
    <row r="4" spans="1:11">
      <c r="B4" t="s">
        <v>806</v>
      </c>
      <c r="C4" t="s">
        <v>28</v>
      </c>
    </row>
    <row r="5" spans="1:11">
      <c r="B5" t="s">
        <v>322</v>
      </c>
      <c r="J5" s="101"/>
      <c r="K5" s="101"/>
    </row>
    <row r="6" spans="1:11">
      <c r="C6" s="48" t="s">
        <v>510</v>
      </c>
    </row>
    <row r="7" spans="1:11">
      <c r="C7" t="s">
        <v>512</v>
      </c>
    </row>
    <row r="9" spans="1:11">
      <c r="C9" s="48" t="s">
        <v>511</v>
      </c>
    </row>
    <row r="10" spans="1:11">
      <c r="C10" s="53" t="s">
        <v>513</v>
      </c>
    </row>
    <row r="11" spans="1:11">
      <c r="C11" s="53"/>
    </row>
    <row r="12" spans="1:11">
      <c r="C12" t="s">
        <v>294</v>
      </c>
    </row>
    <row r="15" spans="1:11">
      <c r="B15" t="s">
        <v>494</v>
      </c>
    </row>
    <row r="16" spans="1:11">
      <c r="B16" t="s">
        <v>495</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7"/>
  <sheetViews>
    <sheetView zoomScale="145" zoomScaleNormal="145" workbookViewId="0"/>
  </sheetViews>
  <sheetFormatPr defaultColWidth="8.85546875" defaultRowHeight="12.75"/>
  <cols>
    <col min="1" max="1" width="5" bestFit="1" customWidth="1"/>
    <col min="2" max="2" width="12" bestFit="1" customWidth="1"/>
  </cols>
  <sheetData>
    <row r="1" spans="1:3">
      <c r="A1" s="11" t="s">
        <v>5</v>
      </c>
    </row>
    <row r="2" spans="1:3">
      <c r="B2" t="s">
        <v>1201</v>
      </c>
      <c r="C2" t="s">
        <v>1213</v>
      </c>
    </row>
    <row r="3" spans="1:3">
      <c r="B3" t="s">
        <v>1210</v>
      </c>
      <c r="C3" t="s">
        <v>1211</v>
      </c>
    </row>
    <row r="4" spans="1:3">
      <c r="B4" t="s">
        <v>3</v>
      </c>
      <c r="C4" t="s">
        <v>1212</v>
      </c>
    </row>
    <row r="5" spans="1:3">
      <c r="B5" s="102" t="s">
        <v>806</v>
      </c>
    </row>
    <row r="6" spans="1:3">
      <c r="B6" t="s">
        <v>322</v>
      </c>
    </row>
    <row r="7" spans="1:3">
      <c r="B7" s="102"/>
      <c r="C7" s="48" t="s">
        <v>1219</v>
      </c>
    </row>
    <row r="9" spans="1:3">
      <c r="C9" s="48" t="s">
        <v>1217</v>
      </c>
    </row>
    <row r="10" spans="1:3">
      <c r="C10" s="102" t="s">
        <v>1216</v>
      </c>
    </row>
    <row r="13" spans="1:3">
      <c r="C13" s="48" t="s">
        <v>1215</v>
      </c>
    </row>
    <row r="14" spans="1:3">
      <c r="C14" s="102" t="s">
        <v>1370</v>
      </c>
    </row>
    <row r="16" spans="1:3">
      <c r="C16" s="48" t="s">
        <v>1218</v>
      </c>
    </row>
    <row r="18" spans="3:3">
      <c r="C18" s="48" t="s">
        <v>1220</v>
      </c>
    </row>
    <row r="19" spans="3:3">
      <c r="C19" s="102" t="s">
        <v>1221</v>
      </c>
    </row>
    <row r="20" spans="3:3">
      <c r="C20" s="102" t="s">
        <v>1222</v>
      </c>
    </row>
    <row r="21" spans="3:3">
      <c r="C21" s="102" t="s">
        <v>1223</v>
      </c>
    </row>
    <row r="24" spans="3:3">
      <c r="C24" s="48" t="s">
        <v>1525</v>
      </c>
    </row>
    <row r="27" spans="3:3">
      <c r="C27" s="48" t="s">
        <v>1524</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353</v>
      </c>
    </row>
    <row r="3" spans="1:3">
      <c r="B3" s="4" t="s">
        <v>287</v>
      </c>
    </row>
    <row r="4" spans="1:3">
      <c r="B4" s="4" t="s">
        <v>998</v>
      </c>
      <c r="C4" s="4" t="s">
        <v>999</v>
      </c>
    </row>
    <row r="5" spans="1:3">
      <c r="B5" s="4" t="s">
        <v>3</v>
      </c>
      <c r="C5" s="4" t="s">
        <v>113</v>
      </c>
    </row>
    <row r="6" spans="1:3">
      <c r="B6" s="4" t="s">
        <v>112</v>
      </c>
      <c r="C6" s="4" t="s">
        <v>114</v>
      </c>
    </row>
    <row r="7" spans="1:3">
      <c r="B7" s="4" t="s">
        <v>322</v>
      </c>
    </row>
    <row r="8" spans="1:3">
      <c r="B8" s="22"/>
      <c r="C8" s="4" t="s">
        <v>58</v>
      </c>
    </row>
    <row r="9" spans="1:3">
      <c r="C9" s="4" t="s">
        <v>59</v>
      </c>
    </row>
    <row r="12" spans="1:3">
      <c r="C12" s="22" t="s">
        <v>1027</v>
      </c>
    </row>
    <row r="13" spans="1:3">
      <c r="C13" s="4" t="s">
        <v>1028</v>
      </c>
    </row>
    <row r="15" spans="1:3">
      <c r="C15" s="22" t="s">
        <v>519</v>
      </c>
    </row>
    <row r="16" spans="1:3">
      <c r="C16" s="4" t="s">
        <v>943</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3170-8A39-499F-986E-007249B0295C}">
  <dimension ref="A1:C10"/>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t="s">
        <v>1201</v>
      </c>
      <c r="C2" t="s">
        <v>1404</v>
      </c>
    </row>
    <row r="3" spans="1:3">
      <c r="B3" t="s">
        <v>1210</v>
      </c>
      <c r="C3" t="s">
        <v>1405</v>
      </c>
    </row>
    <row r="4" spans="1:3">
      <c r="B4" t="s">
        <v>3</v>
      </c>
      <c r="C4" t="s">
        <v>1321</v>
      </c>
    </row>
    <row r="5" spans="1:3">
      <c r="B5" t="s">
        <v>806</v>
      </c>
      <c r="C5" t="s">
        <v>1406</v>
      </c>
    </row>
    <row r="6" spans="1:3">
      <c r="B6" t="s">
        <v>322</v>
      </c>
    </row>
    <row r="7" spans="1:3">
      <c r="C7" s="48" t="s">
        <v>1407</v>
      </c>
    </row>
    <row r="10" spans="1:3">
      <c r="C10" s="48" t="s">
        <v>1408</v>
      </c>
    </row>
  </sheetData>
  <hyperlinks>
    <hyperlink ref="A1" location="Main!A1" display="Main" xr:uid="{0CE46242-5945-4760-8E47-875AC35BE0C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1459-ACE0-4483-93C1-8171BFF366EB}">
  <dimension ref="A1:C13"/>
  <sheetViews>
    <sheetView zoomScale="220" zoomScaleNormal="220" workbookViewId="0"/>
  </sheetViews>
  <sheetFormatPr defaultRowHeight="12.75"/>
  <cols>
    <col min="1" max="1" width="4.5703125" bestFit="1" customWidth="1"/>
    <col min="2" max="2" width="11.42578125" bestFit="1" customWidth="1"/>
  </cols>
  <sheetData>
    <row r="1" spans="1:3">
      <c r="A1" s="11" t="s">
        <v>5</v>
      </c>
    </row>
    <row r="2" spans="1:3">
      <c r="B2" s="102" t="s">
        <v>1201</v>
      </c>
      <c r="C2" s="102" t="s">
        <v>1511</v>
      </c>
    </row>
    <row r="3" spans="1:3">
      <c r="B3" s="102" t="s">
        <v>1210</v>
      </c>
      <c r="C3" s="102" t="s">
        <v>1512</v>
      </c>
    </row>
    <row r="4" spans="1:3">
      <c r="B4" s="102" t="s">
        <v>3</v>
      </c>
      <c r="C4" s="102" t="s">
        <v>1322</v>
      </c>
    </row>
    <row r="5" spans="1:3">
      <c r="B5" s="102" t="s">
        <v>806</v>
      </c>
      <c r="C5" s="102" t="s">
        <v>1510</v>
      </c>
    </row>
    <row r="6" spans="1:3">
      <c r="B6" s="102" t="s">
        <v>322</v>
      </c>
    </row>
    <row r="7" spans="1:3">
      <c r="C7" s="48" t="s">
        <v>1513</v>
      </c>
    </row>
    <row r="10" spans="1:3">
      <c r="C10" s="48" t="s">
        <v>1514</v>
      </c>
    </row>
    <row r="13" spans="1:3">
      <c r="C13" s="48" t="s">
        <v>1515</v>
      </c>
    </row>
  </sheetData>
  <hyperlinks>
    <hyperlink ref="A1" location="Main!A1" display="Main" xr:uid="{7641A43B-60E8-4340-A972-A3A90528055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4F8E-F424-4204-9E9B-B344542AA177}">
  <dimension ref="A1:C17"/>
  <sheetViews>
    <sheetView zoomScale="175" zoomScaleNormal="175" workbookViewId="0"/>
  </sheetViews>
  <sheetFormatPr defaultRowHeight="12.75"/>
  <cols>
    <col min="1" max="1" width="4.5703125" bestFit="1" customWidth="1"/>
    <col min="2" max="2" width="12.140625" customWidth="1"/>
  </cols>
  <sheetData>
    <row r="1" spans="1:3">
      <c r="A1" s="11" t="s">
        <v>5</v>
      </c>
    </row>
    <row r="2" spans="1:3">
      <c r="B2" s="102" t="s">
        <v>1201</v>
      </c>
    </row>
    <row r="3" spans="1:3">
      <c r="B3" s="102" t="s">
        <v>1210</v>
      </c>
      <c r="C3" s="133" t="s">
        <v>1518</v>
      </c>
    </row>
    <row r="4" spans="1:3">
      <c r="B4" s="102" t="s">
        <v>3</v>
      </c>
      <c r="C4" s="102" t="s">
        <v>1519</v>
      </c>
    </row>
    <row r="5" spans="1:3">
      <c r="B5" s="102" t="s">
        <v>6</v>
      </c>
    </row>
    <row r="6" spans="1:3">
      <c r="B6" s="102" t="s">
        <v>806</v>
      </c>
      <c r="C6" s="102" t="s">
        <v>1327</v>
      </c>
    </row>
    <row r="7" spans="1:3">
      <c r="B7" s="102" t="s">
        <v>322</v>
      </c>
    </row>
    <row r="8" spans="1:3">
      <c r="C8" s="48" t="s">
        <v>1520</v>
      </c>
    </row>
    <row r="11" spans="1:3">
      <c r="C11" s="48" t="s">
        <v>1521</v>
      </c>
    </row>
    <row r="14" spans="1:3">
      <c r="C14" s="48" t="s">
        <v>1522</v>
      </c>
    </row>
    <row r="17" spans="3:3">
      <c r="C17" s="48" t="s">
        <v>1523</v>
      </c>
    </row>
  </sheetData>
  <hyperlinks>
    <hyperlink ref="A1" location="Main!A1" display="Main" xr:uid="{E3E57CFB-5E3E-42E9-B366-DC0C5A3712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FF4A-59CE-4EE5-A886-9EC34C2443C6}">
  <dimension ref="A1:C21"/>
  <sheetViews>
    <sheetView zoomScale="85" zoomScaleNormal="85" workbookViewId="0"/>
  </sheetViews>
  <sheetFormatPr defaultRowHeight="12.75"/>
  <cols>
    <col min="1" max="1" width="5" bestFit="1" customWidth="1"/>
    <col min="2" max="2" width="12.42578125" customWidth="1"/>
  </cols>
  <sheetData>
    <row r="1" spans="1:3">
      <c r="A1" s="11" t="s">
        <v>5</v>
      </c>
    </row>
    <row r="2" spans="1:3">
      <c r="B2" s="102" t="s">
        <v>1201</v>
      </c>
      <c r="C2" s="102" t="s">
        <v>1388</v>
      </c>
    </row>
    <row r="3" spans="1:3">
      <c r="B3" s="102" t="s">
        <v>1210</v>
      </c>
      <c r="C3" s="102" t="s">
        <v>1315</v>
      </c>
    </row>
    <row r="4" spans="1:3">
      <c r="B4" s="102" t="s">
        <v>6</v>
      </c>
      <c r="C4" s="130">
        <v>1</v>
      </c>
    </row>
    <row r="5" spans="1:3">
      <c r="B5" s="102" t="s">
        <v>806</v>
      </c>
      <c r="C5" s="102" t="s">
        <v>1399</v>
      </c>
    </row>
    <row r="6" spans="1:3">
      <c r="B6" s="102" t="s">
        <v>322</v>
      </c>
    </row>
    <row r="7" spans="1:3">
      <c r="C7" s="48" t="s">
        <v>1394</v>
      </c>
    </row>
    <row r="8" spans="1:3">
      <c r="C8" s="102" t="s">
        <v>1389</v>
      </c>
    </row>
    <row r="9" spans="1:3">
      <c r="C9" s="102" t="s">
        <v>1390</v>
      </c>
    </row>
    <row r="11" spans="1:3">
      <c r="C11" s="48" t="s">
        <v>1393</v>
      </c>
    </row>
    <row r="14" spans="1:3">
      <c r="C14" s="48" t="s">
        <v>1395</v>
      </c>
    </row>
    <row r="15" spans="1:3">
      <c r="C15" s="102" t="s">
        <v>1396</v>
      </c>
    </row>
    <row r="16" spans="1:3">
      <c r="C16" s="102" t="s">
        <v>1397</v>
      </c>
    </row>
    <row r="17" spans="3:3">
      <c r="C17" s="102" t="s">
        <v>1398</v>
      </c>
    </row>
    <row r="18" spans="3:3">
      <c r="C18" s="102" t="s">
        <v>1400</v>
      </c>
    </row>
    <row r="20" spans="3:3">
      <c r="C20" s="48" t="s">
        <v>1391</v>
      </c>
    </row>
    <row r="21" spans="3:3">
      <c r="C21" s="102" t="s">
        <v>1392</v>
      </c>
    </row>
  </sheetData>
  <hyperlinks>
    <hyperlink ref="A1" location="Main!A1" display="Main" xr:uid="{EC7A5ACA-E35C-47C6-AAFE-E91B42A275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7"/>
  <sheetViews>
    <sheetView zoomScale="130" zoomScaleNormal="130" workbookViewId="0"/>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806</v>
      </c>
      <c r="E2" s="2" t="s">
        <v>6</v>
      </c>
      <c r="F2" s="2" t="s">
        <v>1021</v>
      </c>
      <c r="G2" s="3" t="s">
        <v>596</v>
      </c>
      <c r="I2" s="4" t="s">
        <v>358</v>
      </c>
      <c r="J2" s="54">
        <v>280</v>
      </c>
    </row>
    <row r="3" spans="1:11">
      <c r="B3" s="25" t="s">
        <v>356</v>
      </c>
      <c r="C3" s="6" t="s">
        <v>1129</v>
      </c>
      <c r="D3" s="6" t="s">
        <v>807</v>
      </c>
      <c r="E3" s="12">
        <v>1</v>
      </c>
      <c r="F3" s="6">
        <v>2001</v>
      </c>
      <c r="G3" s="7" t="s">
        <v>304</v>
      </c>
      <c r="I3" s="4" t="s">
        <v>446</v>
      </c>
      <c r="J3" s="26">
        <v>542</v>
      </c>
      <c r="K3" s="107" t="s">
        <v>1291</v>
      </c>
    </row>
    <row r="4" spans="1:11">
      <c r="B4" s="25" t="s">
        <v>210</v>
      </c>
      <c r="C4" s="6" t="s">
        <v>1130</v>
      </c>
      <c r="D4" s="6" t="s">
        <v>660</v>
      </c>
      <c r="E4" s="12" t="s">
        <v>321</v>
      </c>
      <c r="F4" s="12"/>
      <c r="G4" s="7">
        <v>2009</v>
      </c>
      <c r="I4" s="4" t="s">
        <v>1009</v>
      </c>
      <c r="J4" s="26">
        <f>J3*J2</f>
        <v>151760</v>
      </c>
    </row>
    <row r="5" spans="1:11">
      <c r="B5" s="25" t="s">
        <v>211</v>
      </c>
      <c r="C5" s="6" t="s">
        <v>568</v>
      </c>
      <c r="D5" s="6" t="s">
        <v>807</v>
      </c>
      <c r="E5" s="12">
        <v>1</v>
      </c>
      <c r="F5" s="12"/>
      <c r="G5" s="7">
        <v>2015</v>
      </c>
      <c r="I5" s="4" t="s">
        <v>1010</v>
      </c>
      <c r="J5" s="97">
        <v>9011</v>
      </c>
      <c r="K5" s="107" t="s">
        <v>1290</v>
      </c>
    </row>
    <row r="6" spans="1:11">
      <c r="B6" s="25" t="s">
        <v>13</v>
      </c>
      <c r="C6" s="6" t="s">
        <v>558</v>
      </c>
      <c r="D6" s="6" t="s">
        <v>807</v>
      </c>
      <c r="E6" s="12">
        <v>1</v>
      </c>
      <c r="F6" s="6">
        <v>1989</v>
      </c>
      <c r="G6" s="7" t="s">
        <v>646</v>
      </c>
      <c r="I6" s="4" t="s">
        <v>1011</v>
      </c>
      <c r="J6" s="26">
        <v>60398</v>
      </c>
      <c r="K6" s="107" t="s">
        <v>1290</v>
      </c>
    </row>
    <row r="7" spans="1:11">
      <c r="B7" s="25" t="s">
        <v>387</v>
      </c>
      <c r="C7" s="6" t="s">
        <v>1132</v>
      </c>
      <c r="D7" s="6" t="s">
        <v>1207</v>
      </c>
      <c r="E7" s="12">
        <v>1</v>
      </c>
      <c r="F7" s="6">
        <v>2006</v>
      </c>
      <c r="G7" s="7" t="s">
        <v>187</v>
      </c>
      <c r="I7" s="4" t="s">
        <v>1012</v>
      </c>
      <c r="J7" s="26">
        <f>J4-J5+J6</f>
        <v>203147</v>
      </c>
    </row>
    <row r="8" spans="1:11">
      <c r="B8" s="25" t="s">
        <v>1205</v>
      </c>
      <c r="C8" s="6" t="s">
        <v>1214</v>
      </c>
      <c r="D8" s="6" t="s">
        <v>1206</v>
      </c>
      <c r="E8" s="27">
        <v>1</v>
      </c>
      <c r="G8" s="24"/>
    </row>
    <row r="9" spans="1:11">
      <c r="B9" s="25" t="s">
        <v>1081</v>
      </c>
      <c r="C9" s="103" t="s">
        <v>805</v>
      </c>
      <c r="D9" s="103" t="s">
        <v>1208</v>
      </c>
      <c r="E9" s="52" t="s">
        <v>1075</v>
      </c>
      <c r="F9" s="104">
        <v>40384</v>
      </c>
      <c r="G9" s="44">
        <v>2025</v>
      </c>
      <c r="I9" s="112" t="s">
        <v>1287</v>
      </c>
    </row>
    <row r="10" spans="1:11">
      <c r="B10" s="111" t="s">
        <v>1281</v>
      </c>
      <c r="C10" s="103" t="s">
        <v>1373</v>
      </c>
      <c r="D10" s="29"/>
      <c r="E10" s="52"/>
      <c r="F10" s="104">
        <v>41110</v>
      </c>
      <c r="G10" s="44"/>
      <c r="I10" s="112" t="s">
        <v>1312</v>
      </c>
    </row>
    <row r="11" spans="1:11">
      <c r="B11" s="111" t="s">
        <v>1282</v>
      </c>
      <c r="C11" s="103" t="s">
        <v>805</v>
      </c>
      <c r="D11" s="29"/>
      <c r="E11" s="113" t="s">
        <v>43</v>
      </c>
      <c r="F11" s="104"/>
      <c r="G11" s="127" t="s">
        <v>1376</v>
      </c>
      <c r="I11" s="112" t="s">
        <v>1313</v>
      </c>
    </row>
    <row r="12" spans="1:11">
      <c r="B12" s="111" t="s">
        <v>1283</v>
      </c>
      <c r="C12" s="29"/>
      <c r="D12" s="29"/>
      <c r="E12" s="52"/>
      <c r="F12" s="104"/>
      <c r="G12" s="44"/>
      <c r="I12" s="112" t="s">
        <v>1314</v>
      </c>
    </row>
    <row r="13" spans="1:11">
      <c r="B13" s="109" t="s">
        <v>1347</v>
      </c>
      <c r="C13" s="29"/>
      <c r="D13" s="29"/>
      <c r="E13" s="52"/>
      <c r="F13" s="29"/>
      <c r="G13" s="94"/>
    </row>
    <row r="14" spans="1:11">
      <c r="B14" s="111" t="s">
        <v>1284</v>
      </c>
      <c r="C14" s="103" t="s">
        <v>1130</v>
      </c>
      <c r="D14" s="103" t="s">
        <v>1374</v>
      </c>
      <c r="E14" s="52"/>
      <c r="F14" s="104"/>
      <c r="G14" s="44"/>
      <c r="I14" s="112"/>
    </row>
    <row r="15" spans="1:11">
      <c r="B15" s="25" t="s">
        <v>1285</v>
      </c>
      <c r="C15" s="103" t="s">
        <v>1416</v>
      </c>
      <c r="D15" s="103" t="s">
        <v>1417</v>
      </c>
      <c r="E15" s="113" t="s">
        <v>1415</v>
      </c>
      <c r="F15" s="104">
        <v>44476</v>
      </c>
      <c r="G15" s="44"/>
    </row>
    <row r="16" spans="1:11">
      <c r="B16" s="25" t="s">
        <v>1286</v>
      </c>
      <c r="C16" s="103" t="s">
        <v>1473</v>
      </c>
      <c r="D16" s="103" t="s">
        <v>1471</v>
      </c>
      <c r="E16" s="52">
        <v>1</v>
      </c>
      <c r="F16" s="104">
        <v>41719</v>
      </c>
      <c r="G16" s="44">
        <v>2028</v>
      </c>
    </row>
    <row r="17" spans="2:9">
      <c r="B17" s="25" t="s">
        <v>1297</v>
      </c>
      <c r="C17" s="103" t="s">
        <v>1299</v>
      </c>
      <c r="D17" s="103" t="s">
        <v>1298</v>
      </c>
      <c r="E17" s="52">
        <v>1</v>
      </c>
      <c r="F17" s="104">
        <v>45428</v>
      </c>
      <c r="G17" s="44"/>
    </row>
    <row r="18" spans="2:9">
      <c r="B18" s="25" t="s">
        <v>1378</v>
      </c>
      <c r="C18" s="103" t="s">
        <v>218</v>
      </c>
      <c r="D18" s="103" t="s">
        <v>1379</v>
      </c>
      <c r="E18" s="113" t="s">
        <v>1449</v>
      </c>
      <c r="F18" s="104">
        <v>44547</v>
      </c>
      <c r="G18" s="44"/>
    </row>
    <row r="19" spans="2:9">
      <c r="B19" s="25" t="s">
        <v>1377</v>
      </c>
      <c r="C19" s="103" t="s">
        <v>1369</v>
      </c>
      <c r="D19" s="103" t="s">
        <v>1375</v>
      </c>
      <c r="E19" s="52"/>
      <c r="F19" s="104">
        <v>43851</v>
      </c>
      <c r="G19" s="127">
        <v>2029</v>
      </c>
    </row>
    <row r="20" spans="2:9">
      <c r="B20" s="25" t="s">
        <v>1436</v>
      </c>
      <c r="C20" s="103" t="s">
        <v>1368</v>
      </c>
      <c r="D20" s="103" t="s">
        <v>1442</v>
      </c>
      <c r="E20" s="113" t="s">
        <v>1415</v>
      </c>
      <c r="F20" s="104">
        <v>43993</v>
      </c>
      <c r="G20" s="44"/>
    </row>
    <row r="21" spans="2:9">
      <c r="B21" s="25" t="s">
        <v>1380</v>
      </c>
      <c r="C21" s="103" t="s">
        <v>1367</v>
      </c>
      <c r="D21" s="103" t="s">
        <v>1435</v>
      </c>
      <c r="E21" s="113" t="s">
        <v>1415</v>
      </c>
      <c r="F21" s="104">
        <v>40425</v>
      </c>
      <c r="G21" s="44"/>
    </row>
    <row r="22" spans="2:9">
      <c r="B22" s="25" t="s">
        <v>1225</v>
      </c>
      <c r="C22" s="29" t="s">
        <v>1127</v>
      </c>
      <c r="D22" s="103" t="s">
        <v>1128</v>
      </c>
      <c r="E22" s="52">
        <v>1</v>
      </c>
      <c r="F22" s="104">
        <v>42243</v>
      </c>
      <c r="G22" s="94"/>
    </row>
    <row r="23" spans="2:9">
      <c r="B23" s="25" t="s">
        <v>1226</v>
      </c>
      <c r="C23" s="29" t="s">
        <v>945</v>
      </c>
      <c r="D23" s="103" t="s">
        <v>1485</v>
      </c>
      <c r="E23" s="52">
        <v>1</v>
      </c>
      <c r="F23" s="104">
        <v>41976</v>
      </c>
      <c r="G23" s="94"/>
    </row>
    <row r="24" spans="2:9" s="16" customFormat="1">
      <c r="B24" s="105" t="s">
        <v>848</v>
      </c>
      <c r="C24" s="9" t="s">
        <v>1133</v>
      </c>
      <c r="D24" s="9" t="s">
        <v>35</v>
      </c>
      <c r="E24" s="59">
        <v>1</v>
      </c>
      <c r="F24" s="9">
        <v>2008</v>
      </c>
      <c r="G24" s="106" t="s">
        <v>186</v>
      </c>
    </row>
    <row r="25" spans="2:9" s="16" customFormat="1">
      <c r="B25" s="1"/>
      <c r="C25" s="2"/>
      <c r="D25" s="2"/>
      <c r="E25" s="2"/>
      <c r="F25" s="2" t="s">
        <v>4</v>
      </c>
      <c r="G25" s="3" t="s">
        <v>880</v>
      </c>
    </row>
    <row r="26" spans="2:9" s="16" customFormat="1">
      <c r="B26" s="25" t="s">
        <v>1315</v>
      </c>
      <c r="C26" s="103" t="s">
        <v>1316</v>
      </c>
      <c r="D26" s="103" t="s">
        <v>1317</v>
      </c>
      <c r="E26" s="52"/>
      <c r="F26" s="29"/>
      <c r="G26" s="94"/>
    </row>
    <row r="27" spans="2:9" s="16" customFormat="1">
      <c r="B27" s="25" t="s">
        <v>1318</v>
      </c>
      <c r="C27" s="103" t="s">
        <v>1321</v>
      </c>
      <c r="D27" s="103" t="s">
        <v>1319</v>
      </c>
      <c r="E27" s="52"/>
      <c r="F27" s="103" t="s">
        <v>1403</v>
      </c>
      <c r="G27" s="94"/>
    </row>
    <row r="28" spans="2:9" s="16" customFormat="1">
      <c r="B28" s="25" t="s">
        <v>1320</v>
      </c>
      <c r="C28" s="103" t="s">
        <v>1322</v>
      </c>
      <c r="D28" s="103" t="s">
        <v>1510</v>
      </c>
      <c r="E28" s="52"/>
      <c r="F28" s="103" t="s">
        <v>1403</v>
      </c>
      <c r="G28" s="94"/>
    </row>
    <row r="29" spans="2:9" s="16" customFormat="1">
      <c r="B29" s="25" t="s">
        <v>1326</v>
      </c>
      <c r="C29" s="103" t="s">
        <v>1517</v>
      </c>
      <c r="D29" s="103" t="s">
        <v>1327</v>
      </c>
      <c r="E29" s="52"/>
      <c r="F29" s="103" t="s">
        <v>1403</v>
      </c>
      <c r="G29" s="94"/>
    </row>
    <row r="30" spans="2:9" s="16" customFormat="1">
      <c r="B30" s="25" t="s">
        <v>1328</v>
      </c>
      <c r="C30" s="103" t="s">
        <v>1330</v>
      </c>
      <c r="D30" s="103" t="s">
        <v>1329</v>
      </c>
      <c r="E30" s="113" t="s">
        <v>1331</v>
      </c>
      <c r="F30" s="103" t="s">
        <v>1403</v>
      </c>
      <c r="G30" s="94"/>
    </row>
    <row r="31" spans="2:9" s="16" customFormat="1">
      <c r="B31" s="25" t="s">
        <v>1323</v>
      </c>
      <c r="C31" s="103" t="s">
        <v>1324</v>
      </c>
      <c r="D31" s="103" t="s">
        <v>1325</v>
      </c>
      <c r="E31" s="52"/>
      <c r="F31" s="103" t="s">
        <v>850</v>
      </c>
      <c r="G31" s="94"/>
    </row>
    <row r="32" spans="2:9" s="16" customFormat="1">
      <c r="B32" s="25" t="s">
        <v>1335</v>
      </c>
      <c r="C32" s="103" t="s">
        <v>1336</v>
      </c>
      <c r="D32" s="103" t="s">
        <v>1337</v>
      </c>
      <c r="E32" s="113" t="s">
        <v>1491</v>
      </c>
      <c r="F32" s="29"/>
      <c r="G32" s="127" t="s">
        <v>1492</v>
      </c>
      <c r="I32" s="112" t="s">
        <v>1387</v>
      </c>
    </row>
    <row r="33" spans="2:7" s="16" customFormat="1">
      <c r="B33" s="109" t="s">
        <v>1348</v>
      </c>
      <c r="C33" s="103" t="s">
        <v>1350</v>
      </c>
      <c r="D33" s="103" t="s">
        <v>1351</v>
      </c>
      <c r="E33" s="52">
        <v>1</v>
      </c>
      <c r="F33" s="103" t="s">
        <v>1530</v>
      </c>
      <c r="G33" s="94"/>
    </row>
    <row r="34" spans="2:7" s="16" customFormat="1">
      <c r="B34" s="109" t="s">
        <v>1349</v>
      </c>
      <c r="C34" s="103" t="s">
        <v>1350</v>
      </c>
      <c r="D34" s="103" t="s">
        <v>1351</v>
      </c>
      <c r="E34" s="52">
        <v>1</v>
      </c>
      <c r="F34" s="29"/>
      <c r="G34" s="94"/>
    </row>
    <row r="35" spans="2:7" s="16" customFormat="1">
      <c r="B35" s="109" t="s">
        <v>1531</v>
      </c>
      <c r="C35" s="103" t="s">
        <v>1532</v>
      </c>
      <c r="D35" s="103" t="s">
        <v>1533</v>
      </c>
      <c r="E35" s="52">
        <v>1</v>
      </c>
      <c r="F35" s="29"/>
      <c r="G35" s="94"/>
    </row>
    <row r="36" spans="2:7" s="16" customFormat="1">
      <c r="B36" s="109" t="s">
        <v>1338</v>
      </c>
      <c r="C36" s="103" t="s">
        <v>1339</v>
      </c>
      <c r="D36" s="103" t="s">
        <v>1493</v>
      </c>
      <c r="E36" s="113" t="s">
        <v>1449</v>
      </c>
      <c r="F36" s="103" t="s">
        <v>850</v>
      </c>
      <c r="G36" s="94"/>
    </row>
    <row r="37" spans="2:7" s="16" customFormat="1">
      <c r="B37" s="109" t="s">
        <v>1340</v>
      </c>
      <c r="C37" s="103" t="s">
        <v>1342</v>
      </c>
      <c r="D37" s="103" t="s">
        <v>1341</v>
      </c>
      <c r="E37" s="52"/>
      <c r="F37" s="103" t="s">
        <v>1403</v>
      </c>
      <c r="G37" s="94"/>
    </row>
    <row r="38" spans="2:7" s="16" customFormat="1">
      <c r="B38" s="109" t="s">
        <v>1343</v>
      </c>
      <c r="C38" s="103" t="s">
        <v>1446</v>
      </c>
      <c r="D38" s="103" t="s">
        <v>1344</v>
      </c>
      <c r="E38" s="52"/>
      <c r="F38" s="103" t="s">
        <v>850</v>
      </c>
      <c r="G38" s="94"/>
    </row>
    <row r="39" spans="2:7" s="16" customFormat="1">
      <c r="B39" s="109" t="s">
        <v>1332</v>
      </c>
      <c r="C39" s="103" t="s">
        <v>1334</v>
      </c>
      <c r="D39" s="103" t="s">
        <v>1333</v>
      </c>
      <c r="E39" s="52"/>
      <c r="F39" s="29"/>
      <c r="G39" s="94"/>
    </row>
    <row r="40" spans="2:7" s="16" customFormat="1">
      <c r="B40" s="109" t="s">
        <v>1345</v>
      </c>
      <c r="C40" s="103" t="s">
        <v>1445</v>
      </c>
      <c r="D40" s="103" t="s">
        <v>1346</v>
      </c>
      <c r="E40" s="52"/>
      <c r="F40" s="103" t="s">
        <v>850</v>
      </c>
      <c r="G40" s="94"/>
    </row>
    <row r="41" spans="2:7" s="16" customFormat="1">
      <c r="B41" s="25" t="s">
        <v>219</v>
      </c>
      <c r="C41" s="6" t="s">
        <v>928</v>
      </c>
      <c r="D41" s="6" t="s">
        <v>875</v>
      </c>
      <c r="E41" s="12">
        <v>1</v>
      </c>
      <c r="F41" s="6" t="s">
        <v>850</v>
      </c>
      <c r="G41" s="24"/>
    </row>
    <row r="42" spans="2:7" s="16" customFormat="1">
      <c r="B42" s="25" t="s">
        <v>216</v>
      </c>
      <c r="C42" s="6" t="s">
        <v>562</v>
      </c>
      <c r="D42" s="6" t="s">
        <v>877</v>
      </c>
      <c r="E42" s="12">
        <v>1</v>
      </c>
      <c r="F42" s="29" t="s">
        <v>850</v>
      </c>
      <c r="G42" s="24"/>
    </row>
    <row r="43" spans="2:7">
      <c r="B43" s="5" t="s">
        <v>66</v>
      </c>
      <c r="C43" s="6" t="s">
        <v>95</v>
      </c>
      <c r="D43" s="6" t="s">
        <v>878</v>
      </c>
      <c r="E43" s="52" t="s">
        <v>83</v>
      </c>
      <c r="F43" s="95" t="s">
        <v>850</v>
      </c>
      <c r="G43" s="24" t="s">
        <v>561</v>
      </c>
    </row>
    <row r="44" spans="2:7">
      <c r="B44" s="68" t="s">
        <v>1139</v>
      </c>
      <c r="C44" s="29" t="s">
        <v>218</v>
      </c>
      <c r="D44" s="29" t="s">
        <v>1140</v>
      </c>
      <c r="E44" s="52">
        <v>1</v>
      </c>
      <c r="F44" s="95" t="s">
        <v>850</v>
      </c>
      <c r="G44" s="24"/>
    </row>
    <row r="45" spans="2:7">
      <c r="B45" s="5" t="s">
        <v>351</v>
      </c>
      <c r="C45" s="6" t="s">
        <v>352</v>
      </c>
      <c r="D45" s="6" t="s">
        <v>110</v>
      </c>
      <c r="E45" s="52" t="s">
        <v>1060</v>
      </c>
      <c r="F45" s="6">
        <v>1</v>
      </c>
      <c r="G45" s="24" t="s">
        <v>94</v>
      </c>
    </row>
    <row r="46" spans="2:7">
      <c r="B46" s="25" t="s">
        <v>31</v>
      </c>
      <c r="C46" s="29" t="s">
        <v>1062</v>
      </c>
      <c r="D46" s="29" t="s">
        <v>1059</v>
      </c>
      <c r="E46" s="52">
        <v>1</v>
      </c>
      <c r="F46" s="6" t="s">
        <v>850</v>
      </c>
      <c r="G46" s="24"/>
    </row>
    <row r="47" spans="2:7">
      <c r="B47" s="64" t="s">
        <v>217</v>
      </c>
      <c r="C47" s="36" t="s">
        <v>218</v>
      </c>
      <c r="D47" s="36" t="s">
        <v>876</v>
      </c>
      <c r="E47" s="34">
        <v>1</v>
      </c>
      <c r="F47" s="36" t="s">
        <v>850</v>
      </c>
      <c r="G47" s="65"/>
    </row>
    <row r="48" spans="2:7">
      <c r="B48" s="5" t="s">
        <v>125</v>
      </c>
      <c r="C48" s="6" t="s">
        <v>32</v>
      </c>
      <c r="D48" s="6" t="s">
        <v>488</v>
      </c>
      <c r="E48" s="6" t="s">
        <v>768</v>
      </c>
      <c r="F48" s="6" t="s">
        <v>769</v>
      </c>
      <c r="G48" s="24"/>
    </row>
    <row r="49" spans="2:7">
      <c r="B49" s="109" t="s">
        <v>1401</v>
      </c>
      <c r="C49" s="103" t="s">
        <v>1402</v>
      </c>
      <c r="D49" s="103" t="s">
        <v>997</v>
      </c>
      <c r="E49" s="6"/>
      <c r="F49" s="103" t="s">
        <v>769</v>
      </c>
      <c r="G49" s="24"/>
    </row>
    <row r="50" spans="2:7" s="23" customFormat="1">
      <c r="B50" s="5" t="s">
        <v>67</v>
      </c>
      <c r="C50" s="6" t="s">
        <v>563</v>
      </c>
      <c r="D50" s="6" t="s">
        <v>997</v>
      </c>
      <c r="E50" s="4"/>
      <c r="F50" s="6">
        <v>1</v>
      </c>
      <c r="G50" s="24"/>
    </row>
    <row r="51" spans="2:7">
      <c r="B51" s="5" t="s">
        <v>67</v>
      </c>
      <c r="C51" s="6" t="s">
        <v>30</v>
      </c>
      <c r="E51" s="6" t="s">
        <v>678</v>
      </c>
      <c r="F51" s="6">
        <v>1</v>
      </c>
      <c r="G51" s="24"/>
    </row>
    <row r="52" spans="2:7">
      <c r="B52" s="25" t="s">
        <v>781</v>
      </c>
      <c r="C52" s="6" t="s">
        <v>562</v>
      </c>
      <c r="D52" s="6" t="s">
        <v>782</v>
      </c>
      <c r="E52" s="12">
        <v>1</v>
      </c>
      <c r="F52" s="6" t="s">
        <v>769</v>
      </c>
      <c r="G52" s="24" t="s">
        <v>783</v>
      </c>
    </row>
    <row r="53" spans="2:7">
      <c r="B53" s="5" t="s">
        <v>784</v>
      </c>
      <c r="C53" s="6" t="s">
        <v>785</v>
      </c>
      <c r="D53" s="6" t="s">
        <v>923</v>
      </c>
      <c r="E53" s="12">
        <v>1</v>
      </c>
      <c r="F53" s="6" t="s">
        <v>769</v>
      </c>
      <c r="G53" s="24"/>
    </row>
    <row r="54" spans="2:7">
      <c r="B54" s="5" t="s">
        <v>131</v>
      </c>
      <c r="C54" s="6" t="s">
        <v>215</v>
      </c>
      <c r="D54" s="6" t="s">
        <v>132</v>
      </c>
      <c r="F54" s="6">
        <v>1</v>
      </c>
      <c r="G54" s="24"/>
    </row>
    <row r="55" spans="2:7">
      <c r="B55" s="5" t="s">
        <v>535</v>
      </c>
      <c r="E55" s="6" t="s">
        <v>536</v>
      </c>
      <c r="F55" s="6" t="s">
        <v>850</v>
      </c>
      <c r="G55" s="24"/>
    </row>
    <row r="56" spans="2:7">
      <c r="B56" s="5" t="s">
        <v>65</v>
      </c>
      <c r="C56" s="6" t="s">
        <v>805</v>
      </c>
      <c r="D56" s="6" t="s">
        <v>879</v>
      </c>
      <c r="F56" s="6">
        <v>2</v>
      </c>
      <c r="G56" s="24" t="s">
        <v>559</v>
      </c>
    </row>
    <row r="57" spans="2:7">
      <c r="B57" s="25" t="s">
        <v>108</v>
      </c>
      <c r="C57" s="6" t="s">
        <v>109</v>
      </c>
      <c r="D57" s="6" t="s">
        <v>550</v>
      </c>
      <c r="E57" s="6" t="s">
        <v>43</v>
      </c>
      <c r="F57" s="29" t="s">
        <v>769</v>
      </c>
      <c r="G57" s="24"/>
    </row>
    <row r="58" spans="2:7">
      <c r="B58" s="8" t="s">
        <v>51</v>
      </c>
      <c r="C58" s="9" t="s">
        <v>563</v>
      </c>
      <c r="D58" s="9" t="s">
        <v>52</v>
      </c>
      <c r="E58" s="59">
        <v>1</v>
      </c>
      <c r="F58" s="9" t="s">
        <v>769</v>
      </c>
      <c r="G58" s="17"/>
    </row>
    <row r="60" spans="2:7">
      <c r="B60" s="14"/>
      <c r="E60" s="23" t="s">
        <v>54</v>
      </c>
      <c r="F60" s="23"/>
    </row>
    <row r="61" spans="2:7">
      <c r="B61" s="16"/>
      <c r="E61" s="23" t="s">
        <v>468</v>
      </c>
      <c r="F61" s="23"/>
    </row>
    <row r="62" spans="2:7">
      <c r="B62" s="16"/>
      <c r="E62" s="23" t="s">
        <v>514</v>
      </c>
      <c r="F62" s="33"/>
    </row>
    <row r="63" spans="2:7">
      <c r="E63" s="23" t="s">
        <v>317</v>
      </c>
      <c r="F63" s="23"/>
    </row>
    <row r="64" spans="2:7">
      <c r="B64" s="16"/>
      <c r="E64" s="23" t="s">
        <v>53</v>
      </c>
      <c r="F64" s="23"/>
    </row>
    <row r="65" spans="2:6">
      <c r="E65" s="23" t="s">
        <v>515</v>
      </c>
      <c r="F65" s="23"/>
    </row>
    <row r="66" spans="2:6">
      <c r="B66" s="14"/>
      <c r="E66" s="23" t="s">
        <v>819</v>
      </c>
      <c r="F66" s="33"/>
    </row>
    <row r="67" spans="2:6">
      <c r="B67" s="14"/>
      <c r="E67" s="4" t="s">
        <v>332</v>
      </c>
      <c r="F67" s="23"/>
    </row>
    <row r="68" spans="2:6">
      <c r="E68" s="4" t="s">
        <v>883</v>
      </c>
      <c r="F68" s="23"/>
    </row>
    <row r="69" spans="2:6">
      <c r="E69" s="23" t="s">
        <v>990</v>
      </c>
    </row>
    <row r="70" spans="2:6">
      <c r="E70" s="4" t="s">
        <v>991</v>
      </c>
      <c r="F70" s="23"/>
    </row>
    <row r="71" spans="2:6">
      <c r="E71" s="23" t="s">
        <v>992</v>
      </c>
    </row>
    <row r="72" spans="2:6">
      <c r="E72" s="23" t="s">
        <v>767</v>
      </c>
    </row>
    <row r="73" spans="2:6">
      <c r="E73" s="23" t="s">
        <v>124</v>
      </c>
      <c r="F73" s="23"/>
    </row>
    <row r="74" spans="2:6">
      <c r="E74" s="23" t="s">
        <v>1003</v>
      </c>
    </row>
    <row r="75" spans="2:6">
      <c r="E75" s="23" t="s">
        <v>557</v>
      </c>
      <c r="F75" s="23"/>
    </row>
    <row r="76" spans="2:6">
      <c r="E76" s="33" t="s">
        <v>886</v>
      </c>
      <c r="F76" s="23"/>
    </row>
    <row r="77" spans="2:6">
      <c r="E77" s="23" t="s">
        <v>29</v>
      </c>
      <c r="F77" s="23"/>
    </row>
    <row r="78" spans="2:6">
      <c r="B78" s="4" t="s">
        <v>415</v>
      </c>
      <c r="E78" s="23" t="s">
        <v>641</v>
      </c>
      <c r="F78" s="23"/>
    </row>
    <row r="79" spans="2:6">
      <c r="E79" s="23" t="s">
        <v>887</v>
      </c>
      <c r="F79" s="33"/>
    </row>
    <row r="80" spans="2:6">
      <c r="E80" s="23" t="s">
        <v>481</v>
      </c>
      <c r="F80" s="23"/>
    </row>
    <row r="81" spans="5:6">
      <c r="E81" s="23" t="s">
        <v>480</v>
      </c>
      <c r="F81" s="23"/>
    </row>
    <row r="82" spans="5:6">
      <c r="E82" s="23" t="s">
        <v>726</v>
      </c>
      <c r="F82" s="23"/>
    </row>
    <row r="83" spans="5:6">
      <c r="E83" s="23" t="s">
        <v>616</v>
      </c>
      <c r="F83" s="23"/>
    </row>
    <row r="84" spans="5:6">
      <c r="E84" s="23" t="s">
        <v>973</v>
      </c>
    </row>
    <row r="85" spans="5:6">
      <c r="E85" s="23" t="s">
        <v>762</v>
      </c>
    </row>
    <row r="86" spans="5:6">
      <c r="E86" s="23" t="s">
        <v>38</v>
      </c>
    </row>
    <row r="87" spans="5:6">
      <c r="E87" s="23" t="s">
        <v>1013</v>
      </c>
    </row>
    <row r="88" spans="5:6">
      <c r="E88" s="23" t="s">
        <v>295</v>
      </c>
    </row>
    <row r="89" spans="5:6">
      <c r="E89" s="4" t="s">
        <v>938</v>
      </c>
    </row>
    <row r="90" spans="5:6">
      <c r="E90" s="23" t="s">
        <v>685</v>
      </c>
    </row>
    <row r="91" spans="5:6">
      <c r="E91" s="23" t="s">
        <v>1073</v>
      </c>
    </row>
    <row r="92" spans="5:6">
      <c r="E92" s="23" t="s">
        <v>1065</v>
      </c>
    </row>
    <row r="93" spans="5:6">
      <c r="E93" s="23" t="s">
        <v>1044</v>
      </c>
    </row>
    <row r="94" spans="5:6">
      <c r="E94" s="23" t="s">
        <v>1051</v>
      </c>
    </row>
    <row r="95" spans="5:6">
      <c r="E95" s="23" t="s">
        <v>1061</v>
      </c>
    </row>
    <row r="96" spans="5:6">
      <c r="E96" s="16" t="s">
        <v>1089</v>
      </c>
    </row>
    <row r="97" spans="5:5">
      <c r="E97" s="16" t="s">
        <v>1090</v>
      </c>
    </row>
    <row r="98" spans="5:5">
      <c r="E98" s="112" t="s">
        <v>1384</v>
      </c>
    </row>
    <row r="99" spans="5:5">
      <c r="E99" s="112" t="s">
        <v>1383</v>
      </c>
    </row>
    <row r="100" spans="5:5">
      <c r="E100" s="4" t="s">
        <v>1209</v>
      </c>
    </row>
    <row r="101" spans="5:5">
      <c r="E101" s="4" t="s">
        <v>1199</v>
      </c>
    </row>
    <row r="102" spans="5:5">
      <c r="E102" s="4" t="s">
        <v>1200</v>
      </c>
    </row>
    <row r="103" spans="5:5">
      <c r="E103" s="112" t="s">
        <v>1382</v>
      </c>
    </row>
    <row r="104" spans="5:5">
      <c r="E104" s="112" t="s">
        <v>1311</v>
      </c>
    </row>
    <row r="105" spans="5:5">
      <c r="E105" s="112" t="s">
        <v>1366</v>
      </c>
    </row>
    <row r="106" spans="5:5">
      <c r="E106" s="112" t="s">
        <v>1386</v>
      </c>
    </row>
    <row r="107" spans="5:5">
      <c r="E107" s="23" t="s">
        <v>1385</v>
      </c>
    </row>
  </sheetData>
  <phoneticPr fontId="3" type="noConversion"/>
  <hyperlinks>
    <hyperlink ref="B7" location="Vectibix!A1" display="Vectibix (panitumumab)" xr:uid="{00000000-0004-0000-0000-000000000000}"/>
    <hyperlink ref="B9" location="Denosumab!A1" display="Denosumab (AMG162)" xr:uid="{00000000-0004-0000-0000-000001000000}"/>
    <hyperlink ref="B42"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Nplate!A1" display="Nplate (romiplostim)" xr:uid="{00000000-0004-0000-0000-000006000000}"/>
    <hyperlink ref="B41"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6" location="'655'!A1" display="AMG655" xr:uid="{00000000-0004-0000-0000-000010000000}"/>
    <hyperlink ref="B8" location="Lumakras!A1" display="Lumakras (sotorasib)" xr:uid="{9E5CC73F-416C-46F7-923B-50F6862D49CD}"/>
    <hyperlink ref="B26" location="'maridebart cafraglutide'!A1" display="maridebart cafraglutide" xr:uid="{05EC14C3-B750-48ED-B70C-5E0E1896131E}"/>
    <hyperlink ref="B22" location="Repatha!A1" display="Repatha (evolocumab)" xr:uid="{FF9CA732-B11D-45CD-AEA3-2F1EFDD332C4}"/>
    <hyperlink ref="B15" location="Tavneos!A1" display="Tavneos (avacopan)" xr:uid="{4CB933C1-8334-47E1-A223-C6FCDB4F8CD7}"/>
    <hyperlink ref="B19" location="Tepezza!A1" display="Tepezza (teprotumumab)" xr:uid="{ED0EC6B7-8CEC-4576-B64A-07FA9602938D}"/>
    <hyperlink ref="B21" location="Krystexxa!A1" display="Krystexxa (pegloticase)" xr:uid="{E01FAA30-4EEF-486C-BEA6-6F9E5A71971B}"/>
    <hyperlink ref="B20" location="Uplizna!A1" display="Uplizna (inebilizumab)" xr:uid="{3F0363E0-8F1F-4907-9684-8ADF32D110BE}"/>
    <hyperlink ref="B18" location="Tezspire!A1" display="Tezspire (tezepelumab)" xr:uid="{DF607FB4-8B43-40E1-8E8F-D5D743BB39F2}"/>
    <hyperlink ref="B30" location="rocatinlimab!A1" display="AMG451/KHK4083 (rocatinlimab)" xr:uid="{01544069-36CC-46F0-9ABC-0849B2A1870E}"/>
    <hyperlink ref="B16" location="Otezla!A1" display="Otezla (apremilast)" xr:uid="{C6264FBD-967B-4BB4-A2D7-DE0983D2D566}"/>
    <hyperlink ref="B23" location="Blincyto!A1" display="Blincyto (blinatumomab)" xr:uid="{27A913BD-0C8E-4F99-8835-B4534E21EB2E}"/>
    <hyperlink ref="B17" location="Imdelltra!A1" display="Imdelltra (tarlatamab)" xr:uid="{78D2B0A2-6A66-4AD3-8E3C-9A39B2477F08}"/>
    <hyperlink ref="B27" location="olpasiran!A1" display="AMG890 (olpasiran)" xr:uid="{4C4F8825-9D68-49A4-A30C-AEC2D3D0D228}"/>
    <hyperlink ref="B28" location="xaluritamig!A1" display="AMG509 (xaluritamig)" xr:uid="{BC277136-DC46-40A2-99BE-FEBE1D446FE2}"/>
    <hyperlink ref="B29" location="bemarituzumab!A1" display="bemarituzumab" xr:uid="{30747E5C-5E2A-4C58-AED6-3360D6EA8BEA}"/>
    <hyperlink ref="B31" location="'193'!A1" display="AMG193" xr:uid="{F32D02B8-EC2B-4693-841E-484DCF003EFD}"/>
    <hyperlink ref="B32" location="'714'!A1" display="AMG714 (ordesekimab)" xr:uid="{B72BB7A9-EC67-4CB7-A43D-0CD136FA0D81}"/>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EFC1-5E88-4BEB-BBEA-40A66B2876E7}">
  <dimension ref="A1:C20"/>
  <sheetViews>
    <sheetView zoomScale="160" zoomScaleNormal="160" workbookViewId="0"/>
  </sheetViews>
  <sheetFormatPr defaultRowHeight="12.75"/>
  <cols>
    <col min="1" max="1" width="4.5703125" bestFit="1" customWidth="1"/>
    <col min="2" max="2" width="11.28515625" bestFit="1" customWidth="1"/>
  </cols>
  <sheetData>
    <row r="1" spans="1:3">
      <c r="A1" s="11" t="s">
        <v>5</v>
      </c>
    </row>
    <row r="2" spans="1:3">
      <c r="B2" t="s">
        <v>1201</v>
      </c>
      <c r="C2" t="s">
        <v>1460</v>
      </c>
    </row>
    <row r="3" spans="1:3">
      <c r="B3" t="s">
        <v>1210</v>
      </c>
      <c r="C3" s="131" t="s">
        <v>1459</v>
      </c>
    </row>
    <row r="4" spans="1:3">
      <c r="B4" t="s">
        <v>3</v>
      </c>
      <c r="C4" t="s">
        <v>1461</v>
      </c>
    </row>
    <row r="5" spans="1:3">
      <c r="B5" t="s">
        <v>1202</v>
      </c>
      <c r="C5" t="s">
        <v>1329</v>
      </c>
    </row>
    <row r="6" spans="1:3">
      <c r="B6" t="s">
        <v>6</v>
      </c>
      <c r="C6" t="s">
        <v>1462</v>
      </c>
    </row>
    <row r="7" spans="1:3">
      <c r="B7" t="s">
        <v>322</v>
      </c>
    </row>
    <row r="8" spans="1:3">
      <c r="C8" s="48" t="s">
        <v>1463</v>
      </c>
    </row>
    <row r="10" spans="1:3">
      <c r="C10" s="48" t="s">
        <v>1464</v>
      </c>
    </row>
    <row r="12" spans="1:3">
      <c r="C12" s="48" t="s">
        <v>1465</v>
      </c>
    </row>
    <row r="14" spans="1:3">
      <c r="C14" s="48" t="s">
        <v>1466</v>
      </c>
    </row>
    <row r="16" spans="1:3">
      <c r="C16" s="48" t="s">
        <v>1467</v>
      </c>
    </row>
    <row r="18" spans="3:3">
      <c r="C18" s="48" t="s">
        <v>1468</v>
      </c>
    </row>
    <row r="20" spans="3:3">
      <c r="C20" s="48" t="s">
        <v>1469</v>
      </c>
    </row>
  </sheetData>
  <hyperlinks>
    <hyperlink ref="A1" location="Main!A1" display="Main" xr:uid="{FE839372-0733-477A-BE2B-02C9D28D7E0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599</v>
      </c>
    </row>
    <row r="3" spans="1:3">
      <c r="B3" s="4" t="s">
        <v>287</v>
      </c>
      <c r="C3" s="4" t="s">
        <v>1026</v>
      </c>
    </row>
    <row r="4" spans="1:3">
      <c r="B4" s="4" t="s">
        <v>3</v>
      </c>
      <c r="C4" s="4" t="s">
        <v>1024</v>
      </c>
    </row>
    <row r="5" spans="1:3">
      <c r="B5" s="4" t="s">
        <v>806</v>
      </c>
      <c r="C5" s="4" t="s">
        <v>1025</v>
      </c>
    </row>
    <row r="6" spans="1:3">
      <c r="B6" s="4" t="s">
        <v>7</v>
      </c>
      <c r="C6" s="4" t="s">
        <v>673</v>
      </c>
    </row>
    <row r="7" spans="1:3">
      <c r="B7" s="4" t="s">
        <v>322</v>
      </c>
    </row>
    <row r="9" spans="1:3">
      <c r="B9" s="4" t="s">
        <v>308</v>
      </c>
    </row>
    <row r="11" spans="1:3">
      <c r="C11" s="22" t="s">
        <v>1022</v>
      </c>
    </row>
    <row r="12" spans="1:3">
      <c r="C12" s="4" t="s">
        <v>1023</v>
      </c>
    </row>
    <row r="13" spans="1:3">
      <c r="C13" s="4" t="s">
        <v>779</v>
      </c>
    </row>
    <row r="14" spans="1:3">
      <c r="C14" s="4" t="s">
        <v>780</v>
      </c>
    </row>
    <row r="16" spans="1:3">
      <c r="C16" s="22" t="s">
        <v>162</v>
      </c>
    </row>
    <row r="17" spans="3:4">
      <c r="C17" s="4" t="s">
        <v>163</v>
      </c>
    </row>
    <row r="19" spans="3:4">
      <c r="D19" s="22" t="s">
        <v>306</v>
      </c>
    </row>
    <row r="20" spans="3:4">
      <c r="D20" s="4" t="s">
        <v>307</v>
      </c>
    </row>
    <row r="22" spans="3:4">
      <c r="D22" s="22" t="s">
        <v>310</v>
      </c>
    </row>
    <row r="23" spans="3:4">
      <c r="D23" s="4" t="s">
        <v>855</v>
      </c>
    </row>
    <row r="25" spans="3:4">
      <c r="D25" s="22" t="s">
        <v>853</v>
      </c>
    </row>
    <row r="26" spans="3:4">
      <c r="D26" s="4" t="s">
        <v>854</v>
      </c>
    </row>
    <row r="28" spans="3:4">
      <c r="C28" s="22" t="s">
        <v>856</v>
      </c>
    </row>
    <row r="29" spans="3:4">
      <c r="C29" s="4" t="s">
        <v>857</v>
      </c>
    </row>
    <row r="31" spans="3:4">
      <c r="C31" s="22" t="s">
        <v>858</v>
      </c>
    </row>
    <row r="32" spans="3:4">
      <c r="C32" s="16" t="s">
        <v>859</v>
      </c>
    </row>
    <row r="33" spans="3:4">
      <c r="D33" s="16"/>
    </row>
    <row r="34" spans="3:4">
      <c r="D34" s="22" t="s">
        <v>185</v>
      </c>
    </row>
    <row r="35" spans="3:4">
      <c r="D35" s="4" t="s">
        <v>733</v>
      </c>
    </row>
    <row r="37" spans="3:4">
      <c r="D37" s="22" t="s">
        <v>734</v>
      </c>
    </row>
    <row r="38" spans="3:4">
      <c r="D38" s="16" t="s">
        <v>735</v>
      </c>
    </row>
    <row r="39" spans="3:4">
      <c r="D39" s="16"/>
    </row>
    <row r="40" spans="3:4">
      <c r="D40" s="22" t="s">
        <v>736</v>
      </c>
    </row>
    <row r="41" spans="3:4">
      <c r="D41" s="16" t="s">
        <v>847</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915</v>
      </c>
    </row>
    <row r="62" spans="3:4">
      <c r="C62" s="16" t="s">
        <v>916</v>
      </c>
    </row>
    <row r="63" spans="3:4">
      <c r="D63" s="16"/>
    </row>
    <row r="64" spans="3:4">
      <c r="C64" s="22" t="s">
        <v>917</v>
      </c>
    </row>
    <row r="65" spans="2:4">
      <c r="C65" s="16" t="s">
        <v>250</v>
      </c>
    </row>
    <row r="66" spans="2:4">
      <c r="C66" s="16"/>
    </row>
    <row r="67" spans="2:4">
      <c r="C67" s="22" t="s">
        <v>773</v>
      </c>
    </row>
    <row r="68" spans="2:4">
      <c r="C68" s="16" t="s">
        <v>774</v>
      </c>
    </row>
    <row r="69" spans="2:4">
      <c r="B69" s="4" t="s">
        <v>309</v>
      </c>
      <c r="D69" s="22"/>
    </row>
    <row r="71" spans="2:4">
      <c r="C71" s="22" t="s">
        <v>159</v>
      </c>
    </row>
    <row r="72" spans="2:4">
      <c r="C72" s="22" t="s">
        <v>160</v>
      </c>
    </row>
    <row r="73" spans="2:4">
      <c r="C73" s="16" t="s">
        <v>161</v>
      </c>
    </row>
    <row r="75" spans="2:4">
      <c r="C75" s="22" t="s">
        <v>157</v>
      </c>
    </row>
    <row r="76" spans="2:4">
      <c r="C76" s="16" t="s">
        <v>158</v>
      </c>
    </row>
    <row r="78" spans="2:4">
      <c r="C78" s="22" t="s">
        <v>517</v>
      </c>
    </row>
    <row r="79" spans="2:4">
      <c r="C79" s="4" t="s">
        <v>518</v>
      </c>
    </row>
    <row r="81" spans="3:3">
      <c r="C81" s="22" t="s">
        <v>388</v>
      </c>
    </row>
    <row r="82" spans="3:3">
      <c r="C82" s="4" t="s">
        <v>389</v>
      </c>
    </row>
    <row r="84" spans="3:3">
      <c r="C84" s="22" t="s">
        <v>390</v>
      </c>
    </row>
    <row r="85" spans="3:3">
      <c r="C85" s="4" t="s">
        <v>391</v>
      </c>
    </row>
    <row r="87" spans="3:3">
      <c r="C87" s="22" t="s">
        <v>155</v>
      </c>
    </row>
    <row r="88" spans="3:3">
      <c r="C88" s="4" t="s">
        <v>156</v>
      </c>
    </row>
    <row r="90" spans="3:3">
      <c r="C90" s="22" t="s">
        <v>251</v>
      </c>
    </row>
    <row r="91" spans="3:3">
      <c r="C91" s="4" t="s">
        <v>252</v>
      </c>
    </row>
    <row r="93" spans="3:3">
      <c r="C93" s="22" t="s">
        <v>359</v>
      </c>
    </row>
    <row r="94" spans="3:3">
      <c r="C94" s="4" t="s">
        <v>360</v>
      </c>
    </row>
    <row r="96" spans="3:3">
      <c r="C96" s="22" t="s">
        <v>361</v>
      </c>
    </row>
    <row r="97" spans="3:3">
      <c r="C97" s="4" t="s">
        <v>475</v>
      </c>
    </row>
    <row r="99" spans="3:3">
      <c r="C99" s="22" t="s">
        <v>0</v>
      </c>
    </row>
    <row r="100" spans="3:3">
      <c r="C100" s="4" t="s">
        <v>1</v>
      </c>
    </row>
    <row r="102" spans="3:3">
      <c r="C102" s="22" t="s">
        <v>771</v>
      </c>
    </row>
    <row r="103" spans="3:3">
      <c r="C103" s="4" t="s">
        <v>772</v>
      </c>
    </row>
    <row r="105" spans="3:3">
      <c r="C105" s="22" t="s">
        <v>775</v>
      </c>
    </row>
    <row r="106" spans="3:3">
      <c r="C106" s="4" t="s">
        <v>776</v>
      </c>
    </row>
    <row r="108" spans="3:3">
      <c r="C108" s="22" t="s">
        <v>777</v>
      </c>
    </row>
    <row r="109" spans="3:3">
      <c r="C109" s="4" t="s">
        <v>778</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286</v>
      </c>
      <c r="C2" s="4" t="s">
        <v>598</v>
      </c>
    </row>
    <row r="3" spans="1:3">
      <c r="B3" s="4" t="s">
        <v>287</v>
      </c>
      <c r="C3" s="4" t="s">
        <v>25</v>
      </c>
    </row>
    <row r="4" spans="1:3">
      <c r="B4" s="4" t="s">
        <v>981</v>
      </c>
      <c r="C4" s="4" t="s">
        <v>580</v>
      </c>
    </row>
    <row r="5" spans="1:3">
      <c r="B5" s="4" t="s">
        <v>357</v>
      </c>
      <c r="C5" s="4" t="s">
        <v>581</v>
      </c>
    </row>
    <row r="6" spans="1:3">
      <c r="B6" s="4" t="s">
        <v>3</v>
      </c>
      <c r="C6" s="4" t="s">
        <v>17</v>
      </c>
    </row>
    <row r="7" spans="1:3">
      <c r="B7" s="4" t="s">
        <v>112</v>
      </c>
      <c r="C7" s="4" t="s">
        <v>19</v>
      </c>
    </row>
    <row r="8" spans="1:3">
      <c r="B8" s="4" t="s">
        <v>18</v>
      </c>
      <c r="C8" s="4" t="s">
        <v>472</v>
      </c>
    </row>
    <row r="9" spans="1:3">
      <c r="B9" s="4" t="s">
        <v>728</v>
      </c>
      <c r="C9" s="4" t="s">
        <v>496</v>
      </c>
    </row>
    <row r="10" spans="1:3">
      <c r="B10" s="4" t="s">
        <v>441</v>
      </c>
      <c r="C10" s="4" t="s">
        <v>614</v>
      </c>
    </row>
    <row r="11" spans="1:3">
      <c r="C11" s="4" t="s">
        <v>582</v>
      </c>
    </row>
    <row r="12" spans="1:3">
      <c r="B12" s="4" t="s">
        <v>10</v>
      </c>
      <c r="C12" s="4" t="s">
        <v>24</v>
      </c>
    </row>
    <row r="13" spans="1:3">
      <c r="C13" s="4" t="s">
        <v>26</v>
      </c>
    </row>
    <row r="14" spans="1:3">
      <c r="C14" s="4" t="s">
        <v>412</v>
      </c>
    </row>
    <row r="15" spans="1:3">
      <c r="C15" s="4" t="s">
        <v>471</v>
      </c>
    </row>
    <row r="16" spans="1:3">
      <c r="C16" s="4" t="s">
        <v>473</v>
      </c>
    </row>
    <row r="17" spans="2:6">
      <c r="D17" s="4" t="s">
        <v>1014</v>
      </c>
    </row>
    <row r="18" spans="2:6">
      <c r="B18" s="4" t="s">
        <v>1002</v>
      </c>
      <c r="C18" s="4" t="s">
        <v>292</v>
      </c>
    </row>
    <row r="19" spans="2:6">
      <c r="C19" s="4" t="s">
        <v>22</v>
      </c>
    </row>
    <row r="20" spans="2:6">
      <c r="C20" s="4" t="s">
        <v>763</v>
      </c>
    </row>
    <row r="21" spans="2:6">
      <c r="C21" s="4" t="s">
        <v>23</v>
      </c>
    </row>
    <row r="23" spans="2:6">
      <c r="C23" s="6" t="s">
        <v>764</v>
      </c>
      <c r="D23" s="6" t="s">
        <v>313</v>
      </c>
      <c r="E23" s="6" t="s">
        <v>318</v>
      </c>
      <c r="F23" s="6" t="s">
        <v>765</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597</v>
      </c>
    </row>
    <row r="3" spans="1:3">
      <c r="A3" s="10"/>
    </row>
    <row r="4" spans="1:3">
      <c r="C4" s="14" t="s">
        <v>153</v>
      </c>
    </row>
    <row r="5" spans="1:3">
      <c r="C5" s="14" t="s">
        <v>296</v>
      </c>
    </row>
    <row r="6" spans="1:3">
      <c r="C6" s="16" t="s">
        <v>964</v>
      </c>
    </row>
    <row r="7" spans="1:3">
      <c r="C7" s="14" t="s">
        <v>319</v>
      </c>
    </row>
    <row r="8" spans="1:3">
      <c r="C8" s="14" t="s">
        <v>963</v>
      </c>
    </row>
    <row r="9" spans="1:3">
      <c r="C9" s="14" t="s">
        <v>615</v>
      </c>
    </row>
    <row r="10" spans="1:3">
      <c r="C10" s="16" t="s">
        <v>824</v>
      </c>
    </row>
    <row r="11" spans="1:3">
      <c r="C11" s="16" t="s">
        <v>696</v>
      </c>
    </row>
    <row r="12" spans="1:3">
      <c r="C12" s="14" t="s">
        <v>37</v>
      </c>
    </row>
    <row r="13" spans="1:3">
      <c r="C13" s="16" t="s">
        <v>948</v>
      </c>
    </row>
    <row r="14" spans="1:3">
      <c r="C14" s="10" t="s">
        <v>674</v>
      </c>
    </row>
    <row r="15" spans="1:3">
      <c r="C15" s="16" t="s">
        <v>315</v>
      </c>
    </row>
    <row r="16" spans="1:3">
      <c r="C16" s="16" t="s">
        <v>21</v>
      </c>
    </row>
    <row r="17" spans="1:3">
      <c r="C17" s="16" t="s">
        <v>297</v>
      </c>
    </row>
    <row r="18" spans="1:3">
      <c r="C18" s="16" t="s">
        <v>798</v>
      </c>
    </row>
    <row r="19" spans="1:3">
      <c r="C19" s="16" t="s">
        <v>500</v>
      </c>
    </row>
    <row r="20" spans="1:3">
      <c r="A20" s="10"/>
      <c r="C20" s="4" t="s">
        <v>262</v>
      </c>
    </row>
    <row r="21" spans="1:3">
      <c r="A21" s="10"/>
      <c r="C21" s="4" t="s">
        <v>263</v>
      </c>
    </row>
    <row r="22" spans="1:3">
      <c r="A22" s="10"/>
      <c r="C22" s="4" t="s">
        <v>264</v>
      </c>
    </row>
    <row r="23" spans="1:3">
      <c r="A23" s="10"/>
      <c r="C23" s="4" t="s">
        <v>265</v>
      </c>
    </row>
    <row r="24" spans="1:3">
      <c r="A24" s="10"/>
      <c r="C24" s="4" t="s">
        <v>266</v>
      </c>
    </row>
    <row r="25" spans="1:3">
      <c r="A25" s="10"/>
      <c r="C25" s="4" t="s">
        <v>267</v>
      </c>
    </row>
    <row r="26" spans="1:3">
      <c r="A26" s="10"/>
      <c r="C26" s="4" t="s">
        <v>268</v>
      </c>
    </row>
    <row r="27" spans="1:3">
      <c r="A27" s="10"/>
      <c r="C27" s="4" t="s">
        <v>269</v>
      </c>
    </row>
    <row r="28" spans="1:3">
      <c r="A28" s="10"/>
      <c r="C28" s="4" t="s">
        <v>270</v>
      </c>
    </row>
    <row r="29" spans="1:3">
      <c r="A29" s="10"/>
      <c r="C29" s="4" t="s">
        <v>271</v>
      </c>
    </row>
    <row r="30" spans="1:3">
      <c r="A30" s="10"/>
      <c r="C30" s="4" t="s">
        <v>489</v>
      </c>
    </row>
    <row r="31" spans="1:3">
      <c r="A31" s="10"/>
      <c r="C31" s="4" t="s">
        <v>490</v>
      </c>
    </row>
    <row r="32" spans="1:3">
      <c r="A32" s="10"/>
    </row>
    <row r="33" spans="2:2">
      <c r="B33" s="50">
        <v>39220</v>
      </c>
    </row>
    <row r="34" spans="2:2">
      <c r="B34" s="55" t="s">
        <v>249</v>
      </c>
    </row>
    <row r="35" spans="2:2">
      <c r="B35" s="55"/>
    </row>
    <row r="36" spans="2:2" ht="13.5">
      <c r="B36" s="56" t="s">
        <v>256</v>
      </c>
    </row>
    <row r="37" spans="2:2" ht="13.5">
      <c r="B37" s="56"/>
    </row>
    <row r="38" spans="2:2" ht="13.5">
      <c r="B38" s="56" t="s">
        <v>257</v>
      </c>
    </row>
    <row r="39" spans="2:2" ht="13.5">
      <c r="B39" s="56" t="s">
        <v>258</v>
      </c>
    </row>
    <row r="40" spans="2:2" ht="13.5">
      <c r="B40" s="56" t="s">
        <v>259</v>
      </c>
    </row>
    <row r="41" spans="2:2" ht="13.5">
      <c r="B41" s="56"/>
    </row>
    <row r="42" spans="2:2" ht="13.5">
      <c r="B42" s="56" t="s">
        <v>260</v>
      </c>
    </row>
    <row r="43" spans="2:2" ht="13.5">
      <c r="B43" s="56" t="s">
        <v>261</v>
      </c>
    </row>
    <row r="44" spans="2:2" ht="13.5">
      <c r="B44" s="56" t="s">
        <v>799</v>
      </c>
    </row>
    <row r="45" spans="2:2" ht="13.5">
      <c r="B45" s="56" t="s">
        <v>800</v>
      </c>
    </row>
    <row r="46" spans="2:2" ht="13.5">
      <c r="B46" s="56" t="s">
        <v>801</v>
      </c>
    </row>
    <row r="47" spans="2:2" ht="13.5">
      <c r="B47" s="56" t="s">
        <v>802</v>
      </c>
    </row>
    <row r="48" spans="2:2" ht="13.5">
      <c r="B48" s="56" t="s">
        <v>245</v>
      </c>
    </row>
    <row r="49" spans="2:2" ht="13.5">
      <c r="B49" s="56" t="s">
        <v>246</v>
      </c>
    </row>
    <row r="50" spans="2:2" ht="13.5">
      <c r="B50" s="56"/>
    </row>
    <row r="51" spans="2:2" ht="13.5">
      <c r="B51" s="56" t="s">
        <v>247</v>
      </c>
    </row>
    <row r="52" spans="2:2" ht="13.5">
      <c r="B52" s="56" t="s">
        <v>248</v>
      </c>
    </row>
    <row r="53" spans="2:2" ht="13.5">
      <c r="B53" s="56" t="s">
        <v>679</v>
      </c>
    </row>
    <row r="54" spans="2:2" ht="13.5">
      <c r="B54" s="56" t="s">
        <v>680</v>
      </c>
    </row>
    <row r="55" spans="2:2" ht="13.5">
      <c r="B55" s="56" t="s">
        <v>681</v>
      </c>
    </row>
    <row r="56" spans="2:2" ht="13.5">
      <c r="B56" s="56" t="s">
        <v>682</v>
      </c>
    </row>
    <row r="57" spans="2:2" ht="13.5">
      <c r="B57" s="56" t="s">
        <v>683</v>
      </c>
    </row>
    <row r="58" spans="2:2" ht="13.5">
      <c r="B58" s="56" t="s">
        <v>684</v>
      </c>
    </row>
    <row r="59" spans="2:2" ht="13.5">
      <c r="B59" s="56"/>
    </row>
    <row r="60" spans="2:2" ht="13.5">
      <c r="B60" s="56" t="s">
        <v>949</v>
      </c>
    </row>
    <row r="61" spans="2:2" ht="13.5">
      <c r="B61" s="56" t="s">
        <v>950</v>
      </c>
    </row>
    <row r="62" spans="2:2" ht="13.5">
      <c r="B62" s="56"/>
    </row>
    <row r="63" spans="2:2" ht="13.5">
      <c r="B63" s="56" t="s">
        <v>951</v>
      </c>
    </row>
    <row r="64" spans="2:2" ht="13.5">
      <c r="B64" s="56" t="s">
        <v>952</v>
      </c>
    </row>
    <row r="65" spans="2:2" ht="13.5">
      <c r="B65" s="56" t="s">
        <v>953</v>
      </c>
    </row>
    <row r="66" spans="2:2" ht="13.5">
      <c r="B66" s="56" t="s">
        <v>954</v>
      </c>
    </row>
    <row r="67" spans="2:2" ht="13.5">
      <c r="B67" s="56" t="s">
        <v>955</v>
      </c>
    </row>
    <row r="68" spans="2:2" ht="13.5">
      <c r="B68" s="56" t="s">
        <v>956</v>
      </c>
    </row>
    <row r="69" spans="2:2" ht="13.5">
      <c r="B69" s="56" t="s">
        <v>957</v>
      </c>
    </row>
    <row r="70" spans="2:2" ht="13.5">
      <c r="B70" s="56" t="s">
        <v>958</v>
      </c>
    </row>
    <row r="71" spans="2:2" ht="13.5">
      <c r="B71" s="56" t="s">
        <v>959</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811</v>
      </c>
    </row>
    <row r="80" spans="2:2" ht="13.5">
      <c r="B80" s="56" t="s">
        <v>812</v>
      </c>
    </row>
    <row r="81" spans="2:2" ht="13.5">
      <c r="B81" s="56"/>
    </row>
    <row r="82" spans="2:2" ht="13.5">
      <c r="B82" s="56" t="s">
        <v>813</v>
      </c>
    </row>
    <row r="83" spans="2:2" ht="13.5">
      <c r="B83" s="56" t="s">
        <v>814</v>
      </c>
    </row>
    <row r="84" spans="2:2" ht="13.5">
      <c r="B84" s="56" t="s">
        <v>815</v>
      </c>
    </row>
    <row r="85" spans="2:2" ht="13.5">
      <c r="B85" s="56" t="s">
        <v>816</v>
      </c>
    </row>
    <row r="86" spans="2:2" ht="13.5">
      <c r="B86" s="56" t="s">
        <v>817</v>
      </c>
    </row>
    <row r="87" spans="2:2" ht="13.5">
      <c r="B87" s="56" t="s">
        <v>700</v>
      </c>
    </row>
    <row r="88" spans="2:2" ht="13.5">
      <c r="B88" s="56" t="s">
        <v>701</v>
      </c>
    </row>
    <row r="89" spans="2:2" ht="13.5">
      <c r="B89" s="56"/>
    </row>
    <row r="90" spans="2:2" ht="13.5">
      <c r="B90" s="56" t="s">
        <v>703</v>
      </c>
    </row>
    <row r="91" spans="2:2" ht="13.5">
      <c r="B91" s="56" t="s">
        <v>704</v>
      </c>
    </row>
    <row r="93" spans="2:2">
      <c r="B93" s="57" t="s">
        <v>705</v>
      </c>
    </row>
    <row r="94" spans="2:2">
      <c r="B94" s="57" t="s">
        <v>706</v>
      </c>
    </row>
    <row r="95" spans="2:2">
      <c r="B95" s="57" t="s">
        <v>707</v>
      </c>
    </row>
    <row r="96" spans="2:2">
      <c r="B96" s="57" t="s">
        <v>708</v>
      </c>
    </row>
    <row r="97" spans="2:2">
      <c r="B97" s="57" t="s">
        <v>705</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597</v>
      </c>
    </row>
    <row r="3" spans="1:3">
      <c r="B3" s="4" t="s">
        <v>15</v>
      </c>
      <c r="C3" s="4" t="s">
        <v>16</v>
      </c>
    </row>
    <row r="4" spans="1:3">
      <c r="B4" s="4" t="s">
        <v>3</v>
      </c>
      <c r="C4" s="10" t="s">
        <v>395</v>
      </c>
    </row>
    <row r="5" spans="1:3">
      <c r="C5" s="4" t="s">
        <v>394</v>
      </c>
    </row>
    <row r="6" spans="1:3">
      <c r="C6" s="4" t="s">
        <v>961</v>
      </c>
    </row>
    <row r="7" spans="1:3">
      <c r="B7" s="4" t="s">
        <v>6</v>
      </c>
      <c r="C7" s="4" t="s">
        <v>497</v>
      </c>
    </row>
    <row r="8" spans="1:3">
      <c r="B8" s="4" t="s">
        <v>981</v>
      </c>
      <c r="C8" s="4" t="s">
        <v>987</v>
      </c>
    </row>
    <row r="9" spans="1:3">
      <c r="B9" s="4" t="s">
        <v>806</v>
      </c>
      <c r="C9" s="4" t="s">
        <v>593</v>
      </c>
    </row>
    <row r="10" spans="1:3">
      <c r="B10" s="4" t="s">
        <v>493</v>
      </c>
      <c r="C10" s="4" t="s">
        <v>988</v>
      </c>
    </row>
    <row r="11" spans="1:3">
      <c r="B11" s="10" t="s">
        <v>596</v>
      </c>
      <c r="C11" s="10" t="s">
        <v>897</v>
      </c>
    </row>
    <row r="12" spans="1:3">
      <c r="B12" s="4" t="s">
        <v>728</v>
      </c>
      <c r="C12" s="49" t="s">
        <v>898</v>
      </c>
    </row>
    <row r="13" spans="1:3">
      <c r="B13" s="4" t="s">
        <v>441</v>
      </c>
      <c r="C13" s="4" t="s">
        <v>675</v>
      </c>
    </row>
    <row r="14" spans="1:3">
      <c r="B14" s="4" t="s">
        <v>483</v>
      </c>
      <c r="C14" s="4" t="s">
        <v>491</v>
      </c>
    </row>
    <row r="15" spans="1:3">
      <c r="C15" s="10" t="s">
        <v>962</v>
      </c>
    </row>
    <row r="16" spans="1:3">
      <c r="B16" s="4" t="s">
        <v>112</v>
      </c>
      <c r="C16" s="4" t="s">
        <v>413</v>
      </c>
    </row>
    <row r="17" spans="2:4">
      <c r="C17" s="4" t="s">
        <v>804</v>
      </c>
    </row>
    <row r="18" spans="2:4">
      <c r="C18" s="4" t="s">
        <v>803</v>
      </c>
    </row>
    <row r="19" spans="2:4">
      <c r="C19" s="4" t="s">
        <v>907</v>
      </c>
    </row>
    <row r="20" spans="2:4">
      <c r="C20" s="4" t="s">
        <v>154</v>
      </c>
    </row>
    <row r="21" spans="2:4">
      <c r="B21" s="4" t="s">
        <v>1002</v>
      </c>
      <c r="C21" s="4" t="s">
        <v>417</v>
      </c>
      <c r="D21" s="6"/>
    </row>
    <row r="22" spans="2:4">
      <c r="B22" s="4" t="s">
        <v>253</v>
      </c>
      <c r="C22" s="4" t="s">
        <v>492</v>
      </c>
      <c r="D22" s="6"/>
    </row>
    <row r="23" spans="2:4">
      <c r="B23" s="4" t="s">
        <v>1005</v>
      </c>
      <c r="C23" s="4" t="s">
        <v>929</v>
      </c>
      <c r="D23" s="6"/>
    </row>
    <row r="24" spans="2:4">
      <c r="B24" s="4" t="s">
        <v>591</v>
      </c>
      <c r="C24" s="4" t="s">
        <v>592</v>
      </c>
      <c r="D24" s="6"/>
    </row>
    <row r="25" spans="2:4">
      <c r="B25" s="4" t="s">
        <v>797</v>
      </c>
      <c r="C25" s="4" t="s">
        <v>20</v>
      </c>
      <c r="D25" s="6"/>
    </row>
    <row r="26" spans="2:4">
      <c r="B26" s="4" t="s">
        <v>7</v>
      </c>
      <c r="C26" s="4" t="s">
        <v>50</v>
      </c>
      <c r="D26" s="6"/>
    </row>
    <row r="27" spans="2:4">
      <c r="C27" s="4" t="s">
        <v>423</v>
      </c>
      <c r="D27" s="6"/>
    </row>
    <row r="28" spans="2:4">
      <c r="B28" s="4" t="s">
        <v>144</v>
      </c>
      <c r="C28" s="4" t="s">
        <v>145</v>
      </c>
      <c r="D28" s="6"/>
    </row>
    <row r="29" spans="2:4">
      <c r="B29" s="4" t="s">
        <v>322</v>
      </c>
      <c r="D29" s="6"/>
    </row>
    <row r="30" spans="2:4">
      <c r="C30" s="22" t="s">
        <v>142</v>
      </c>
      <c r="D30" s="6"/>
    </row>
    <row r="31" spans="2:4">
      <c r="C31" s="4" t="s">
        <v>396</v>
      </c>
      <c r="D31" s="6"/>
    </row>
    <row r="32" spans="2:4">
      <c r="C32" s="4" t="s">
        <v>397</v>
      </c>
      <c r="D32" s="6"/>
    </row>
    <row r="33" spans="3:4">
      <c r="C33" s="4" t="s">
        <v>398</v>
      </c>
      <c r="D33" s="6"/>
    </row>
    <row r="34" spans="3:4">
      <c r="D34" s="6"/>
    </row>
    <row r="35" spans="3:4">
      <c r="C35" s="22" t="s">
        <v>143</v>
      </c>
    </row>
    <row r="36" spans="3:4">
      <c r="C36" s="16" t="s">
        <v>399</v>
      </c>
    </row>
    <row r="37" spans="3:4">
      <c r="C37" s="16" t="s">
        <v>137</v>
      </c>
    </row>
    <row r="38" spans="3:4">
      <c r="C38" s="16"/>
    </row>
    <row r="39" spans="3:4">
      <c r="C39" s="22" t="s">
        <v>465</v>
      </c>
    </row>
    <row r="40" spans="3:4">
      <c r="C40" s="16" t="s">
        <v>466</v>
      </c>
    </row>
    <row r="41" spans="3:4">
      <c r="C41" s="16" t="s">
        <v>467</v>
      </c>
    </row>
    <row r="42" spans="3:4">
      <c r="C42" s="16"/>
    </row>
    <row r="43" spans="3:4">
      <c r="C43" s="22" t="s">
        <v>138</v>
      </c>
    </row>
    <row r="44" spans="3:4">
      <c r="C44" s="4" t="s">
        <v>139</v>
      </c>
      <c r="D44" s="6"/>
    </row>
    <row r="45" spans="3:4">
      <c r="D45" s="6"/>
    </row>
    <row r="46" spans="3:4">
      <c r="C46" s="22" t="s">
        <v>392</v>
      </c>
      <c r="D46" s="6"/>
    </row>
    <row r="47" spans="3:4">
      <c r="C47" s="4" t="s">
        <v>626</v>
      </c>
      <c r="D47" s="6"/>
    </row>
    <row r="48" spans="3:4">
      <c r="C48" s="4" t="s">
        <v>627</v>
      </c>
      <c r="D48" s="6"/>
    </row>
    <row r="49" spans="3:4">
      <c r="D49" s="6"/>
    </row>
    <row r="50" spans="3:4">
      <c r="C50" s="22" t="s">
        <v>128</v>
      </c>
      <c r="D50" s="6"/>
    </row>
    <row r="51" spans="3:4">
      <c r="C51" s="16" t="s">
        <v>130</v>
      </c>
      <c r="D51" s="6"/>
    </row>
    <row r="52" spans="3:4">
      <c r="C52" s="16" t="s">
        <v>789</v>
      </c>
      <c r="D52" s="6"/>
    </row>
    <row r="53" spans="3:4">
      <c r="C53" s="16" t="s">
        <v>790</v>
      </c>
      <c r="D53" s="6"/>
    </row>
    <row r="54" spans="3:4">
      <c r="C54" s="16" t="s">
        <v>791</v>
      </c>
      <c r="D54" s="6"/>
    </row>
    <row r="55" spans="3:4">
      <c r="C55" s="16" t="s">
        <v>690</v>
      </c>
      <c r="D55" s="6"/>
    </row>
    <row r="56" spans="3:4">
      <c r="C56" s="16" t="s">
        <v>792</v>
      </c>
      <c r="D56" s="6"/>
    </row>
    <row r="57" spans="3:4">
      <c r="C57" s="16" t="s">
        <v>129</v>
      </c>
      <c r="D57" s="6"/>
    </row>
    <row r="58" spans="3:4">
      <c r="C58" s="4" t="s">
        <v>788</v>
      </c>
    </row>
    <row r="59" spans="3:4">
      <c r="C59" s="4" t="s">
        <v>787</v>
      </c>
    </row>
    <row r="61" spans="3:4">
      <c r="C61" s="22" t="s">
        <v>989</v>
      </c>
    </row>
    <row r="62" spans="3:4">
      <c r="C62" s="4" t="s">
        <v>70</v>
      </c>
    </row>
    <row r="63" spans="3:4">
      <c r="C63" s="4" t="s">
        <v>697</v>
      </c>
    </row>
    <row r="64" spans="3:4">
      <c r="C64" s="4" t="s">
        <v>362</v>
      </c>
    </row>
    <row r="65" spans="3:3">
      <c r="C65" s="10" t="s">
        <v>312</v>
      </c>
    </row>
    <row r="67" spans="3:3">
      <c r="C67" s="22" t="s">
        <v>622</v>
      </c>
    </row>
    <row r="68" spans="3:3">
      <c r="C68" s="4" t="s">
        <v>623</v>
      </c>
    </row>
    <row r="70" spans="3:3">
      <c r="C70" s="22" t="s">
        <v>624</v>
      </c>
    </row>
    <row r="71" spans="3:3">
      <c r="C71" s="16" t="s">
        <v>625</v>
      </c>
    </row>
    <row r="73" spans="3:3">
      <c r="C73" s="22" t="s">
        <v>553</v>
      </c>
    </row>
    <row r="74" spans="3:3">
      <c r="C74" s="10" t="s">
        <v>552</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501</v>
      </c>
    </row>
    <row r="83" spans="3:3">
      <c r="C83" s="4" t="s">
        <v>844</v>
      </c>
    </row>
    <row r="84" spans="3:3">
      <c r="C84" s="4" t="s">
        <v>502</v>
      </c>
    </row>
    <row r="86" spans="3:3">
      <c r="C86" s="11" t="s">
        <v>228</v>
      </c>
    </row>
    <row r="87" spans="3:3">
      <c r="C87" s="4" t="s">
        <v>727</v>
      </c>
    </row>
    <row r="88" spans="3:3">
      <c r="C88" s="4" t="s">
        <v>730</v>
      </c>
    </row>
    <row r="89" spans="3:3">
      <c r="C89" s="4" t="s">
        <v>72</v>
      </c>
    </row>
    <row r="90" spans="3:3">
      <c r="C90" s="4" t="s">
        <v>729</v>
      </c>
    </row>
    <row r="91" spans="3:3">
      <c r="C91" s="4" t="s">
        <v>424</v>
      </c>
    </row>
    <row r="92" spans="3:3">
      <c r="C92" s="4" t="s">
        <v>539</v>
      </c>
    </row>
    <row r="93" spans="3:3">
      <c r="C93" s="4" t="s">
        <v>61</v>
      </c>
    </row>
    <row r="94" spans="3:3">
      <c r="C94" s="4" t="s">
        <v>460</v>
      </c>
    </row>
    <row r="95" spans="3:3">
      <c r="C95" s="4" t="s">
        <v>461</v>
      </c>
    </row>
    <row r="96" spans="3:3">
      <c r="C96" s="4" t="s">
        <v>462</v>
      </c>
    </row>
    <row r="97" spans="3:4">
      <c r="C97" s="4" t="s">
        <v>463</v>
      </c>
    </row>
    <row r="98" spans="3:4">
      <c r="C98" s="4" t="s">
        <v>723</v>
      </c>
    </row>
    <row r="99" spans="3:4">
      <c r="C99" s="4" t="s">
        <v>724</v>
      </c>
    </row>
    <row r="100" spans="3:4">
      <c r="C100" s="4" t="s">
        <v>725</v>
      </c>
    </row>
    <row r="101" spans="3:4">
      <c r="C101" s="4" t="s">
        <v>941</v>
      </c>
    </row>
    <row r="102" spans="3:4">
      <c r="C102" s="4" t="s">
        <v>234</v>
      </c>
    </row>
    <row r="104" spans="3:4" ht="13.5" customHeight="1">
      <c r="C104" s="10" t="s">
        <v>73</v>
      </c>
    </row>
    <row r="105" spans="3:4" ht="12.75" customHeight="1">
      <c r="C105" s="4" t="s">
        <v>861</v>
      </c>
    </row>
    <row r="106" spans="3:4" ht="12.75" customHeight="1">
      <c r="C106" s="4" t="s">
        <v>608</v>
      </c>
    </row>
    <row r="107" spans="3:4">
      <c r="C107" s="4" t="s">
        <v>74</v>
      </c>
      <c r="D107" s="4" t="s">
        <v>75</v>
      </c>
    </row>
    <row r="108" spans="3:4">
      <c r="C108" s="4" t="s">
        <v>76</v>
      </c>
      <c r="D108" s="4" t="s">
        <v>639</v>
      </c>
    </row>
    <row r="109" spans="3:4">
      <c r="C109" s="4" t="s">
        <v>606</v>
      </c>
      <c r="D109" s="4" t="s">
        <v>607</v>
      </c>
    </row>
    <row r="110" spans="3:4">
      <c r="C110" s="4" t="s">
        <v>640</v>
      </c>
      <c r="D110" s="4" t="s">
        <v>605</v>
      </c>
    </row>
    <row r="111" spans="3:4">
      <c r="D111" s="4" t="s">
        <v>610</v>
      </c>
    </row>
    <row r="112" spans="3:4">
      <c r="D112" s="4" t="s">
        <v>612</v>
      </c>
    </row>
    <row r="113" spans="3:4">
      <c r="D113" s="4" t="s">
        <v>611</v>
      </c>
    </row>
    <row r="114" spans="3:4">
      <c r="D114" s="4" t="s">
        <v>613</v>
      </c>
    </row>
    <row r="115" spans="3:4">
      <c r="D115" s="4" t="s">
        <v>600</v>
      </c>
    </row>
    <row r="116" spans="3:4">
      <c r="D116" s="4" t="s">
        <v>601</v>
      </c>
    </row>
    <row r="117" spans="3:4">
      <c r="D117" s="4" t="s">
        <v>860</v>
      </c>
    </row>
    <row r="119" spans="3:4">
      <c r="C119" s="22" t="s">
        <v>862</v>
      </c>
    </row>
    <row r="120" spans="3:4">
      <c r="C120" s="4" t="s">
        <v>863</v>
      </c>
    </row>
    <row r="121" spans="3:4">
      <c r="C121" s="4" t="s">
        <v>865</v>
      </c>
    </row>
    <row r="122" spans="3:4">
      <c r="C122" s="4" t="s">
        <v>866</v>
      </c>
    </row>
    <row r="123" spans="3:4">
      <c r="C123" s="4" t="s">
        <v>867</v>
      </c>
    </row>
    <row r="125" spans="3:4">
      <c r="C125" s="22" t="s">
        <v>868</v>
      </c>
    </row>
    <row r="126" spans="3:4">
      <c r="C126" s="16" t="s">
        <v>869</v>
      </c>
    </row>
    <row r="127" spans="3:4">
      <c r="C127" s="4" t="s">
        <v>870</v>
      </c>
    </row>
    <row r="128" spans="3:4">
      <c r="C128" s="4" t="s">
        <v>871</v>
      </c>
    </row>
    <row r="130" spans="3:3">
      <c r="C130" s="22" t="s">
        <v>942</v>
      </c>
    </row>
    <row r="131" spans="3:3">
      <c r="C131" s="4" t="s">
        <v>663</v>
      </c>
    </row>
    <row r="132" spans="3:3">
      <c r="C132" s="4" t="s">
        <v>664</v>
      </c>
    </row>
    <row r="134" spans="3:3">
      <c r="C134" s="22" t="s">
        <v>136</v>
      </c>
    </row>
    <row r="135" spans="3:3">
      <c r="C135" s="4" t="s">
        <v>984</v>
      </c>
    </row>
    <row r="136" spans="3:3">
      <c r="C136" s="4" t="s">
        <v>538</v>
      </c>
    </row>
    <row r="137" spans="3:3">
      <c r="C137" s="4" t="s">
        <v>537</v>
      </c>
    </row>
    <row r="139" spans="3:3">
      <c r="C139" s="4" t="s">
        <v>1043</v>
      </c>
    </row>
    <row r="141" spans="3:3">
      <c r="C141" s="4" t="s">
        <v>529</v>
      </c>
    </row>
    <row r="142" spans="3:3">
      <c r="C142" s="4" t="s">
        <v>225</v>
      </c>
    </row>
    <row r="144" spans="3:3">
      <c r="C144" s="22" t="s">
        <v>686</v>
      </c>
    </row>
    <row r="145" spans="3:3">
      <c r="C145" s="16" t="s">
        <v>118</v>
      </c>
    </row>
    <row r="147" spans="3:3">
      <c r="C147" s="4" t="s">
        <v>290</v>
      </c>
    </row>
    <row r="148" spans="3:3">
      <c r="C148" s="4" t="s">
        <v>820</v>
      </c>
    </row>
    <row r="149" spans="3:3">
      <c r="C149" s="4" t="s">
        <v>966</v>
      </c>
    </row>
    <row r="150" spans="3:3">
      <c r="C150" s="4" t="s">
        <v>226</v>
      </c>
    </row>
    <row r="151" spans="3:3">
      <c r="C151" s="14" t="s">
        <v>227</v>
      </c>
    </row>
    <row r="152" spans="3:3">
      <c r="C152" s="4" t="s">
        <v>524</v>
      </c>
    </row>
    <row r="153" spans="3:3">
      <c r="C153" s="4" t="s">
        <v>525</v>
      </c>
    </row>
    <row r="154" spans="3:3">
      <c r="C154" s="4" t="s">
        <v>983</v>
      </c>
    </row>
    <row r="155" spans="3:3">
      <c r="C155" s="4" t="s">
        <v>135</v>
      </c>
    </row>
    <row r="158" spans="3:3">
      <c r="C158" s="4" t="s">
        <v>996</v>
      </c>
    </row>
    <row r="160" spans="3:3">
      <c r="C160" s="22" t="s">
        <v>526</v>
      </c>
    </row>
    <row r="161" spans="3:3">
      <c r="C161" s="16" t="s">
        <v>1048</v>
      </c>
    </row>
    <row r="162" spans="3:3">
      <c r="C162" s="16" t="s">
        <v>632</v>
      </c>
    </row>
    <row r="164" spans="3:3">
      <c r="C164" s="22" t="s">
        <v>140</v>
      </c>
    </row>
    <row r="165" spans="3:3">
      <c r="C165" s="4" t="s">
        <v>141</v>
      </c>
    </row>
    <row r="166" spans="3:3">
      <c r="C166" s="22"/>
    </row>
    <row r="168" spans="3:3">
      <c r="C168" s="22" t="s">
        <v>325</v>
      </c>
    </row>
    <row r="169" spans="3:3">
      <c r="C169" s="4" t="s">
        <v>326</v>
      </c>
    </row>
    <row r="170" spans="3:3">
      <c r="C170" s="4" t="s">
        <v>327</v>
      </c>
    </row>
    <row r="172" spans="3:3">
      <c r="C172" s="22" t="s">
        <v>930</v>
      </c>
    </row>
    <row r="173" spans="3:3">
      <c r="C173" s="4" t="s">
        <v>931</v>
      </c>
    </row>
    <row r="174" spans="3:3">
      <c r="C174" s="4" t="s">
        <v>932</v>
      </c>
    </row>
    <row r="175" spans="3:3">
      <c r="C175" s="4" t="s">
        <v>933</v>
      </c>
    </row>
    <row r="177" spans="3:3">
      <c r="C177" s="22" t="s">
        <v>934</v>
      </c>
    </row>
    <row r="178" spans="3:3">
      <c r="C178" s="4" t="s">
        <v>935</v>
      </c>
    </row>
    <row r="179" spans="3:3">
      <c r="C179" s="4" t="s">
        <v>936</v>
      </c>
    </row>
    <row r="181" spans="3:3">
      <c r="C181" s="22" t="s">
        <v>244</v>
      </c>
    </row>
    <row r="182" spans="3:3">
      <c r="C182" s="4" t="s">
        <v>937</v>
      </c>
    </row>
    <row r="183" spans="3:3">
      <c r="C183" s="4" t="s">
        <v>239</v>
      </c>
    </row>
    <row r="185" spans="3:3">
      <c r="C185" s="22" t="s">
        <v>240</v>
      </c>
    </row>
    <row r="186" spans="3:3">
      <c r="C186" s="4" t="s">
        <v>241</v>
      </c>
    </row>
    <row r="188" spans="3:3">
      <c r="C188" s="22" t="s">
        <v>242</v>
      </c>
    </row>
    <row r="191" spans="3:3">
      <c r="C191" s="22" t="s">
        <v>243</v>
      </c>
    </row>
    <row r="194" spans="3:3">
      <c r="C194" s="22" t="s">
        <v>1004</v>
      </c>
    </row>
    <row r="195" spans="3:3">
      <c r="C195" s="4" t="s">
        <v>656</v>
      </c>
    </row>
    <row r="196" spans="3:3">
      <c r="C196" s="4" t="s">
        <v>744</v>
      </c>
    </row>
    <row r="197" spans="3:3">
      <c r="C197" s="4" t="s">
        <v>745</v>
      </c>
    </row>
    <row r="200" spans="3:3">
      <c r="C200" s="22" t="s">
        <v>1070</v>
      </c>
    </row>
    <row r="201" spans="3:3">
      <c r="C201" s="16" t="s">
        <v>1071</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872</v>
      </c>
    </row>
    <row r="3" spans="2:3">
      <c r="B3" t="s">
        <v>123</v>
      </c>
    </row>
    <row r="5" spans="2:3">
      <c r="B5" t="s">
        <v>551</v>
      </c>
      <c r="C5">
        <v>701</v>
      </c>
    </row>
    <row r="6" spans="2:3">
      <c r="B6" t="s">
        <v>873</v>
      </c>
      <c r="C6" t="s">
        <v>874</v>
      </c>
    </row>
    <row r="7" spans="2:3">
      <c r="B7" t="s">
        <v>119</v>
      </c>
      <c r="C7" t="s">
        <v>426</v>
      </c>
    </row>
    <row r="8" spans="2:3">
      <c r="B8" t="s">
        <v>120</v>
      </c>
      <c r="C8" t="s">
        <v>121</v>
      </c>
    </row>
    <row r="9" spans="2:3">
      <c r="B9" t="s">
        <v>122</v>
      </c>
      <c r="C9" t="s">
        <v>655</v>
      </c>
    </row>
    <row r="10" spans="2:3">
      <c r="C10" t="s">
        <v>653</v>
      </c>
    </row>
    <row r="11" spans="2:3">
      <c r="C11" t="s">
        <v>654</v>
      </c>
    </row>
    <row r="12" spans="2:3">
      <c r="C12" t="s">
        <v>659</v>
      </c>
    </row>
    <row r="13" spans="2:3">
      <c r="C13" t="s">
        <v>403</v>
      </c>
    </row>
    <row r="15" spans="2:3">
      <c r="B15" s="21" t="s">
        <v>1000</v>
      </c>
    </row>
    <row r="18" spans="2:2">
      <c r="B18" s="13" t="s">
        <v>401</v>
      </c>
    </row>
    <row r="19" spans="2:2">
      <c r="B19" t="s">
        <v>402</v>
      </c>
    </row>
    <row r="20" spans="2:2">
      <c r="B20" t="s">
        <v>698</v>
      </c>
    </row>
    <row r="21" spans="2:2">
      <c r="B21" t="s">
        <v>523</v>
      </c>
    </row>
    <row r="22" spans="2:2">
      <c r="B22" t="s">
        <v>970</v>
      </c>
    </row>
    <row r="23" spans="2:2">
      <c r="B23" t="s">
        <v>971</v>
      </c>
    </row>
    <row r="24" spans="2:2">
      <c r="B24" t="s">
        <v>972</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286</v>
      </c>
      <c r="C2" s="4" t="s">
        <v>427</v>
      </c>
    </row>
    <row r="3" spans="1:3">
      <c r="B3" s="4" t="s">
        <v>287</v>
      </c>
      <c r="C3" s="4" t="s">
        <v>430</v>
      </c>
    </row>
    <row r="4" spans="1:3">
      <c r="B4" s="4" t="s">
        <v>806</v>
      </c>
      <c r="C4" s="4" t="s">
        <v>749</v>
      </c>
    </row>
    <row r="5" spans="1:3">
      <c r="B5" s="4" t="s">
        <v>3</v>
      </c>
      <c r="C5" s="4" t="s">
        <v>532</v>
      </c>
    </row>
    <row r="6" spans="1:3">
      <c r="C6" s="4" t="s">
        <v>40</v>
      </c>
    </row>
    <row r="7" spans="1:3">
      <c r="B7" s="4" t="s">
        <v>7</v>
      </c>
      <c r="C7" s="4" t="s">
        <v>748</v>
      </c>
    </row>
    <row r="8" spans="1:3">
      <c r="C8" s="4" t="s">
        <v>738</v>
      </c>
    </row>
    <row r="9" spans="1:3">
      <c r="B9" s="4" t="s">
        <v>11</v>
      </c>
      <c r="C9" s="4" t="s">
        <v>527</v>
      </c>
    </row>
    <row r="10" spans="1:3">
      <c r="B10" s="4" t="s">
        <v>358</v>
      </c>
      <c r="C10" s="4" t="s">
        <v>718</v>
      </c>
    </row>
    <row r="11" spans="1:3">
      <c r="B11" s="4" t="s">
        <v>528</v>
      </c>
      <c r="C11" s="4" t="s">
        <v>436</v>
      </c>
    </row>
    <row r="12" spans="1:3">
      <c r="B12" s="4" t="s">
        <v>1002</v>
      </c>
      <c r="C12" s="4" t="s">
        <v>39</v>
      </c>
    </row>
    <row r="13" spans="1:3">
      <c r="B13" s="4" t="s">
        <v>596</v>
      </c>
      <c r="C13" s="4" t="s">
        <v>969</v>
      </c>
    </row>
    <row r="14" spans="1:3">
      <c r="B14" s="4" t="s">
        <v>428</v>
      </c>
    </row>
    <row r="15" spans="1:3">
      <c r="C15" s="10" t="s">
        <v>431</v>
      </c>
    </row>
    <row r="16" spans="1:3">
      <c r="C16" s="4" t="s">
        <v>429</v>
      </c>
    </row>
    <row r="18" spans="3:4">
      <c r="C18" s="22" t="s">
        <v>633</v>
      </c>
    </row>
    <row r="19" spans="3:4">
      <c r="C19" s="4" t="s">
        <v>222</v>
      </c>
    </row>
    <row r="20" spans="3:4">
      <c r="C20" s="4" t="s">
        <v>751</v>
      </c>
    </row>
    <row r="21" spans="3:4">
      <c r="D21" s="4" t="s">
        <v>752</v>
      </c>
    </row>
    <row r="23" spans="3:4">
      <c r="C23" s="4" t="s">
        <v>634</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286</v>
      </c>
      <c r="C2" s="112" t="s">
        <v>1526</v>
      </c>
    </row>
    <row r="3" spans="1:3">
      <c r="B3" s="4" t="s">
        <v>287</v>
      </c>
      <c r="C3" s="112" t="s">
        <v>1527</v>
      </c>
    </row>
    <row r="4" spans="1:3">
      <c r="B4" s="4" t="s">
        <v>3</v>
      </c>
      <c r="C4" s="4" t="s">
        <v>737</v>
      </c>
    </row>
    <row r="5" spans="1:3">
      <c r="C5" s="4" t="s">
        <v>832</v>
      </c>
    </row>
    <row r="6" spans="1:3">
      <c r="C6" s="4" t="s">
        <v>979</v>
      </c>
    </row>
    <row r="7" spans="1:3">
      <c r="B7" s="4" t="s">
        <v>666</v>
      </c>
      <c r="C7" s="4" t="s">
        <v>545</v>
      </c>
    </row>
    <row r="8" spans="1:3">
      <c r="B8" s="4" t="s">
        <v>806</v>
      </c>
      <c r="C8" s="4" t="s">
        <v>826</v>
      </c>
    </row>
    <row r="9" spans="1:3">
      <c r="C9" s="16" t="s">
        <v>36</v>
      </c>
    </row>
    <row r="10" spans="1:3">
      <c r="C10" s="16" t="s">
        <v>546</v>
      </c>
    </row>
    <row r="11" spans="1:3">
      <c r="B11" s="4" t="s">
        <v>981</v>
      </c>
      <c r="C11" s="4" t="s">
        <v>827</v>
      </c>
    </row>
    <row r="12" spans="1:3">
      <c r="B12" s="4" t="s">
        <v>7</v>
      </c>
      <c r="C12" s="4" t="s">
        <v>55</v>
      </c>
    </row>
    <row r="13" spans="1:3">
      <c r="C13" s="4" t="s">
        <v>695</v>
      </c>
    </row>
    <row r="14" spans="1:3">
      <c r="B14" s="4" t="s">
        <v>322</v>
      </c>
    </row>
    <row r="15" spans="1:3">
      <c r="C15" s="22" t="s">
        <v>712</v>
      </c>
    </row>
    <row r="16" spans="1:3">
      <c r="C16" s="4" t="s">
        <v>713</v>
      </c>
    </row>
    <row r="18" spans="3:3">
      <c r="C18" s="22" t="s">
        <v>715</v>
      </c>
    </row>
    <row r="19" spans="3:3">
      <c r="C19" s="4" t="s">
        <v>714</v>
      </c>
    </row>
    <row r="21" spans="3:3">
      <c r="C21" s="22" t="s">
        <v>716</v>
      </c>
    </row>
    <row r="22" spans="3:3">
      <c r="C22" s="4" t="s">
        <v>188</v>
      </c>
    </row>
    <row r="24" spans="3:3">
      <c r="C24" s="22" t="s">
        <v>912</v>
      </c>
    </row>
    <row r="25" spans="3:3">
      <c r="C25" s="4" t="s">
        <v>464</v>
      </c>
    </row>
    <row r="27" spans="3:3">
      <c r="C27" s="28" t="s">
        <v>825</v>
      </c>
    </row>
    <row r="28" spans="3:3">
      <c r="C28" s="4" t="s">
        <v>548</v>
      </c>
    </row>
    <row r="29" spans="3:3">
      <c r="C29" s="4" t="s">
        <v>831</v>
      </c>
    </row>
    <row r="30" spans="3:3">
      <c r="C30" s="4" t="s">
        <v>977</v>
      </c>
    </row>
    <row r="31" spans="3:3">
      <c r="C31" s="4" t="s">
        <v>829</v>
      </c>
    </row>
    <row r="32" spans="3:3">
      <c r="C32" s="16" t="s">
        <v>828</v>
      </c>
    </row>
    <row r="33" spans="3:3">
      <c r="C33" s="16" t="s">
        <v>993</v>
      </c>
    </row>
    <row r="34" spans="3:3">
      <c r="C34" s="4" t="s">
        <v>665</v>
      </c>
    </row>
    <row r="35" spans="3:3">
      <c r="C35" s="4" t="s">
        <v>830</v>
      </c>
    </row>
    <row r="36" spans="3:3">
      <c r="C36" s="4" t="s">
        <v>547</v>
      </c>
    </row>
    <row r="37" spans="3:3">
      <c r="C37" s="4" t="s">
        <v>549</v>
      </c>
    </row>
    <row r="39" spans="3:3">
      <c r="C39" s="22" t="s">
        <v>189</v>
      </c>
    </row>
    <row r="40" spans="3:3">
      <c r="C40" s="4" t="s">
        <v>694</v>
      </c>
    </row>
    <row r="41" spans="3:3">
      <c r="C41" s="4" t="s">
        <v>740</v>
      </c>
    </row>
    <row r="42" spans="3:3">
      <c r="C42" s="4" t="s">
        <v>980</v>
      </c>
    </row>
    <row r="44" spans="3:3">
      <c r="C44" s="22" t="s">
        <v>190</v>
      </c>
    </row>
    <row r="45" spans="3:3">
      <c r="C45" s="4" t="s">
        <v>796</v>
      </c>
    </row>
    <row r="46" spans="3:3">
      <c r="C46" s="4" t="s">
        <v>739</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286</v>
      </c>
      <c r="C2" s="4" t="s">
        <v>329</v>
      </c>
    </row>
    <row r="3" spans="1:4">
      <c r="B3" s="4" t="s">
        <v>287</v>
      </c>
      <c r="C3" s="4" t="s">
        <v>890</v>
      </c>
    </row>
    <row r="4" spans="1:4">
      <c r="B4" s="4" t="s">
        <v>3</v>
      </c>
      <c r="C4" s="4" t="s">
        <v>885</v>
      </c>
    </row>
    <row r="5" spans="1:4">
      <c r="B5" s="4" t="s">
        <v>806</v>
      </c>
      <c r="C5" s="4" t="s">
        <v>631</v>
      </c>
    </row>
    <row r="6" spans="1:4">
      <c r="C6" s="4" t="s">
        <v>687</v>
      </c>
    </row>
    <row r="7" spans="1:4">
      <c r="B7" s="4" t="s">
        <v>10</v>
      </c>
      <c r="C7" s="4" t="s">
        <v>288</v>
      </c>
    </row>
    <row r="8" spans="1:4">
      <c r="C8" s="4" t="s">
        <v>450</v>
      </c>
    </row>
    <row r="9" spans="1:4">
      <c r="B9" s="4" t="s">
        <v>891</v>
      </c>
      <c r="C9" s="4" t="s">
        <v>892</v>
      </c>
    </row>
    <row r="10" spans="1:4">
      <c r="B10" s="4" t="s">
        <v>893</v>
      </c>
      <c r="C10" s="4" t="s">
        <v>894</v>
      </c>
      <c r="D10" s="6"/>
    </row>
    <row r="11" spans="1:4">
      <c r="B11" s="4" t="s">
        <v>358</v>
      </c>
      <c r="C11" s="4" t="s">
        <v>571</v>
      </c>
      <c r="D11" s="6"/>
    </row>
    <row r="12" spans="1:4">
      <c r="B12" s="4" t="s">
        <v>899</v>
      </c>
      <c r="C12" s="20" t="s">
        <v>900</v>
      </c>
      <c r="D12" s="6"/>
    </row>
    <row r="13" spans="1:4">
      <c r="B13" s="16" t="s">
        <v>7</v>
      </c>
      <c r="C13" s="16" t="s">
        <v>1072</v>
      </c>
      <c r="D13" s="6"/>
    </row>
    <row r="14" spans="1:4">
      <c r="B14" s="4" t="s">
        <v>322</v>
      </c>
    </row>
    <row r="16" spans="1:4">
      <c r="B16" s="22" t="s">
        <v>1032</v>
      </c>
    </row>
    <row r="17" spans="2:16">
      <c r="B17" s="4" t="s">
        <v>1033</v>
      </c>
    </row>
    <row r="18" spans="2:16">
      <c r="B18" s="4" t="s">
        <v>1034</v>
      </c>
    </row>
    <row r="19" spans="2:16">
      <c r="B19" s="14" t="s">
        <v>1036</v>
      </c>
    </row>
    <row r="20" spans="2:16">
      <c r="B20" s="4" t="s">
        <v>1001</v>
      </c>
    </row>
    <row r="21" spans="2:16">
      <c r="B21" s="4" t="s">
        <v>946</v>
      </c>
    </row>
    <row r="22" spans="2:16">
      <c r="B22" s="14" t="s">
        <v>947</v>
      </c>
    </row>
    <row r="23" spans="2:16">
      <c r="B23" s="16" t="s">
        <v>940</v>
      </c>
    </row>
    <row r="24" spans="2:16">
      <c r="B24" s="51" t="s">
        <v>499</v>
      </c>
    </row>
    <row r="25" spans="2:16">
      <c r="K25" s="4" t="s">
        <v>569</v>
      </c>
      <c r="L25" s="4">
        <v>2006</v>
      </c>
      <c r="M25" s="4">
        <v>2007</v>
      </c>
      <c r="N25" s="4">
        <v>2008</v>
      </c>
      <c r="O25" s="4">
        <v>2009</v>
      </c>
    </row>
    <row r="26" spans="2:16">
      <c r="B26" s="22" t="s">
        <v>1035</v>
      </c>
      <c r="L26" s="4">
        <v>93</v>
      </c>
      <c r="M26" s="4">
        <v>379</v>
      </c>
      <c r="N26" s="4">
        <v>456</v>
      </c>
      <c r="O26" s="4">
        <v>550</v>
      </c>
    </row>
    <row r="27" spans="2:16">
      <c r="B27" s="27" t="s">
        <v>587</v>
      </c>
    </row>
    <row r="28" spans="2:16" ht="13.5" thickBot="1">
      <c r="B28" s="27" t="s">
        <v>588</v>
      </c>
      <c r="D28" s="4" t="s">
        <v>589</v>
      </c>
    </row>
    <row r="29" spans="2:16">
      <c r="B29" s="27" t="s">
        <v>590</v>
      </c>
      <c r="K29" s="45" t="s">
        <v>572</v>
      </c>
      <c r="L29" s="46"/>
      <c r="M29" s="46" t="s">
        <v>573</v>
      </c>
      <c r="N29" s="46"/>
      <c r="O29" s="46"/>
      <c r="P29" s="47"/>
    </row>
    <row r="30" spans="2:16">
      <c r="B30" s="27" t="s">
        <v>939</v>
      </c>
      <c r="K30" s="39"/>
      <c r="P30" s="40"/>
    </row>
    <row r="31" spans="2:16">
      <c r="K31" s="39" t="s">
        <v>574</v>
      </c>
      <c r="L31" s="4" t="s">
        <v>575</v>
      </c>
      <c r="M31" s="4" t="s">
        <v>3</v>
      </c>
      <c r="N31" s="4" t="s">
        <v>576</v>
      </c>
      <c r="P31" s="40"/>
    </row>
    <row r="32" spans="2:16">
      <c r="B32" s="22" t="s">
        <v>1053</v>
      </c>
      <c r="K32" s="39" t="s">
        <v>577</v>
      </c>
      <c r="L32" s="4" t="s">
        <v>452</v>
      </c>
      <c r="M32" s="4" t="s">
        <v>578</v>
      </c>
      <c r="N32" s="4">
        <v>9600</v>
      </c>
      <c r="O32" s="4" t="s">
        <v>81</v>
      </c>
      <c r="P32" s="40"/>
    </row>
    <row r="33" spans="2:16">
      <c r="B33" s="16" t="s">
        <v>904</v>
      </c>
      <c r="K33" s="39" t="s">
        <v>82</v>
      </c>
      <c r="L33" s="4" t="s">
        <v>83</v>
      </c>
      <c r="M33" s="4" t="s">
        <v>84</v>
      </c>
      <c r="N33" s="4">
        <v>8800</v>
      </c>
      <c r="P33" s="40"/>
    </row>
    <row r="34" spans="2:16">
      <c r="B34" s="16" t="s">
        <v>1052</v>
      </c>
      <c r="K34" s="39"/>
      <c r="M34" s="4" t="s">
        <v>85</v>
      </c>
      <c r="N34" s="4">
        <v>7700</v>
      </c>
      <c r="P34" s="40"/>
    </row>
    <row r="35" spans="2:16">
      <c r="K35" s="39"/>
      <c r="M35" s="4" t="s">
        <v>578</v>
      </c>
      <c r="N35" s="4">
        <v>4400</v>
      </c>
      <c r="P35" s="40"/>
    </row>
    <row r="36" spans="2:16">
      <c r="B36" s="22" t="s">
        <v>905</v>
      </c>
      <c r="K36" s="39" t="s">
        <v>86</v>
      </c>
      <c r="L36" s="4" t="s">
        <v>87</v>
      </c>
      <c r="M36" s="4" t="s">
        <v>88</v>
      </c>
      <c r="N36" s="4">
        <v>3816</v>
      </c>
      <c r="P36" s="40"/>
    </row>
    <row r="37" spans="2:16">
      <c r="B37" s="4" t="s">
        <v>906</v>
      </c>
      <c r="K37" s="39" t="s">
        <v>89</v>
      </c>
      <c r="L37" s="4" t="s">
        <v>83</v>
      </c>
      <c r="M37" s="4" t="s">
        <v>85</v>
      </c>
      <c r="N37" s="4">
        <v>3195</v>
      </c>
      <c r="P37" s="40"/>
    </row>
    <row r="38" spans="2:16">
      <c r="K38" s="39" t="s">
        <v>90</v>
      </c>
      <c r="L38" s="4" t="s">
        <v>91</v>
      </c>
      <c r="M38" s="4" t="s">
        <v>84</v>
      </c>
      <c r="N38" s="4">
        <v>2679</v>
      </c>
      <c r="P38" s="40"/>
    </row>
    <row r="39" spans="2:16">
      <c r="B39" s="22" t="s">
        <v>1016</v>
      </c>
      <c r="K39" s="39" t="s">
        <v>92</v>
      </c>
      <c r="L39" s="4" t="s">
        <v>93</v>
      </c>
      <c r="M39" s="4" t="s">
        <v>84</v>
      </c>
      <c r="N39" s="4">
        <v>5571</v>
      </c>
      <c r="P39" s="40"/>
    </row>
    <row r="40" spans="2:16">
      <c r="B40" s="22"/>
      <c r="K40" s="39" t="s">
        <v>583</v>
      </c>
      <c r="L40" s="4" t="s">
        <v>584</v>
      </c>
      <c r="M40" s="4" t="s">
        <v>585</v>
      </c>
      <c r="N40" s="4">
        <v>4421</v>
      </c>
      <c r="P40" s="40"/>
    </row>
    <row r="41" spans="2:16">
      <c r="B41" s="22" t="s">
        <v>1015</v>
      </c>
      <c r="K41" s="39" t="s">
        <v>586</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1054</v>
      </c>
    </row>
    <row r="47" spans="2:16">
      <c r="B47" s="16" t="s">
        <v>1055</v>
      </c>
    </row>
    <row r="48" spans="2:16">
      <c r="B48" s="16"/>
    </row>
    <row r="49" spans="2:12">
      <c r="B49" s="22" t="s">
        <v>1020</v>
      </c>
      <c r="K49" s="58">
        <v>39479</v>
      </c>
      <c r="L49" s="26">
        <v>10414</v>
      </c>
    </row>
    <row r="50" spans="2:12">
      <c r="B50" s="16" t="s">
        <v>231</v>
      </c>
      <c r="K50" s="58">
        <v>39508</v>
      </c>
      <c r="L50" s="26">
        <v>12661</v>
      </c>
    </row>
    <row r="51" spans="2:12">
      <c r="B51" s="16"/>
      <c r="K51" s="58">
        <v>39539</v>
      </c>
      <c r="L51" s="26">
        <v>10387</v>
      </c>
    </row>
    <row r="52" spans="2:12">
      <c r="B52" s="22" t="s">
        <v>1020</v>
      </c>
    </row>
    <row r="53" spans="2:12">
      <c r="B53" s="16" t="s">
        <v>896</v>
      </c>
    </row>
    <row r="55" spans="2:12">
      <c r="B55" s="22" t="s">
        <v>1017</v>
      </c>
    </row>
    <row r="56" spans="2:12">
      <c r="B56" s="4" t="s">
        <v>191</v>
      </c>
    </row>
    <row r="57" spans="2:12">
      <c r="B57" s="4" t="s">
        <v>192</v>
      </c>
    </row>
    <row r="58" spans="2:12">
      <c r="B58" s="14" t="s">
        <v>895</v>
      </c>
    </row>
    <row r="59" spans="2:12">
      <c r="B59" s="14" t="s">
        <v>1018</v>
      </c>
    </row>
    <row r="60" spans="2:12">
      <c r="B60" s="4" t="s">
        <v>425</v>
      </c>
    </row>
    <row r="63" spans="2:12">
      <c r="B63" s="22" t="s">
        <v>1019</v>
      </c>
    </row>
    <row r="65" spans="2:3">
      <c r="B65" s="4" t="s">
        <v>285</v>
      </c>
    </row>
    <row r="66" spans="2:3">
      <c r="C66" s="4" t="s">
        <v>667</v>
      </c>
    </row>
    <row r="67" spans="2:3">
      <c r="C67" s="4" t="s">
        <v>668</v>
      </c>
    </row>
    <row r="69" spans="2:3">
      <c r="B69" s="22" t="s">
        <v>232</v>
      </c>
    </row>
    <row r="71" spans="2:3">
      <c r="B71" s="22" t="s">
        <v>233</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334</v>
      </c>
      <c r="C2" s="16" t="s">
        <v>1082</v>
      </c>
      <c r="E2" s="4" t="s">
        <v>287</v>
      </c>
      <c r="F2" s="4" t="s">
        <v>335</v>
      </c>
    </row>
    <row r="3" spans="1:6">
      <c r="B3" s="16" t="s">
        <v>3</v>
      </c>
      <c r="C3" s="4" t="s">
        <v>336</v>
      </c>
    </row>
    <row r="4" spans="1:6">
      <c r="B4" s="16" t="s">
        <v>806</v>
      </c>
      <c r="C4" s="16" t="s">
        <v>1076</v>
      </c>
    </row>
    <row r="5" spans="1:6">
      <c r="B5" s="16"/>
      <c r="C5" s="4" t="s">
        <v>167</v>
      </c>
    </row>
    <row r="6" spans="1:6">
      <c r="B6" s="16"/>
      <c r="C6" s="4" t="s">
        <v>165</v>
      </c>
    </row>
    <row r="7" spans="1:6">
      <c r="B7" s="16"/>
      <c r="C7" s="4" t="s">
        <v>731</v>
      </c>
    </row>
    <row r="8" spans="1:6">
      <c r="B8" s="16"/>
      <c r="C8" s="4" t="s">
        <v>193</v>
      </c>
    </row>
    <row r="9" spans="1:6">
      <c r="B9" s="16"/>
      <c r="C9" s="4" t="s">
        <v>194</v>
      </c>
    </row>
    <row r="10" spans="1:6">
      <c r="B10" s="16"/>
      <c r="C10" s="16" t="s">
        <v>1079</v>
      </c>
    </row>
    <row r="11" spans="1:6">
      <c r="B11" s="16"/>
      <c r="C11" s="4" t="s">
        <v>237</v>
      </c>
    </row>
    <row r="12" spans="1:6">
      <c r="B12" s="16"/>
      <c r="C12" s="4" t="s">
        <v>238</v>
      </c>
    </row>
    <row r="13" spans="1:6">
      <c r="B13" s="16"/>
      <c r="C13" s="4" t="s">
        <v>759</v>
      </c>
    </row>
    <row r="14" spans="1:6">
      <c r="B14" s="16"/>
      <c r="C14" s="4" t="s">
        <v>544</v>
      </c>
    </row>
    <row r="15" spans="1:6" ht="14.25" customHeight="1">
      <c r="B15" s="16" t="s">
        <v>451</v>
      </c>
      <c r="C15" s="4" t="s">
        <v>184</v>
      </c>
    </row>
    <row r="16" spans="1:6">
      <c r="B16" s="16"/>
      <c r="C16" s="4" t="s">
        <v>77</v>
      </c>
    </row>
    <row r="17" spans="2:3">
      <c r="B17" s="16"/>
      <c r="C17" s="4" t="s">
        <v>255</v>
      </c>
    </row>
    <row r="18" spans="2:3">
      <c r="B18" s="16" t="s">
        <v>328</v>
      </c>
      <c r="C18" s="4" t="s">
        <v>166</v>
      </c>
    </row>
    <row r="19" spans="2:3">
      <c r="B19" s="4" t="s">
        <v>528</v>
      </c>
      <c r="C19" s="4" t="s">
        <v>978</v>
      </c>
    </row>
    <row r="20" spans="2:3">
      <c r="B20" s="4" t="s">
        <v>534</v>
      </c>
      <c r="C20" s="16" t="s">
        <v>1094</v>
      </c>
    </row>
    <row r="21" spans="2:3">
      <c r="B21" s="16" t="s">
        <v>6</v>
      </c>
      <c r="C21" s="16" t="s">
        <v>1093</v>
      </c>
    </row>
    <row r="22" spans="2:3">
      <c r="B22" s="4" t="s">
        <v>7</v>
      </c>
      <c r="C22" s="16" t="s">
        <v>1069</v>
      </c>
    </row>
    <row r="23" spans="2:3">
      <c r="B23" s="4" t="s">
        <v>322</v>
      </c>
    </row>
    <row r="24" spans="2:3">
      <c r="C24" s="22" t="s">
        <v>1078</v>
      </c>
    </row>
    <row r="25" spans="2:3">
      <c r="C25" s="4" t="s">
        <v>164</v>
      </c>
    </row>
    <row r="26" spans="2:3">
      <c r="C26" s="16" t="s">
        <v>1077</v>
      </c>
    </row>
    <row r="27" spans="2:3">
      <c r="C27" s="4" t="s">
        <v>629</v>
      </c>
    </row>
    <row r="28" spans="2:3">
      <c r="C28" s="16" t="s">
        <v>1080</v>
      </c>
    </row>
    <row r="29" spans="2:3">
      <c r="C29" s="4" t="s">
        <v>393</v>
      </c>
    </row>
    <row r="30" spans="2:3">
      <c r="C30" s="22" t="s">
        <v>168</v>
      </c>
    </row>
    <row r="31" spans="2:3">
      <c r="C31" s="16" t="s">
        <v>171</v>
      </c>
    </row>
    <row r="32" spans="2:3">
      <c r="C32" s="4" t="s">
        <v>484</v>
      </c>
    </row>
    <row r="34" spans="3:3">
      <c r="C34" s="22" t="s">
        <v>617</v>
      </c>
    </row>
    <row r="35" spans="3:3">
      <c r="C35" s="16" t="s">
        <v>741</v>
      </c>
    </row>
    <row r="37" spans="3:3">
      <c r="C37" s="22" t="s">
        <v>169</v>
      </c>
    </row>
    <row r="38" spans="3:3">
      <c r="C38" s="14" t="s">
        <v>1029</v>
      </c>
    </row>
    <row r="39" spans="3:3">
      <c r="C39" s="4" t="s">
        <v>170</v>
      </c>
    </row>
    <row r="40" spans="3:3">
      <c r="C40" s="4" t="s">
        <v>1030</v>
      </c>
    </row>
    <row r="41" spans="3:3">
      <c r="C41" s="4" t="s">
        <v>1031</v>
      </c>
    </row>
    <row r="43" spans="3:3">
      <c r="C43" s="22" t="s">
        <v>986</v>
      </c>
    </row>
    <row r="44" spans="3:3">
      <c r="C44" s="16" t="s">
        <v>651</v>
      </c>
    </row>
    <row r="45" spans="3:3">
      <c r="C45" s="16" t="s">
        <v>400</v>
      </c>
    </row>
    <row r="46" spans="3:3">
      <c r="C46" s="16" t="s">
        <v>41</v>
      </c>
    </row>
    <row r="47" spans="3:3">
      <c r="C47" s="16" t="s">
        <v>994</v>
      </c>
    </row>
    <row r="49" spans="3:9">
      <c r="C49" s="22" t="s">
        <v>46</v>
      </c>
    </row>
    <row r="50" spans="3:9">
      <c r="C50" s="4" t="s">
        <v>985</v>
      </c>
    </row>
    <row r="51" spans="3:9">
      <c r="C51" s="4" t="s">
        <v>691</v>
      </c>
    </row>
    <row r="53" spans="3:9">
      <c r="C53" s="22" t="s">
        <v>661</v>
      </c>
      <c r="D53" s="4"/>
      <c r="E53"/>
      <c r="I53" s="6"/>
    </row>
    <row r="54" spans="3:9">
      <c r="C54" s="4" t="s">
        <v>3</v>
      </c>
      <c r="D54" s="4" t="s">
        <v>618</v>
      </c>
      <c r="I54" s="6"/>
    </row>
    <row r="55" spans="3:9">
      <c r="C55" s="4" t="s">
        <v>420</v>
      </c>
      <c r="D55" s="4" t="s">
        <v>421</v>
      </c>
      <c r="I55" s="6"/>
    </row>
    <row r="56" spans="3:9">
      <c r="C56" s="4" t="s">
        <v>551</v>
      </c>
      <c r="D56" s="4" t="s">
        <v>418</v>
      </c>
      <c r="I56" s="6"/>
    </row>
    <row r="57" spans="3:9">
      <c r="C57" s="16" t="s">
        <v>1068</v>
      </c>
      <c r="D57" s="4"/>
      <c r="I57" s="6"/>
    </row>
    <row r="58" spans="3:9">
      <c r="D58" s="4"/>
      <c r="I58" s="6"/>
    </row>
    <row r="59" spans="3:9">
      <c r="C59" s="22" t="s">
        <v>419</v>
      </c>
      <c r="D59" s="4"/>
      <c r="I59" s="6"/>
    </row>
    <row r="60" spans="3:9">
      <c r="C60" s="16" t="s">
        <v>619</v>
      </c>
      <c r="D60" s="4"/>
      <c r="I60" s="6"/>
    </row>
    <row r="61" spans="3:9">
      <c r="C61" s="14" t="s">
        <v>449</v>
      </c>
      <c r="D61" s="4"/>
      <c r="I61" s="6"/>
    </row>
    <row r="63" spans="3:9">
      <c r="C63" s="22" t="s">
        <v>1095</v>
      </c>
    </row>
    <row r="64" spans="3:9">
      <c r="C64" s="4" t="s">
        <v>293</v>
      </c>
    </row>
    <row r="66" spans="3:13">
      <c r="C66" s="22" t="s">
        <v>1096</v>
      </c>
    </row>
    <row r="67" spans="3:13">
      <c r="C67" s="16" t="s">
        <v>1097</v>
      </c>
    </row>
    <row r="68" spans="3:13">
      <c r="C68" s="16" t="s">
        <v>1098</v>
      </c>
    </row>
    <row r="70" spans="3:13">
      <c r="C70" s="22" t="s">
        <v>1074</v>
      </c>
      <c r="M70" s="69"/>
    </row>
    <row r="71" spans="3:13">
      <c r="C71" s="16" t="s">
        <v>1049</v>
      </c>
      <c r="M71" s="69"/>
    </row>
    <row r="72" spans="3:13">
      <c r="C72" s="16" t="s">
        <v>1050</v>
      </c>
      <c r="M72" s="69"/>
    </row>
    <row r="73" spans="3:13">
      <c r="C73" s="14" t="s">
        <v>1084</v>
      </c>
      <c r="M73" s="69"/>
    </row>
    <row r="74" spans="3:13">
      <c r="C74" s="16" t="s">
        <v>1083</v>
      </c>
      <c r="M74" s="69"/>
    </row>
    <row r="75" spans="3:13">
      <c r="M75" s="69"/>
    </row>
    <row r="76" spans="3:13">
      <c r="C76" s="22" t="s">
        <v>621</v>
      </c>
      <c r="M76" s="69"/>
    </row>
    <row r="77" spans="3:13">
      <c r="C77" s="4" t="s">
        <v>620</v>
      </c>
    </row>
    <row r="79" spans="3:13">
      <c r="C79" s="4" t="s">
        <v>272</v>
      </c>
    </row>
    <row r="80" spans="3:13">
      <c r="C80" s="4" t="s">
        <v>530</v>
      </c>
    </row>
    <row r="81" spans="3:3">
      <c r="C81" s="4" t="s">
        <v>531</v>
      </c>
    </row>
    <row r="83" spans="3:3">
      <c r="C83" s="23" t="s">
        <v>195</v>
      </c>
    </row>
    <row r="84" spans="3:3">
      <c r="C84" s="4" t="s">
        <v>311</v>
      </c>
    </row>
    <row r="85" spans="3:3">
      <c r="C85" s="4" t="s">
        <v>761</v>
      </c>
    </row>
    <row r="87" spans="3:3">
      <c r="C87" s="22" t="s">
        <v>44</v>
      </c>
    </row>
    <row r="88" spans="3:3">
      <c r="C88" s="4" t="s">
        <v>45</v>
      </c>
    </row>
    <row r="89" spans="3:3">
      <c r="C89" s="4" t="s">
        <v>42</v>
      </c>
    </row>
    <row r="91" spans="3:3">
      <c r="C91" s="22" t="s">
        <v>78</v>
      </c>
    </row>
    <row r="92" spans="3:3">
      <c r="C92" s="4" t="s">
        <v>79</v>
      </c>
    </row>
    <row r="95" spans="3:3">
      <c r="C95" s="22" t="s">
        <v>1066</v>
      </c>
    </row>
    <row r="96" spans="3:3">
      <c r="C96" s="16" t="s">
        <v>1067</v>
      </c>
    </row>
    <row r="98" spans="3:4">
      <c r="C98" s="22" t="s">
        <v>333</v>
      </c>
      <c r="D98" s="22"/>
    </row>
    <row r="99" spans="3:4">
      <c r="C99" s="4" t="s">
        <v>337</v>
      </c>
      <c r="D99" s="4" t="s">
        <v>760</v>
      </c>
    </row>
    <row r="101" spans="3:4">
      <c r="C101" s="22" t="s">
        <v>1099</v>
      </c>
    </row>
    <row r="102" spans="3:4">
      <c r="C102" s="16" t="s">
        <v>1100</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41"/>
  <sheetViews>
    <sheetView tabSelected="1" zoomScale="175" zoomScaleNormal="175" workbookViewId="0">
      <pane xSplit="2" ySplit="2" topLeftCell="BJ84" activePane="bottomRight" state="frozen"/>
      <selection pane="topRight" activeCell="C1" sqref="C1"/>
      <selection pane="bottomLeft" activeCell="A4" sqref="A4"/>
      <selection pane="bottomRight" activeCell="BO107" sqref="BO107"/>
    </sheetView>
  </sheetViews>
  <sheetFormatPr defaultColWidth="9.140625" defaultRowHeight="12.75"/>
  <cols>
    <col min="1" max="1" width="5" style="4" bestFit="1" customWidth="1"/>
    <col min="2" max="2" width="19.42578125" style="4" bestFit="1" customWidth="1"/>
    <col min="3" max="14" width="6.85546875" style="71" customWidth="1"/>
    <col min="15"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90" width="7.28515625" style="71" customWidth="1"/>
    <col min="91" max="98" width="7.28515625" style="114" customWidth="1"/>
    <col min="99" max="99" width="7.7109375" style="114" customWidth="1"/>
    <col min="100" max="103" width="7.28515625" style="114" customWidth="1"/>
    <col min="104" max="104" width="9.140625" style="71"/>
    <col min="105" max="121" width="7.28515625" style="71" customWidth="1"/>
    <col min="122" max="129" width="6.85546875" style="71" customWidth="1"/>
    <col min="130" max="135" width="8.42578125" style="71" customWidth="1"/>
    <col min="136" max="16384" width="9.140625" style="4"/>
  </cols>
  <sheetData>
    <row r="1" spans="1:140">
      <c r="A1" s="60" t="s">
        <v>5</v>
      </c>
      <c r="CI1" s="114"/>
      <c r="CJ1" s="114"/>
      <c r="CK1" s="114"/>
      <c r="CL1" s="114"/>
    </row>
    <row r="2" spans="1:140">
      <c r="C2" s="71" t="s">
        <v>476</v>
      </c>
      <c r="D2" s="71" t="s">
        <v>477</v>
      </c>
      <c r="E2" s="71" t="s">
        <v>478</v>
      </c>
      <c r="F2" s="71" t="s">
        <v>479</v>
      </c>
      <c r="G2" s="71" t="s">
        <v>821</v>
      </c>
      <c r="H2" s="71" t="s">
        <v>822</v>
      </c>
      <c r="I2" s="71" t="s">
        <v>823</v>
      </c>
      <c r="J2" s="71" t="s">
        <v>567</v>
      </c>
      <c r="K2" s="71" t="s">
        <v>565</v>
      </c>
      <c r="L2" s="71" t="s">
        <v>564</v>
      </c>
      <c r="M2" s="71" t="s">
        <v>503</v>
      </c>
      <c r="N2" s="71" t="s">
        <v>504</v>
      </c>
      <c r="O2" s="71" t="s">
        <v>506</v>
      </c>
      <c r="P2" s="71" t="s">
        <v>507</v>
      </c>
      <c r="Q2" s="71" t="s">
        <v>508</v>
      </c>
      <c r="R2" s="71" t="s">
        <v>96</v>
      </c>
      <c r="S2" s="71" t="s">
        <v>836</v>
      </c>
      <c r="T2" s="71" t="s">
        <v>837</v>
      </c>
      <c r="U2" s="71" t="s">
        <v>838</v>
      </c>
      <c r="V2" s="71" t="s">
        <v>839</v>
      </c>
      <c r="W2" s="71" t="s">
        <v>764</v>
      </c>
      <c r="X2" s="71" t="s">
        <v>313</v>
      </c>
      <c r="Y2" s="71" t="s">
        <v>318</v>
      </c>
      <c r="Z2" s="71" t="s">
        <v>765</v>
      </c>
      <c r="AA2" s="71" t="s">
        <v>840</v>
      </c>
      <c r="AB2" s="71" t="s">
        <v>841</v>
      </c>
      <c r="AC2" s="71" t="s">
        <v>842</v>
      </c>
      <c r="AD2" s="71" t="s">
        <v>843</v>
      </c>
      <c r="AE2" s="71" t="s">
        <v>540</v>
      </c>
      <c r="AF2" s="71" t="s">
        <v>541</v>
      </c>
      <c r="AG2" s="71" t="s">
        <v>542</v>
      </c>
      <c r="AH2" s="71" t="s">
        <v>543</v>
      </c>
      <c r="AI2" s="71" t="s">
        <v>422</v>
      </c>
      <c r="AJ2" s="71" t="s">
        <v>47</v>
      </c>
      <c r="AK2" s="71" t="s">
        <v>48</v>
      </c>
      <c r="AL2" s="71" t="s">
        <v>49</v>
      </c>
      <c r="AM2" s="70" t="s">
        <v>1085</v>
      </c>
      <c r="AN2" s="70" t="s">
        <v>1086</v>
      </c>
      <c r="AO2" s="70" t="s">
        <v>1087</v>
      </c>
      <c r="AP2" s="70" t="s">
        <v>1088</v>
      </c>
      <c r="AQ2" s="70" t="s">
        <v>1113</v>
      </c>
      <c r="AR2" s="70" t="s">
        <v>1114</v>
      </c>
      <c r="AS2" s="70" t="s">
        <v>1115</v>
      </c>
      <c r="AT2" s="70" t="s">
        <v>1116</v>
      </c>
      <c r="AU2" s="70" t="s">
        <v>1122</v>
      </c>
      <c r="AV2" s="70" t="s">
        <v>1123</v>
      </c>
      <c r="AW2" s="70" t="s">
        <v>1124</v>
      </c>
      <c r="AX2" s="70" t="s">
        <v>1125</v>
      </c>
      <c r="AY2" s="70" t="s">
        <v>1144</v>
      </c>
      <c r="AZ2" s="70" t="s">
        <v>1145</v>
      </c>
      <c r="BA2" s="70" t="s">
        <v>1146</v>
      </c>
      <c r="BB2" s="70" t="s">
        <v>1147</v>
      </c>
      <c r="BC2" s="70" t="s">
        <v>1134</v>
      </c>
      <c r="BD2" s="70" t="s">
        <v>1143</v>
      </c>
      <c r="BE2" s="70" t="s">
        <v>1148</v>
      </c>
      <c r="BF2" s="70" t="s">
        <v>1149</v>
      </c>
      <c r="BG2" s="70" t="s">
        <v>1150</v>
      </c>
      <c r="BH2" s="70" t="s">
        <v>1151</v>
      </c>
      <c r="BI2" s="70" t="s">
        <v>1152</v>
      </c>
      <c r="BJ2" s="70" t="s">
        <v>1153</v>
      </c>
      <c r="BK2" s="70" t="s">
        <v>1156</v>
      </c>
      <c r="BL2" s="70" t="s">
        <v>1157</v>
      </c>
      <c r="BM2" s="70" t="s">
        <v>1158</v>
      </c>
      <c r="BN2" s="70" t="s">
        <v>1159</v>
      </c>
      <c r="BO2" s="70" t="s">
        <v>1160</v>
      </c>
      <c r="BP2" s="70" t="s">
        <v>1161</v>
      </c>
      <c r="BQ2" s="70" t="s">
        <v>1162</v>
      </c>
      <c r="BR2" s="70" t="s">
        <v>1163</v>
      </c>
      <c r="BS2" s="70" t="s">
        <v>1164</v>
      </c>
      <c r="BT2" s="70" t="s">
        <v>1165</v>
      </c>
      <c r="BU2" s="70" t="s">
        <v>1166</v>
      </c>
      <c r="BV2" s="70" t="s">
        <v>1167</v>
      </c>
      <c r="BW2" s="70" t="s">
        <v>1168</v>
      </c>
      <c r="BX2" s="70" t="s">
        <v>1169</v>
      </c>
      <c r="BY2" s="70" t="s">
        <v>1170</v>
      </c>
      <c r="BZ2" s="70" t="s">
        <v>1171</v>
      </c>
      <c r="CA2" s="70" t="s">
        <v>1172</v>
      </c>
      <c r="CB2" s="70" t="s">
        <v>1173</v>
      </c>
      <c r="CC2" s="70" t="s">
        <v>1174</v>
      </c>
      <c r="CD2" s="70" t="s">
        <v>1175</v>
      </c>
      <c r="CE2" s="70" t="s">
        <v>1176</v>
      </c>
      <c r="CF2" s="70" t="s">
        <v>1177</v>
      </c>
      <c r="CG2" s="70" t="s">
        <v>1178</v>
      </c>
      <c r="CH2" s="70" t="s">
        <v>1179</v>
      </c>
      <c r="CI2" s="115" t="s">
        <v>1180</v>
      </c>
      <c r="CJ2" s="115" t="s">
        <v>1181</v>
      </c>
      <c r="CK2" s="115" t="s">
        <v>1182</v>
      </c>
      <c r="CL2" s="115" t="s">
        <v>1183</v>
      </c>
      <c r="CM2" s="115" t="s">
        <v>1184</v>
      </c>
      <c r="CN2" s="115" t="s">
        <v>1185</v>
      </c>
      <c r="CO2" s="115" t="s">
        <v>1186</v>
      </c>
      <c r="CP2" s="115" t="s">
        <v>1187</v>
      </c>
      <c r="CQ2" s="116" t="s">
        <v>1288</v>
      </c>
      <c r="CR2" s="116" t="s">
        <v>1289</v>
      </c>
      <c r="CS2" s="116" t="s">
        <v>1290</v>
      </c>
      <c r="CT2" s="116" t="s">
        <v>1291</v>
      </c>
      <c r="CU2" s="116" t="s">
        <v>1292</v>
      </c>
      <c r="CV2" s="116" t="s">
        <v>1293</v>
      </c>
      <c r="CW2" s="116" t="s">
        <v>1294</v>
      </c>
      <c r="CX2" s="116" t="s">
        <v>1295</v>
      </c>
      <c r="CY2" s="115"/>
      <c r="DA2" s="71" t="s">
        <v>174</v>
      </c>
      <c r="DB2" s="71" t="s">
        <v>175</v>
      </c>
      <c r="DC2" s="71" t="s">
        <v>566</v>
      </c>
      <c r="DD2" s="71" t="s">
        <v>505</v>
      </c>
      <c r="DE2" s="71" t="s">
        <v>105</v>
      </c>
      <c r="DF2" s="71" t="s">
        <v>104</v>
      </c>
      <c r="DG2" s="71" t="s">
        <v>742</v>
      </c>
      <c r="DH2" s="71" t="s">
        <v>818</v>
      </c>
      <c r="DI2" s="71" t="s">
        <v>289</v>
      </c>
      <c r="DJ2" s="71" t="s">
        <v>560</v>
      </c>
      <c r="DK2" s="71" t="s">
        <v>960</v>
      </c>
      <c r="DL2" s="71" t="s">
        <v>570</v>
      </c>
      <c r="DM2" s="71" t="s">
        <v>609</v>
      </c>
      <c r="DN2" s="71" t="s">
        <v>657</v>
      </c>
      <c r="DO2" s="71" t="s">
        <v>658</v>
      </c>
      <c r="DP2" s="71" t="s">
        <v>303</v>
      </c>
      <c r="DQ2" s="71" t="s">
        <v>1120</v>
      </c>
      <c r="DR2" s="71" t="s">
        <v>1119</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598</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v>476</v>
      </c>
      <c r="AT3" s="67">
        <v>486</v>
      </c>
      <c r="AU3" s="67">
        <v>446</v>
      </c>
      <c r="AV3" s="67">
        <v>525</v>
      </c>
      <c r="AW3" s="67">
        <v>491</v>
      </c>
      <c r="AX3" s="67">
        <v>479</v>
      </c>
      <c r="AY3" s="67">
        <v>435</v>
      </c>
      <c r="AZ3" s="67">
        <v>502</v>
      </c>
      <c r="BA3" s="67">
        <v>491</v>
      </c>
      <c r="BB3" s="67">
        <v>525</v>
      </c>
      <c r="BC3" s="67">
        <v>462</v>
      </c>
      <c r="BD3" s="67">
        <v>512</v>
      </c>
      <c r="BE3" s="67">
        <v>518</v>
      </c>
      <c r="BF3" s="67">
        <v>539</v>
      </c>
      <c r="BG3" s="67">
        <v>534</v>
      </c>
      <c r="BH3" s="67">
        <v>491</v>
      </c>
      <c r="BI3" s="67">
        <v>489</v>
      </c>
      <c r="BJ3" s="67">
        <v>342</v>
      </c>
      <c r="BK3" s="67">
        <v>300</v>
      </c>
      <c r="BL3" s="67">
        <v>331</v>
      </c>
      <c r="BM3" s="67">
        <v>335</v>
      </c>
      <c r="BN3" s="67">
        <v>316</v>
      </c>
      <c r="BO3" s="67">
        <v>270</v>
      </c>
      <c r="BP3" s="67">
        <v>292</v>
      </c>
      <c r="BQ3" s="67">
        <v>264</v>
      </c>
      <c r="BR3" s="67">
        <v>270</v>
      </c>
      <c r="BS3" s="67">
        <v>244</v>
      </c>
      <c r="BT3" s="67">
        <v>250</v>
      </c>
      <c r="BU3" s="67">
        <v>252</v>
      </c>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117">
        <v>33</v>
      </c>
      <c r="CT3" s="117">
        <v>19</v>
      </c>
      <c r="CU3" s="117">
        <v>0</v>
      </c>
      <c r="CV3" s="117">
        <f t="shared" ref="CV3:CX3" si="1">+CU3</f>
        <v>0</v>
      </c>
      <c r="CW3" s="117">
        <f t="shared" si="1"/>
        <v>0</v>
      </c>
      <c r="CX3" s="117">
        <f t="shared" si="1"/>
        <v>0</v>
      </c>
      <c r="CY3" s="11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2040</v>
      </c>
      <c r="DM3" s="67">
        <f>DL3*0.8</f>
        <v>1632</v>
      </c>
      <c r="DN3" s="67">
        <f>DM3*0.8</f>
        <v>1305.6000000000001</v>
      </c>
      <c r="DO3" s="67">
        <f t="shared" ref="DO3:DQ3" si="2">DN3*0.9</f>
        <v>1175.0400000000002</v>
      </c>
      <c r="DP3" s="67">
        <f t="shared" si="2"/>
        <v>1057.5360000000003</v>
      </c>
      <c r="DQ3" s="67">
        <f t="shared" si="2"/>
        <v>951.78240000000028</v>
      </c>
      <c r="DR3" s="67">
        <f>SUM(BO3:BR3)</f>
        <v>1096</v>
      </c>
      <c r="DS3" s="67">
        <f>SUM(BS3:BV3)</f>
        <v>1010</v>
      </c>
      <c r="DT3" s="67">
        <f>SUM(BW3:BZ3)</f>
        <v>867</v>
      </c>
      <c r="DU3" s="67">
        <f>SUM(CA3:CD3)</f>
        <v>598</v>
      </c>
      <c r="DV3" s="67">
        <f>SUM(CE3:CH3)</f>
        <v>521</v>
      </c>
      <c r="DW3" s="67">
        <f>SUM(CI3:CL3)</f>
        <v>506</v>
      </c>
      <c r="DX3" s="67">
        <f>SUM(CM3:CP3)</f>
        <v>226</v>
      </c>
      <c r="DY3" s="67">
        <f>SUM(CQ3:CT3)</f>
        <v>125</v>
      </c>
      <c r="DZ3" s="67">
        <f>SUM(CU3:CX3)</f>
        <v>0</v>
      </c>
      <c r="EA3" s="67">
        <f t="shared" ref="EA3:EJ3" si="3">+DZ3*0.9</f>
        <v>0</v>
      </c>
      <c r="EB3" s="67">
        <f t="shared" si="3"/>
        <v>0</v>
      </c>
      <c r="EC3" s="67">
        <f t="shared" si="3"/>
        <v>0</v>
      </c>
      <c r="ED3" s="67">
        <f t="shared" si="3"/>
        <v>0</v>
      </c>
      <c r="EE3" s="67">
        <f t="shared" si="3"/>
        <v>0</v>
      </c>
      <c r="EF3" s="67">
        <f t="shared" si="3"/>
        <v>0</v>
      </c>
      <c r="EG3" s="67">
        <f t="shared" si="3"/>
        <v>0</v>
      </c>
      <c r="EH3" s="67">
        <f t="shared" si="3"/>
        <v>0</v>
      </c>
      <c r="EI3" s="67">
        <f t="shared" si="3"/>
        <v>0</v>
      </c>
      <c r="EJ3" s="67">
        <f t="shared" si="3"/>
        <v>0</v>
      </c>
    </row>
    <row r="4" spans="1:140" s="26" customFormat="1">
      <c r="B4" s="26" t="s">
        <v>597</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v>600</v>
      </c>
      <c r="AT4" s="67">
        <v>538</v>
      </c>
      <c r="AU4" s="67">
        <v>518</v>
      </c>
      <c r="AV4" s="67">
        <v>536</v>
      </c>
      <c r="AW4" s="67">
        <v>497</v>
      </c>
      <c r="AX4" s="67">
        <v>489</v>
      </c>
      <c r="AY4" s="67">
        <v>468</v>
      </c>
      <c r="AZ4" s="67">
        <v>524</v>
      </c>
      <c r="BA4" s="67">
        <v>449</v>
      </c>
      <c r="BB4" s="67">
        <v>470</v>
      </c>
      <c r="BC4" s="67">
        <v>460</v>
      </c>
      <c r="BD4" s="67">
        <v>517</v>
      </c>
      <c r="BE4" s="67">
        <v>474</v>
      </c>
      <c r="BF4" s="67">
        <v>479</v>
      </c>
      <c r="BG4" s="67">
        <v>480</v>
      </c>
      <c r="BH4" s="67">
        <v>479</v>
      </c>
      <c r="BI4" s="67">
        <v>493</v>
      </c>
      <c r="BJ4" s="67">
        <v>499</v>
      </c>
      <c r="BK4" s="67">
        <v>532</v>
      </c>
      <c r="BL4" s="67">
        <v>504</v>
      </c>
      <c r="BM4" s="67">
        <v>531</v>
      </c>
      <c r="BN4" s="67">
        <v>526</v>
      </c>
      <c r="BO4" s="67">
        <v>511</v>
      </c>
      <c r="BP4" s="67">
        <v>535</v>
      </c>
      <c r="BQ4" s="67">
        <v>516</v>
      </c>
      <c r="BR4" s="67">
        <v>491</v>
      </c>
      <c r="BS4" s="67">
        <v>454</v>
      </c>
      <c r="BT4" s="67">
        <v>472</v>
      </c>
      <c r="BU4" s="67">
        <v>477</v>
      </c>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117">
        <v>337</v>
      </c>
      <c r="CT4" s="117">
        <v>308</v>
      </c>
      <c r="CU4" s="117">
        <v>340</v>
      </c>
      <c r="CV4" s="117">
        <f t="shared" ref="CV4:CX4" si="4">+CU4</f>
        <v>340</v>
      </c>
      <c r="CW4" s="117">
        <f t="shared" si="4"/>
        <v>340</v>
      </c>
      <c r="CX4" s="117">
        <f t="shared" si="4"/>
        <v>340</v>
      </c>
      <c r="CY4" s="11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2303</v>
      </c>
      <c r="DM4" s="67">
        <f>DL4*(1+DM171)</f>
        <v>2187.85</v>
      </c>
      <c r="DN4" s="67">
        <f>DM4*(1+DN171)</f>
        <v>1969.0650000000001</v>
      </c>
      <c r="DO4" s="67">
        <f>DN4*(1+DO171)</f>
        <v>1772.1585</v>
      </c>
      <c r="DP4" s="67">
        <f>DO4*(1+DP171)</f>
        <v>1594.94265</v>
      </c>
      <c r="DQ4" s="67">
        <f>DP4*0.9</f>
        <v>1435.4483849999999</v>
      </c>
      <c r="DR4" s="67">
        <f t="shared" ref="DR4:DR42" si="5">SUM(BO4:BR4)</f>
        <v>2053</v>
      </c>
      <c r="DS4" s="67">
        <f>SUM(BS4:BV4)</f>
        <v>1877</v>
      </c>
      <c r="DT4" s="67">
        <f>SUM(BW4:BZ4)</f>
        <v>1729</v>
      </c>
      <c r="DU4" s="67">
        <f>SUM(CA4:CD4)</f>
        <v>1568</v>
      </c>
      <c r="DV4" s="67">
        <f>SUM(CE4:CH4)</f>
        <v>1480</v>
      </c>
      <c r="DW4" s="67">
        <f>SUM(CI4:CL4)</f>
        <v>1421</v>
      </c>
      <c r="DX4" s="67">
        <f>SUM(CM4:CP4)</f>
        <v>1362</v>
      </c>
      <c r="DY4" s="67">
        <f t="shared" ref="DY4" si="6">SUM(CQ4:CT4)</f>
        <v>1342</v>
      </c>
      <c r="DZ4" s="67">
        <f t="shared" ref="DZ4" si="7">SUM(CU4:CX4)</f>
        <v>1360</v>
      </c>
      <c r="EA4" s="67">
        <f t="shared" ref="EA4:EJ4" si="8">+DZ4*0.9</f>
        <v>1224</v>
      </c>
      <c r="EB4" s="67">
        <f t="shared" si="8"/>
        <v>1101.6000000000001</v>
      </c>
      <c r="EC4" s="67">
        <f t="shared" si="8"/>
        <v>991.44000000000017</v>
      </c>
      <c r="ED4" s="67">
        <f t="shared" si="8"/>
        <v>892.29600000000016</v>
      </c>
      <c r="EE4" s="67">
        <f t="shared" si="8"/>
        <v>803.06640000000016</v>
      </c>
      <c r="EF4" s="67">
        <f t="shared" si="8"/>
        <v>722.75976000000014</v>
      </c>
      <c r="EG4" s="67">
        <f t="shared" si="8"/>
        <v>650.48378400000013</v>
      </c>
      <c r="EH4" s="67">
        <f t="shared" si="8"/>
        <v>585.43540560000008</v>
      </c>
      <c r="EI4" s="67">
        <f t="shared" si="8"/>
        <v>526.89186504000008</v>
      </c>
      <c r="EJ4" s="67">
        <f t="shared" si="8"/>
        <v>474.20267853600006</v>
      </c>
    </row>
    <row r="5" spans="1:140" s="97" customFormat="1">
      <c r="B5" s="97" t="s">
        <v>416</v>
      </c>
      <c r="C5" s="73">
        <f>SUM(C3:C4)</f>
        <v>503</v>
      </c>
      <c r="D5" s="73">
        <f>SUM(D3:D4)</f>
        <v>518</v>
      </c>
      <c r="E5" s="73">
        <f>SUM(E3:E4)</f>
        <v>520</v>
      </c>
      <c r="F5" s="73">
        <f>SUM(F3:F4)</f>
        <v>609</v>
      </c>
      <c r="G5" s="73">
        <f t="shared" ref="G5:R5" si="9">SUM(G3:G4)</f>
        <v>551.40000000000009</v>
      </c>
      <c r="H5" s="73">
        <f t="shared" si="9"/>
        <v>626</v>
      </c>
      <c r="I5" s="73">
        <f t="shared" si="9"/>
        <v>672.09999999999991</v>
      </c>
      <c r="J5" s="73">
        <f t="shared" si="9"/>
        <v>826.7</v>
      </c>
      <c r="K5" s="73">
        <f t="shared" si="9"/>
        <v>801.90000000000009</v>
      </c>
      <c r="L5" s="73">
        <f t="shared" si="9"/>
        <v>958.8</v>
      </c>
      <c r="M5" s="73">
        <f t="shared" si="9"/>
        <v>1064.1999999999998</v>
      </c>
      <c r="N5" s="73">
        <f t="shared" si="9"/>
        <v>1153.5999999999999</v>
      </c>
      <c r="O5" s="73">
        <f t="shared" si="9"/>
        <v>1133</v>
      </c>
      <c r="P5" s="73">
        <f t="shared" si="9"/>
        <v>1249.5999999999999</v>
      </c>
      <c r="Q5" s="73">
        <f t="shared" si="9"/>
        <v>1289</v>
      </c>
      <c r="R5" s="73">
        <f t="shared" si="9"/>
        <v>1402</v>
      </c>
      <c r="S5" s="73">
        <f t="shared" ref="S5:Z5" si="10">S4+S3</f>
        <v>1306</v>
      </c>
      <c r="T5" s="73">
        <f t="shared" si="10"/>
        <v>1484</v>
      </c>
      <c r="U5" s="73">
        <f t="shared" si="10"/>
        <v>1439</v>
      </c>
      <c r="V5" s="73">
        <f t="shared" si="10"/>
        <v>1499</v>
      </c>
      <c r="W5" s="73">
        <f t="shared" si="10"/>
        <v>1497</v>
      </c>
      <c r="X5" s="73">
        <f>X4+X3</f>
        <v>1668</v>
      </c>
      <c r="Y5" s="73">
        <f t="shared" si="10"/>
        <v>1700</v>
      </c>
      <c r="Z5" s="73">
        <f t="shared" si="10"/>
        <v>1767</v>
      </c>
      <c r="AA5" s="73">
        <f t="shared" ref="AA5:AJ5" si="11">AA4+AA3</f>
        <v>1645</v>
      </c>
      <c r="AB5" s="73">
        <f t="shared" si="11"/>
        <v>1573</v>
      </c>
      <c r="AC5" s="73">
        <f t="shared" si="11"/>
        <v>1420</v>
      </c>
      <c r="AD5" s="73">
        <f t="shared" si="11"/>
        <v>1465</v>
      </c>
      <c r="AE5" s="73">
        <f t="shared" si="11"/>
        <v>1315</v>
      </c>
      <c r="AF5" s="73">
        <f t="shared" si="11"/>
        <v>1447</v>
      </c>
      <c r="AG5" s="73">
        <f t="shared" si="11"/>
        <v>1479</v>
      </c>
      <c r="AH5" s="73">
        <f t="shared" si="11"/>
        <v>1352</v>
      </c>
      <c r="AI5" s="73">
        <f t="shared" si="11"/>
        <v>1191</v>
      </c>
      <c r="AJ5" s="73">
        <f t="shared" si="11"/>
        <v>1331</v>
      </c>
      <c r="AK5" s="73">
        <f>AK4+AK3</f>
        <v>1348</v>
      </c>
      <c r="AL5" s="73">
        <f>AL4+AL3</f>
        <v>1351</v>
      </c>
      <c r="AM5" s="73">
        <f>AM4+AM3</f>
        <v>1250</v>
      </c>
      <c r="AN5" s="73">
        <f t="shared" ref="AN5:AO5" si="12">+AN4+AN3</f>
        <v>1260</v>
      </c>
      <c r="AO5" s="73">
        <f t="shared" si="12"/>
        <v>1276</v>
      </c>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18"/>
      <c r="CZ5" s="73"/>
      <c r="DA5" s="73">
        <f t="shared" ref="DA5:DI5" si="13">DA4+DA3</f>
        <v>1962.4</v>
      </c>
      <c r="DB5" s="73">
        <f t="shared" si="13"/>
        <v>2150.1</v>
      </c>
      <c r="DC5" s="73">
        <f t="shared" si="13"/>
        <v>2675.6</v>
      </c>
      <c r="DD5" s="73">
        <f t="shared" si="13"/>
        <v>3978.5</v>
      </c>
      <c r="DE5" s="73">
        <f t="shared" si="13"/>
        <v>5073.6000000000004</v>
      </c>
      <c r="DF5" s="73">
        <f t="shared" si="13"/>
        <v>5728</v>
      </c>
      <c r="DG5" s="73">
        <f t="shared" si="13"/>
        <v>6632</v>
      </c>
      <c r="DH5" s="73">
        <f>DH4+DH3</f>
        <v>6103</v>
      </c>
      <c r="DI5" s="73">
        <f t="shared" si="13"/>
        <v>5593</v>
      </c>
      <c r="DJ5" s="73">
        <f>DJ4+DJ3</f>
        <v>5221</v>
      </c>
      <c r="DK5" s="73">
        <f>DK4+DK3</f>
        <v>5010</v>
      </c>
      <c r="DL5" s="73">
        <f>DL4+DL3</f>
        <v>4343</v>
      </c>
      <c r="DM5" s="67">
        <f>DM4+DM3</f>
        <v>3819.85</v>
      </c>
      <c r="DN5" s="67">
        <f t="shared" ref="DN5:DQ5" si="14">DN4+DN3</f>
        <v>3274.665</v>
      </c>
      <c r="DO5" s="67">
        <f t="shared" si="14"/>
        <v>2947.1985000000004</v>
      </c>
      <c r="DP5" s="67">
        <f t="shared" si="14"/>
        <v>2652.47865</v>
      </c>
      <c r="DQ5" s="67">
        <f t="shared" si="14"/>
        <v>2387.2307850000002</v>
      </c>
      <c r="DR5" s="67"/>
      <c r="DS5" s="67"/>
      <c r="DT5" s="67"/>
      <c r="DU5" s="73"/>
      <c r="DV5" s="73"/>
      <c r="DW5" s="73"/>
      <c r="DX5" s="67"/>
      <c r="DY5" s="73"/>
      <c r="DZ5" s="73"/>
      <c r="EA5" s="73"/>
      <c r="EB5" s="73"/>
      <c r="EC5" s="73"/>
      <c r="ED5" s="73"/>
      <c r="EE5" s="73"/>
    </row>
    <row r="6" spans="1:140" s="26" customFormat="1">
      <c r="B6" s="26" t="s">
        <v>599</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v>332</v>
      </c>
      <c r="AT6" s="67">
        <v>321</v>
      </c>
      <c r="AU6" s="67">
        <v>305</v>
      </c>
      <c r="AV6" s="67">
        <v>332</v>
      </c>
      <c r="AW6" s="67">
        <v>311</v>
      </c>
      <c r="AX6" s="67">
        <v>312</v>
      </c>
      <c r="AY6" s="67">
        <v>299</v>
      </c>
      <c r="AZ6" s="67">
        <v>324</v>
      </c>
      <c r="BA6" s="67">
        <v>466</v>
      </c>
      <c r="BB6" s="67">
        <v>309</v>
      </c>
      <c r="BC6" s="67">
        <v>289</v>
      </c>
      <c r="BD6" s="67">
        <v>296</v>
      </c>
      <c r="BE6" s="67">
        <v>300</v>
      </c>
      <c r="BF6" s="67">
        <v>274</v>
      </c>
      <c r="BG6" s="67">
        <v>246</v>
      </c>
      <c r="BH6" s="67">
        <v>256</v>
      </c>
      <c r="BI6" s="67">
        <v>284</v>
      </c>
      <c r="BJ6" s="67">
        <v>263</v>
      </c>
      <c r="BK6" s="67">
        <v>213</v>
      </c>
      <c r="BL6" s="67">
        <f>141+55</f>
        <v>196</v>
      </c>
      <c r="BM6" s="67">
        <f>127+56</f>
        <v>183</v>
      </c>
      <c r="BN6" s="67">
        <v>173</v>
      </c>
      <c r="BO6" s="67">
        <v>148</v>
      </c>
      <c r="BP6" s="67">
        <f>90+47</f>
        <v>137</v>
      </c>
      <c r="BQ6" s="67">
        <f>96+42</f>
        <v>138</v>
      </c>
      <c r="BR6" s="67">
        <v>126</v>
      </c>
      <c r="BS6" s="67">
        <v>103</v>
      </c>
      <c r="BT6" s="67">
        <v>102</v>
      </c>
      <c r="BU6" s="67">
        <v>85</v>
      </c>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35"/>
      <c r="CN6" s="135"/>
      <c r="CO6" s="135"/>
      <c r="CP6" s="135"/>
      <c r="CQ6" s="135"/>
      <c r="CR6" s="135"/>
      <c r="CS6" s="135"/>
      <c r="CT6" s="135"/>
      <c r="CU6" s="135"/>
      <c r="CV6" s="135"/>
      <c r="CW6" s="135"/>
      <c r="CX6" s="135"/>
      <c r="CY6" s="117"/>
      <c r="CZ6" s="67"/>
      <c r="DA6" s="67">
        <v>1224</v>
      </c>
      <c r="DB6" s="67">
        <v>1347</v>
      </c>
      <c r="DC6" s="67">
        <v>1379</v>
      </c>
      <c r="DD6" s="67">
        <f>386+881</f>
        <v>1267</v>
      </c>
      <c r="DE6" s="67">
        <f>SUM(O6:R6)</f>
        <v>1175.2</v>
      </c>
      <c r="DF6" s="67">
        <f>SUM(S6:V6)</f>
        <v>1216</v>
      </c>
      <c r="DG6" s="67">
        <f t="shared" ref="DG6:DG18" si="15">SUM(W6:Z6)</f>
        <v>1213</v>
      </c>
      <c r="DH6" s="67">
        <f t="shared" ref="DH6:DH18" si="16">SUM(AA6:AD6)</f>
        <v>1277</v>
      </c>
      <c r="DI6" s="67">
        <f t="shared" ref="DI6:DI18" si="17">SUM(AE6:AH6)</f>
        <v>1341</v>
      </c>
      <c r="DJ6" s="67">
        <f t="shared" ref="DJ6:DJ18" si="18">SUM(AI6:AL6)</f>
        <v>1288</v>
      </c>
      <c r="DK6" s="67">
        <f>SUM(AM6:AP6)</f>
        <v>1286</v>
      </c>
      <c r="DL6" s="67">
        <f>SUM(AQ6:AT6)</f>
        <v>1260</v>
      </c>
      <c r="DM6" s="67">
        <f>+DL6*0.8</f>
        <v>1008</v>
      </c>
      <c r="DN6" s="67">
        <f>+DM6*0.8</f>
        <v>806.40000000000009</v>
      </c>
      <c r="DO6" s="67">
        <f t="shared" ref="DO6:DQ6" si="19">+DN6*0.8</f>
        <v>645.12000000000012</v>
      </c>
      <c r="DP6" s="67">
        <f t="shared" si="19"/>
        <v>516.09600000000012</v>
      </c>
      <c r="DQ6" s="67">
        <f t="shared" si="19"/>
        <v>412.87680000000012</v>
      </c>
      <c r="DR6" s="67">
        <f t="shared" si="5"/>
        <v>549</v>
      </c>
      <c r="DS6" s="67">
        <f>SUM(BS6:BV6)</f>
        <v>365</v>
      </c>
      <c r="DT6" s="67">
        <f t="shared" ref="DT6:DT8" si="20">SUM(BW6:BZ6)</f>
        <v>264</v>
      </c>
      <c r="DU6" s="67">
        <f t="shared" ref="DU6:DU8" si="21">SUM(CA6:CD6)</f>
        <v>225</v>
      </c>
      <c r="DV6" s="67">
        <f>SUM(CE6:CH6)</f>
        <v>168</v>
      </c>
      <c r="DW6" s="67">
        <f t="shared" ref="DW6:DW8" si="22">SUM(CI6:CL6)</f>
        <v>144</v>
      </c>
      <c r="DX6" s="67"/>
      <c r="DY6" s="67"/>
      <c r="DZ6" s="67"/>
      <c r="EA6" s="67"/>
      <c r="EB6" s="67"/>
      <c r="EC6" s="67"/>
      <c r="ED6" s="67"/>
      <c r="EE6" s="67"/>
      <c r="EF6" s="67"/>
      <c r="EG6" s="67"/>
      <c r="EH6" s="67"/>
      <c r="EI6" s="67"/>
      <c r="EJ6" s="67"/>
    </row>
    <row r="7" spans="1:140" s="26" customFormat="1">
      <c r="B7" s="26" t="s">
        <v>353</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v>1003</v>
      </c>
      <c r="AT7" s="67">
        <v>998</v>
      </c>
      <c r="AU7" s="67">
        <v>1039</v>
      </c>
      <c r="AV7" s="67">
        <v>1015</v>
      </c>
      <c r="AW7" s="67">
        <v>1044</v>
      </c>
      <c r="AX7" s="67">
        <v>994</v>
      </c>
      <c r="AY7" s="67">
        <v>1039</v>
      </c>
      <c r="AZ7" s="67">
        <v>1120</v>
      </c>
      <c r="BA7" s="67">
        <v>1135</v>
      </c>
      <c r="BB7" s="67">
        <v>1098</v>
      </c>
      <c r="BC7" s="67">
        <v>1090</v>
      </c>
      <c r="BD7" s="67">
        <v>1133</v>
      </c>
      <c r="BE7" s="67">
        <v>1193</v>
      </c>
      <c r="BF7" s="67">
        <v>1180</v>
      </c>
      <c r="BG7" s="67">
        <v>1134</v>
      </c>
      <c r="BH7" s="67">
        <v>1158</v>
      </c>
      <c r="BI7" s="67">
        <v>1267</v>
      </c>
      <c r="BJ7" s="67">
        <v>1156</v>
      </c>
      <c r="BK7" s="67">
        <v>1183</v>
      </c>
      <c r="BL7" s="67">
        <v>1149</v>
      </c>
      <c r="BM7" s="67">
        <v>1200</v>
      </c>
      <c r="BN7" s="67">
        <v>1116</v>
      </c>
      <c r="BO7" s="67">
        <v>1210</v>
      </c>
      <c r="BP7" s="67">
        <v>1087</v>
      </c>
      <c r="BQ7" s="67">
        <v>1123</v>
      </c>
      <c r="BR7" s="67">
        <v>1114</v>
      </c>
      <c r="BS7" s="67">
        <v>1155</v>
      </c>
      <c r="BT7" s="67">
        <v>1100</v>
      </c>
      <c r="BU7" s="67">
        <v>1051</v>
      </c>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117">
        <v>110</v>
      </c>
      <c r="CT7" s="117">
        <v>98</v>
      </c>
      <c r="CU7" s="117">
        <v>129</v>
      </c>
      <c r="CV7" s="117">
        <f t="shared" ref="CV7:CX7" si="23">+CU7</f>
        <v>129</v>
      </c>
      <c r="CW7" s="117">
        <f t="shared" si="23"/>
        <v>129</v>
      </c>
      <c r="CX7" s="117">
        <f t="shared" si="23"/>
        <v>129</v>
      </c>
      <c r="CY7" s="117"/>
      <c r="CZ7" s="67"/>
      <c r="DA7" s="67"/>
      <c r="DB7" s="67"/>
      <c r="DC7" s="67">
        <v>464</v>
      </c>
      <c r="DD7" s="67">
        <f>1175+80</f>
        <v>1255</v>
      </c>
      <c r="DE7" s="67">
        <f>SUM(O7:R7)</f>
        <v>1739.6</v>
      </c>
      <c r="DF7" s="67">
        <f>SUM(S7:V7)</f>
        <v>2288</v>
      </c>
      <c r="DG7" s="67">
        <f t="shared" si="15"/>
        <v>2710</v>
      </c>
      <c r="DH7" s="74">
        <f t="shared" si="16"/>
        <v>3000</v>
      </c>
      <c r="DI7" s="67">
        <f t="shared" si="17"/>
        <v>3318</v>
      </c>
      <c r="DJ7" s="67">
        <f t="shared" si="18"/>
        <v>3355</v>
      </c>
      <c r="DK7" s="67">
        <f>SUM(AM7:AP7)</f>
        <v>3558</v>
      </c>
      <c r="DL7" s="67">
        <f>SUM(AQ7:AT7)</f>
        <v>3952</v>
      </c>
      <c r="DM7" s="67">
        <f>+DL7*0.95</f>
        <v>3754.3999999999996</v>
      </c>
      <c r="DN7" s="67">
        <f t="shared" ref="DN7:DQ7" si="24">+DM7*0.95</f>
        <v>3566.6799999999994</v>
      </c>
      <c r="DO7" s="67">
        <f t="shared" si="24"/>
        <v>3388.3459999999991</v>
      </c>
      <c r="DP7" s="67">
        <f t="shared" si="24"/>
        <v>3218.928699999999</v>
      </c>
      <c r="DQ7" s="67">
        <f t="shared" si="24"/>
        <v>3057.9822649999987</v>
      </c>
      <c r="DR7" s="67">
        <f t="shared" si="5"/>
        <v>4534</v>
      </c>
      <c r="DS7" s="67">
        <f>SUM(BS7:BV7)</f>
        <v>4475</v>
      </c>
      <c r="DT7" s="67">
        <f t="shared" si="20"/>
        <v>3221</v>
      </c>
      <c r="DU7" s="67">
        <f t="shared" si="21"/>
        <v>2293</v>
      </c>
      <c r="DV7" s="67">
        <f>SUM(CE7:CH7)</f>
        <v>1734</v>
      </c>
      <c r="DW7" s="67">
        <f t="shared" si="22"/>
        <v>1126</v>
      </c>
      <c r="DX7" s="67">
        <f>SUM(CM7:CP7)</f>
        <v>848</v>
      </c>
      <c r="DY7" s="67">
        <f t="shared" ref="DY7" si="25">SUM(CQ7:CT7)</f>
        <v>431</v>
      </c>
      <c r="DZ7" s="67">
        <f t="shared" ref="DZ7" si="26">SUM(CU7:CX7)</f>
        <v>516</v>
      </c>
      <c r="EA7" s="67">
        <f t="shared" ref="EA7:EJ7" si="27">+DZ7*0.9</f>
        <v>464.40000000000003</v>
      </c>
      <c r="EB7" s="67">
        <f t="shared" si="27"/>
        <v>417.96000000000004</v>
      </c>
      <c r="EC7" s="67">
        <f t="shared" si="27"/>
        <v>376.16400000000004</v>
      </c>
      <c r="ED7" s="67">
        <f t="shared" si="27"/>
        <v>338.54760000000005</v>
      </c>
      <c r="EE7" s="67">
        <f t="shared" si="27"/>
        <v>304.69284000000005</v>
      </c>
      <c r="EF7" s="67">
        <f t="shared" si="27"/>
        <v>274.22355600000003</v>
      </c>
      <c r="EG7" s="67">
        <f t="shared" si="27"/>
        <v>246.80120040000003</v>
      </c>
      <c r="EH7" s="67">
        <f t="shared" si="27"/>
        <v>222.12108036000004</v>
      </c>
      <c r="EI7" s="67">
        <f t="shared" si="27"/>
        <v>199.90897232400005</v>
      </c>
      <c r="EJ7" s="67">
        <f t="shared" si="27"/>
        <v>179.91807509160006</v>
      </c>
    </row>
    <row r="8" spans="1:140" s="26" customFormat="1">
      <c r="B8" s="26" t="s">
        <v>354</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v>925</v>
      </c>
      <c r="AT8" s="67">
        <v>945</v>
      </c>
      <c r="AU8" s="67">
        <v>938</v>
      </c>
      <c r="AV8" s="67">
        <v>1058</v>
      </c>
      <c r="AW8" s="67">
        <v>1079</v>
      </c>
      <c r="AX8" s="67">
        <v>1161</v>
      </c>
      <c r="AY8" s="67">
        <v>1039</v>
      </c>
      <c r="AZ8" s="67">
        <v>1157</v>
      </c>
      <c r="BA8" s="67">
        <v>1155</v>
      </c>
      <c r="BB8" s="67">
        <v>1200</v>
      </c>
      <c r="BC8" s="67">
        <v>988</v>
      </c>
      <c r="BD8" s="67">
        <v>1243</v>
      </c>
      <c r="BE8" s="67">
        <v>1120</v>
      </c>
      <c r="BF8" s="67">
        <v>1337</v>
      </c>
      <c r="BG8" s="67">
        <v>1116</v>
      </c>
      <c r="BH8" s="67">
        <v>1348</v>
      </c>
      <c r="BI8" s="67">
        <v>1459</v>
      </c>
      <c r="BJ8" s="67">
        <v>1441</v>
      </c>
      <c r="BK8" s="67">
        <v>1385</v>
      </c>
      <c r="BL8" s="67">
        <v>1484</v>
      </c>
      <c r="BM8" s="67">
        <v>1452</v>
      </c>
      <c r="BN8" s="67">
        <v>1644</v>
      </c>
      <c r="BO8" s="67">
        <v>1181</v>
      </c>
      <c r="BP8" s="67">
        <v>1466</v>
      </c>
      <c r="BQ8" s="67">
        <v>1363</v>
      </c>
      <c r="BR8" s="67">
        <v>1423</v>
      </c>
      <c r="BS8" s="67">
        <v>1105</v>
      </c>
      <c r="BT8" s="67">
        <v>1302</v>
      </c>
      <c r="BU8" s="67">
        <v>1292</v>
      </c>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117">
        <v>825</v>
      </c>
      <c r="CT8" s="117">
        <v>1015</v>
      </c>
      <c r="CU8" s="117">
        <v>510</v>
      </c>
      <c r="CV8" s="117">
        <f>CR8*0.9</f>
        <v>818.1</v>
      </c>
      <c r="CW8" s="117">
        <f>CS8*0.9</f>
        <v>742.5</v>
      </c>
      <c r="CX8" s="117">
        <f>CT8*0.9</f>
        <v>913.5</v>
      </c>
      <c r="CY8" s="117"/>
      <c r="CZ8" s="67"/>
      <c r="DA8" s="67"/>
      <c r="DB8" s="67"/>
      <c r="DC8" s="67">
        <v>362</v>
      </c>
      <c r="DD8" s="67">
        <f>1254+46</f>
        <v>1300</v>
      </c>
      <c r="DE8" s="74">
        <f>1827+73</f>
        <v>1900</v>
      </c>
      <c r="DF8" s="67">
        <f>SUM(S8:V8)</f>
        <v>2573</v>
      </c>
      <c r="DG8" s="67">
        <f t="shared" si="15"/>
        <v>2879</v>
      </c>
      <c r="DH8" s="67">
        <f t="shared" si="16"/>
        <v>3230</v>
      </c>
      <c r="DI8" s="67">
        <f t="shared" si="17"/>
        <v>3598</v>
      </c>
      <c r="DJ8" s="67">
        <f t="shared" si="18"/>
        <v>3493</v>
      </c>
      <c r="DK8" s="67">
        <f>SUM(AM8:AP8)</f>
        <v>3534</v>
      </c>
      <c r="DL8" s="67">
        <f>SUM(AQ8:AT8)</f>
        <v>3701</v>
      </c>
      <c r="DM8" s="67">
        <f>DL8*0.9</f>
        <v>3330.9</v>
      </c>
      <c r="DN8" s="67">
        <f>DM8*1.5</f>
        <v>4996.3500000000004</v>
      </c>
      <c r="DO8" s="67">
        <f t="shared" ref="DO8:DQ8" si="28">DN8*0.9</f>
        <v>4496.7150000000001</v>
      </c>
      <c r="DP8" s="67">
        <f t="shared" si="28"/>
        <v>4047.0435000000002</v>
      </c>
      <c r="DQ8" s="67">
        <f t="shared" si="28"/>
        <v>3642.3391500000002</v>
      </c>
      <c r="DR8" s="67">
        <f t="shared" si="5"/>
        <v>5433</v>
      </c>
      <c r="DS8" s="67">
        <f>SUM(BS8:BV8)</f>
        <v>5014</v>
      </c>
      <c r="DT8" s="67">
        <f t="shared" si="20"/>
        <v>5226</v>
      </c>
      <c r="DU8" s="67">
        <f t="shared" si="21"/>
        <v>4996</v>
      </c>
      <c r="DV8" s="67">
        <f>SUM(CE8:CH8)</f>
        <v>4465</v>
      </c>
      <c r="DW8" s="67">
        <f t="shared" si="22"/>
        <v>4117</v>
      </c>
      <c r="DX8" s="67">
        <f>SUM(CM8:CP8)</f>
        <v>3697</v>
      </c>
      <c r="DY8" s="67">
        <f t="shared" ref="DY8" si="29">SUM(CQ8:CT8)</f>
        <v>3316</v>
      </c>
      <c r="DZ8" s="67">
        <f t="shared" ref="DZ8" si="30">SUM(CU8:CX8)</f>
        <v>2984.1</v>
      </c>
      <c r="EA8" s="67">
        <f t="shared" ref="EA8:EJ8" si="31">+DZ8*0.9</f>
        <v>2685.69</v>
      </c>
      <c r="EB8" s="67">
        <f t="shared" si="31"/>
        <v>2417.1210000000001</v>
      </c>
      <c r="EC8" s="67">
        <f t="shared" si="31"/>
        <v>2175.4089000000004</v>
      </c>
      <c r="ED8" s="67">
        <f t="shared" si="31"/>
        <v>1957.8680100000004</v>
      </c>
      <c r="EE8" s="67">
        <f t="shared" si="31"/>
        <v>1762.0812090000004</v>
      </c>
      <c r="EF8" s="67">
        <f t="shared" si="31"/>
        <v>1585.8730881000004</v>
      </c>
      <c r="EG8" s="67">
        <f t="shared" si="31"/>
        <v>1427.2857792900004</v>
      </c>
      <c r="EH8" s="67">
        <f t="shared" si="31"/>
        <v>1284.5572013610004</v>
      </c>
      <c r="EI8" s="67">
        <f t="shared" si="31"/>
        <v>1156.1014812249005</v>
      </c>
      <c r="EJ8" s="67">
        <f t="shared" si="31"/>
        <v>1040.4913331024104</v>
      </c>
    </row>
    <row r="9" spans="1:140" s="26" customFormat="1">
      <c r="B9" s="97" t="s">
        <v>1227</v>
      </c>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10" t="s">
        <v>1279</v>
      </c>
      <c r="BY9" s="67"/>
      <c r="BZ9" s="67"/>
      <c r="CA9" s="134"/>
      <c r="CB9" s="110" t="s">
        <v>1276</v>
      </c>
      <c r="CC9" s="110" t="s">
        <v>1255</v>
      </c>
      <c r="CD9" s="110" t="s">
        <v>1257</v>
      </c>
      <c r="CE9" s="110" t="s">
        <v>1258</v>
      </c>
      <c r="CF9" s="110" t="s">
        <v>1246</v>
      </c>
      <c r="CG9" s="110" t="s">
        <v>1229</v>
      </c>
      <c r="CH9" s="110" t="s">
        <v>1259</v>
      </c>
      <c r="CI9" s="128" t="s">
        <v>1260</v>
      </c>
      <c r="CJ9" s="128" t="s">
        <v>1245</v>
      </c>
      <c r="CK9" s="128" t="s">
        <v>1228</v>
      </c>
      <c r="CL9" s="134"/>
      <c r="CM9" s="134"/>
      <c r="CN9" s="134"/>
      <c r="CO9" s="134"/>
      <c r="CP9" s="117">
        <v>448</v>
      </c>
      <c r="CQ9" s="117">
        <v>424</v>
      </c>
      <c r="CR9" s="117">
        <v>479</v>
      </c>
      <c r="CS9" s="117">
        <v>488</v>
      </c>
      <c r="CT9" s="117">
        <v>460</v>
      </c>
      <c r="CU9" s="117">
        <v>381</v>
      </c>
      <c r="CV9" s="117">
        <f t="shared" ref="CV9:CX9" si="32">+CU9</f>
        <v>381</v>
      </c>
      <c r="CW9" s="117">
        <f t="shared" si="32"/>
        <v>381</v>
      </c>
      <c r="CX9" s="117">
        <f t="shared" si="32"/>
        <v>381</v>
      </c>
      <c r="CY9" s="11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 si="33">SUM(CQ9:CT9)</f>
        <v>1851</v>
      </c>
      <c r="DZ9" s="67">
        <f t="shared" ref="DZ9" si="34">SUM(CU9:CX9)</f>
        <v>1524</v>
      </c>
      <c r="EA9" s="67">
        <f t="shared" ref="EA9:ED9" si="35">+DZ9*1.05</f>
        <v>1600.2</v>
      </c>
      <c r="EB9" s="67">
        <f t="shared" si="35"/>
        <v>1680.21</v>
      </c>
      <c r="EC9" s="67">
        <f t="shared" si="35"/>
        <v>1764.2205000000001</v>
      </c>
      <c r="ED9" s="67">
        <f t="shared" si="35"/>
        <v>1852.4315250000002</v>
      </c>
      <c r="EE9" s="67">
        <f>+ED9*0.99</f>
        <v>1833.9072097500002</v>
      </c>
      <c r="EF9" s="67">
        <f t="shared" ref="EF9:EJ9" si="36">+EE9*0.99</f>
        <v>1815.5681376525001</v>
      </c>
      <c r="EG9" s="67">
        <f t="shared" si="36"/>
        <v>1797.412456275975</v>
      </c>
      <c r="EH9" s="67">
        <f t="shared" si="36"/>
        <v>1779.4383317132153</v>
      </c>
      <c r="EI9" s="67">
        <f t="shared" si="36"/>
        <v>1761.6439483960833</v>
      </c>
      <c r="EJ9" s="67">
        <f t="shared" si="36"/>
        <v>1744.0275089121224</v>
      </c>
    </row>
    <row r="10" spans="1:140" s="26" customFormat="1">
      <c r="B10" s="97" t="s">
        <v>1230</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10" t="s">
        <v>1277</v>
      </c>
      <c r="BY10" s="67"/>
      <c r="BZ10" s="67"/>
      <c r="CA10" s="134"/>
      <c r="CB10" s="110" t="s">
        <v>1268</v>
      </c>
      <c r="CC10" s="110" t="s">
        <v>1256</v>
      </c>
      <c r="CD10" s="110" t="s">
        <v>1261</v>
      </c>
      <c r="CE10" s="110" t="s">
        <v>1262</v>
      </c>
      <c r="CF10" s="110" t="s">
        <v>1247</v>
      </c>
      <c r="CG10" s="110" t="s">
        <v>1232</v>
      </c>
      <c r="CH10" s="110" t="s">
        <v>1263</v>
      </c>
      <c r="CI10" s="128" t="s">
        <v>1264</v>
      </c>
      <c r="CJ10" s="128" t="s">
        <v>1248</v>
      </c>
      <c r="CK10" s="128" t="s">
        <v>1231</v>
      </c>
      <c r="CL10" s="134"/>
      <c r="CM10" s="134"/>
      <c r="CN10" s="134"/>
      <c r="CO10" s="134"/>
      <c r="CP10" s="117">
        <v>272</v>
      </c>
      <c r="CQ10" s="117">
        <v>235</v>
      </c>
      <c r="CR10" s="117">
        <v>294</v>
      </c>
      <c r="CS10" s="117">
        <v>310</v>
      </c>
      <c r="CT10" s="117">
        <v>346</v>
      </c>
      <c r="CU10" s="117">
        <v>236</v>
      </c>
      <c r="CV10" s="117">
        <f>+CU10+5</f>
        <v>241</v>
      </c>
      <c r="CW10" s="117">
        <f>+CV10+5</f>
        <v>246</v>
      </c>
      <c r="CX10" s="117">
        <f>+CW10+5</f>
        <v>251</v>
      </c>
      <c r="CY10" s="11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 t="shared" ref="DY10" si="37">SUM(CQ10:CT10)</f>
        <v>1185</v>
      </c>
      <c r="DZ10" s="67">
        <f t="shared" ref="DZ10" si="38">SUM(CU10:CX10)</f>
        <v>974</v>
      </c>
      <c r="EA10" s="67">
        <f t="shared" ref="EA10:EJ10" si="39">+DZ10*1.01</f>
        <v>983.74</v>
      </c>
      <c r="EB10" s="67">
        <f t="shared" si="39"/>
        <v>993.57740000000001</v>
      </c>
      <c r="EC10" s="67">
        <f t="shared" si="39"/>
        <v>1003.513174</v>
      </c>
      <c r="ED10" s="67">
        <f t="shared" si="39"/>
        <v>1013.54830574</v>
      </c>
      <c r="EE10" s="67">
        <f t="shared" si="39"/>
        <v>1023.6837887974001</v>
      </c>
      <c r="EF10" s="67">
        <f t="shared" si="39"/>
        <v>1033.9206266853741</v>
      </c>
      <c r="EG10" s="67">
        <f t="shared" si="39"/>
        <v>1044.259832952228</v>
      </c>
      <c r="EH10" s="67">
        <f t="shared" si="39"/>
        <v>1054.7024312817503</v>
      </c>
      <c r="EI10" s="67">
        <f t="shared" si="39"/>
        <v>1065.2494555945677</v>
      </c>
      <c r="EJ10" s="67">
        <f t="shared" si="39"/>
        <v>1075.9019501505134</v>
      </c>
    </row>
    <row r="11" spans="1:140" s="26" customFormat="1">
      <c r="B11" s="97" t="s">
        <v>1233</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10" t="s">
        <v>1250</v>
      </c>
      <c r="BY11" s="67"/>
      <c r="BZ11" s="67"/>
      <c r="CA11" s="134"/>
      <c r="CB11" s="110" t="s">
        <v>1278</v>
      </c>
      <c r="CC11" s="110" t="s">
        <v>1265</v>
      </c>
      <c r="CD11" s="110" t="s">
        <v>1266</v>
      </c>
      <c r="CE11" s="110" t="s">
        <v>1267</v>
      </c>
      <c r="CF11" s="110" t="s">
        <v>1249</v>
      </c>
      <c r="CG11" s="110" t="s">
        <v>1235</v>
      </c>
      <c r="CH11" s="110" t="s">
        <v>1268</v>
      </c>
      <c r="CI11" s="128" t="s">
        <v>1269</v>
      </c>
      <c r="CJ11" s="128" t="s">
        <v>1235</v>
      </c>
      <c r="CK11" s="128" t="s">
        <v>1234</v>
      </c>
      <c r="CL11" s="134"/>
      <c r="CM11" s="134"/>
      <c r="CN11" s="134"/>
      <c r="CO11" s="134"/>
      <c r="CP11" s="134"/>
      <c r="CQ11" s="134"/>
      <c r="CR11" s="134"/>
      <c r="CS11" s="134"/>
      <c r="CT11" s="134"/>
      <c r="CU11" s="134"/>
      <c r="CV11" s="134"/>
      <c r="CW11" s="134"/>
      <c r="CX11" s="134"/>
      <c r="CY11" s="11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row>
    <row r="12" spans="1:140" s="26" customFormat="1">
      <c r="B12" s="97" t="s">
        <v>1236</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10" t="s">
        <v>1280</v>
      </c>
      <c r="BY12" s="67"/>
      <c r="BZ12" s="67"/>
      <c r="CA12" s="134"/>
      <c r="CB12" s="110" t="s">
        <v>1280</v>
      </c>
      <c r="CC12" s="110" t="s">
        <v>1270</v>
      </c>
      <c r="CD12" s="110" t="s">
        <v>1271</v>
      </c>
      <c r="CE12" s="110" t="s">
        <v>1270</v>
      </c>
      <c r="CF12" s="110" t="s">
        <v>1250</v>
      </c>
      <c r="CG12" s="110" t="s">
        <v>1238</v>
      </c>
      <c r="CH12" s="110" t="s">
        <v>1271</v>
      </c>
      <c r="CI12" s="128" t="s">
        <v>1250</v>
      </c>
      <c r="CJ12" s="128" t="s">
        <v>1251</v>
      </c>
      <c r="CK12" s="128" t="s">
        <v>1237</v>
      </c>
      <c r="CL12" s="134"/>
      <c r="CM12" s="134"/>
      <c r="CN12" s="134"/>
      <c r="CO12" s="134"/>
      <c r="CP12" s="134"/>
      <c r="CQ12" s="134"/>
      <c r="CR12" s="134"/>
      <c r="CS12" s="134"/>
      <c r="CT12" s="134"/>
      <c r="CU12" s="134"/>
      <c r="CV12" s="134"/>
      <c r="CW12" s="134"/>
      <c r="CX12" s="134"/>
      <c r="CY12" s="11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1239</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67">
        <v>0</v>
      </c>
      <c r="CC13" s="67">
        <v>0</v>
      </c>
      <c r="CD13" s="67">
        <v>0</v>
      </c>
      <c r="CE13" s="110" t="s">
        <v>1258</v>
      </c>
      <c r="CF13" s="110" t="s">
        <v>1253</v>
      </c>
      <c r="CG13" s="110" t="s">
        <v>1241</v>
      </c>
      <c r="CH13" s="110" t="s">
        <v>1272</v>
      </c>
      <c r="CI13" s="128" t="s">
        <v>1273</v>
      </c>
      <c r="CJ13" s="128" t="s">
        <v>1252</v>
      </c>
      <c r="CK13" s="128" t="s">
        <v>1240</v>
      </c>
      <c r="CL13" s="134"/>
      <c r="CM13" s="134"/>
      <c r="CN13" s="134"/>
      <c r="CO13" s="134"/>
      <c r="CP13" s="117">
        <v>65</v>
      </c>
      <c r="CQ13" s="117">
        <v>80</v>
      </c>
      <c r="CR13" s="117">
        <v>92</v>
      </c>
      <c r="CS13" s="117">
        <v>106</v>
      </c>
      <c r="CT13" s="117">
        <v>101</v>
      </c>
      <c r="CU13" s="117">
        <v>91</v>
      </c>
      <c r="CV13" s="117">
        <f t="shared" ref="CV13:CX13" si="40">+CU13+5</f>
        <v>96</v>
      </c>
      <c r="CW13" s="117">
        <f t="shared" si="40"/>
        <v>101</v>
      </c>
      <c r="CX13" s="117">
        <f t="shared" si="40"/>
        <v>106</v>
      </c>
      <c r="CY13" s="11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f t="shared" ref="DY13" si="41">SUM(CQ13:CT13)</f>
        <v>379</v>
      </c>
      <c r="DZ13" s="67">
        <f t="shared" ref="DZ13" si="42">SUM(CU13:CX13)</f>
        <v>394</v>
      </c>
      <c r="EA13" s="67">
        <f>+DZ13*1.1</f>
        <v>433.40000000000003</v>
      </c>
      <c r="EB13" s="67">
        <f t="shared" ref="EB13:EJ13" si="43">+EA13*1.1</f>
        <v>476.74000000000007</v>
      </c>
      <c r="EC13" s="67">
        <f t="shared" si="43"/>
        <v>524.4140000000001</v>
      </c>
      <c r="ED13" s="67">
        <f t="shared" si="43"/>
        <v>576.85540000000015</v>
      </c>
      <c r="EE13" s="67">
        <f t="shared" si="43"/>
        <v>634.54094000000021</v>
      </c>
      <c r="EF13" s="67">
        <f t="shared" si="43"/>
        <v>697.99503400000026</v>
      </c>
      <c r="EG13" s="67">
        <f t="shared" si="43"/>
        <v>767.79453740000031</v>
      </c>
      <c r="EH13" s="67">
        <f t="shared" si="43"/>
        <v>844.57399114000043</v>
      </c>
      <c r="EI13" s="67">
        <f t="shared" si="43"/>
        <v>929.0313902540006</v>
      </c>
      <c r="EJ13" s="67">
        <f t="shared" si="43"/>
        <v>1021.9345292794007</v>
      </c>
    </row>
    <row r="14" spans="1:140" s="26" customFormat="1">
      <c r="B14" s="97" t="s">
        <v>1242</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10" t="s">
        <v>1275</v>
      </c>
      <c r="BY14" s="67"/>
      <c r="BZ14" s="67"/>
      <c r="CA14" s="134"/>
      <c r="CB14" s="110" t="s">
        <v>1254</v>
      </c>
      <c r="CC14" s="110" t="s">
        <v>1254</v>
      </c>
      <c r="CD14" s="110" t="s">
        <v>1274</v>
      </c>
      <c r="CE14" s="110" t="s">
        <v>1275</v>
      </c>
      <c r="CF14" s="110" t="s">
        <v>1254</v>
      </c>
      <c r="CG14" s="110" t="s">
        <v>1244</v>
      </c>
      <c r="CH14" s="110" t="s">
        <v>1273</v>
      </c>
      <c r="CI14" s="128" t="s">
        <v>1273</v>
      </c>
      <c r="CJ14" s="128" t="s">
        <v>1244</v>
      </c>
      <c r="CK14" s="128" t="s">
        <v>1243</v>
      </c>
      <c r="CL14" s="134"/>
      <c r="CM14" s="134"/>
      <c r="CN14" s="134"/>
      <c r="CO14" s="134"/>
      <c r="CP14" s="134"/>
      <c r="CQ14" s="134"/>
      <c r="CR14" s="134"/>
      <c r="CS14" s="134"/>
      <c r="CT14" s="134"/>
      <c r="CU14" s="134"/>
      <c r="CV14" s="134"/>
      <c r="CW14" s="134"/>
      <c r="CX14" s="134"/>
      <c r="CY14" s="11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17"/>
      <c r="CZ15" s="67"/>
      <c r="DA15" s="67"/>
      <c r="DB15" s="67"/>
      <c r="DC15" s="67"/>
      <c r="DD15" s="67"/>
      <c r="DE15" s="67">
        <v>51.853999999999999</v>
      </c>
      <c r="DF15" s="67">
        <f>SUM(S15:V15)</f>
        <v>61</v>
      </c>
      <c r="DG15" s="67">
        <f t="shared" si="15"/>
        <v>64</v>
      </c>
      <c r="DH15" s="67">
        <f t="shared" si="16"/>
        <v>68</v>
      </c>
      <c r="DI15" s="67">
        <f t="shared" si="17"/>
        <v>87</v>
      </c>
      <c r="DJ15" s="67">
        <f t="shared" si="18"/>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355</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v>206</v>
      </c>
      <c r="AT16" s="67">
        <v>216</v>
      </c>
      <c r="AU16" s="67">
        <v>219</v>
      </c>
      <c r="AV16" s="67">
        <v>232</v>
      </c>
      <c r="AW16" s="67">
        <v>243</v>
      </c>
      <c r="AX16" s="67">
        <v>256</v>
      </c>
      <c r="AY16" s="67">
        <v>264</v>
      </c>
      <c r="AZ16" s="67">
        <v>259</v>
      </c>
      <c r="BA16" s="67">
        <v>259</v>
      </c>
      <c r="BB16" s="67">
        <v>307</v>
      </c>
      <c r="BC16" s="67">
        <v>270</v>
      </c>
      <c r="BD16" s="67">
        <v>298</v>
      </c>
      <c r="BE16" s="67">
        <v>273</v>
      </c>
      <c r="BF16" s="67">
        <v>317</v>
      </c>
      <c r="BG16" s="67">
        <v>334</v>
      </c>
      <c r="BH16" s="67">
        <v>344</v>
      </c>
      <c r="BI16" s="67">
        <v>353</v>
      </c>
      <c r="BJ16" s="67">
        <v>384</v>
      </c>
      <c r="BK16" s="67">
        <v>367</v>
      </c>
      <c r="BL16" s="67">
        <v>389</v>
      </c>
      <c r="BM16" s="67">
        <v>415</v>
      </c>
      <c r="BN16" s="67">
        <v>411</v>
      </c>
      <c r="BO16" s="67">
        <v>421</v>
      </c>
      <c r="BP16" s="67">
        <v>427</v>
      </c>
      <c r="BQ16" s="67">
        <v>457</v>
      </c>
      <c r="BR16" s="67">
        <v>413</v>
      </c>
      <c r="BS16" s="67">
        <v>497</v>
      </c>
      <c r="BT16" s="67">
        <v>420</v>
      </c>
      <c r="BU16" s="67">
        <v>409</v>
      </c>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34"/>
      <c r="CN16" s="134"/>
      <c r="CO16" s="134"/>
      <c r="CP16" s="134"/>
      <c r="CQ16" s="134"/>
      <c r="CR16" s="134"/>
      <c r="CS16" s="134"/>
      <c r="CT16" s="134"/>
      <c r="CU16" s="134"/>
      <c r="CV16" s="134"/>
      <c r="CW16" s="134"/>
      <c r="CX16" s="134"/>
      <c r="CY16" s="117"/>
      <c r="CZ16" s="67"/>
      <c r="DA16" s="67"/>
      <c r="DB16" s="67"/>
      <c r="DC16" s="67"/>
      <c r="DD16" s="74">
        <v>67</v>
      </c>
      <c r="DE16" s="74">
        <v>37</v>
      </c>
      <c r="DF16" s="74">
        <f>SUM(S16:V16)</f>
        <v>156</v>
      </c>
      <c r="DG16" s="67">
        <f t="shared" si="15"/>
        <v>321</v>
      </c>
      <c r="DH16" s="67">
        <f t="shared" si="16"/>
        <v>463</v>
      </c>
      <c r="DI16" s="67">
        <f t="shared" si="17"/>
        <v>597</v>
      </c>
      <c r="DJ16" s="67">
        <f t="shared" si="18"/>
        <v>651</v>
      </c>
      <c r="DK16" s="67">
        <f>SUM(AM16:AP16)</f>
        <v>714</v>
      </c>
      <c r="DL16" s="67">
        <f>SUM(AQ16:AT16)</f>
        <v>808</v>
      </c>
      <c r="DM16" s="67">
        <f>DL16*(1+DM175)</f>
        <v>824.16</v>
      </c>
      <c r="DN16" s="67">
        <f t="shared" ref="DN16:DQ16" si="44">DM16</f>
        <v>824.16</v>
      </c>
      <c r="DO16" s="67">
        <f t="shared" si="44"/>
        <v>824.16</v>
      </c>
      <c r="DP16" s="67">
        <f t="shared" si="44"/>
        <v>824.16</v>
      </c>
      <c r="DQ16" s="67">
        <f t="shared" si="44"/>
        <v>824.16</v>
      </c>
      <c r="DR16" s="67">
        <f t="shared" si="5"/>
        <v>1718</v>
      </c>
      <c r="DS16" s="67">
        <f t="shared" ref="DS16:DS37" si="45">SUM(BS16:BV16)</f>
        <v>1774</v>
      </c>
      <c r="DT16" s="67">
        <f t="shared" ref="DT16:DT35" si="46">SUM(BW16:BZ16)</f>
        <v>551</v>
      </c>
      <c r="DU16" s="67">
        <f t="shared" ref="DU16:DU37" si="47">SUM(CA16:CD16)</f>
        <v>288</v>
      </c>
      <c r="DV16" s="67">
        <f t="shared" ref="DV16:DV37" si="48">SUM(CE16:CH16)</f>
        <v>84</v>
      </c>
      <c r="DW16" s="67">
        <f t="shared" ref="DW16:DW38" si="49">SUM(CI16:CL16)</f>
        <v>64</v>
      </c>
      <c r="DX16" s="67"/>
      <c r="DY16" s="67"/>
      <c r="DZ16" s="67"/>
      <c r="EA16" s="67">
        <f t="shared" ref="EA16:EJ16" si="50">+DZ16*0.9</f>
        <v>0</v>
      </c>
      <c r="EB16" s="67">
        <f t="shared" si="50"/>
        <v>0</v>
      </c>
      <c r="EC16" s="67">
        <f t="shared" si="50"/>
        <v>0</v>
      </c>
      <c r="ED16" s="67">
        <f t="shared" si="50"/>
        <v>0</v>
      </c>
      <c r="EE16" s="67">
        <f t="shared" si="50"/>
        <v>0</v>
      </c>
      <c r="EF16" s="67">
        <f t="shared" si="50"/>
        <v>0</v>
      </c>
      <c r="EG16" s="67">
        <f t="shared" si="50"/>
        <v>0</v>
      </c>
      <c r="EH16" s="67">
        <f t="shared" si="50"/>
        <v>0</v>
      </c>
      <c r="EI16" s="67">
        <f t="shared" si="50"/>
        <v>0</v>
      </c>
      <c r="EJ16" s="67">
        <f t="shared" si="50"/>
        <v>0</v>
      </c>
    </row>
    <row r="17" spans="2:141" s="26" customFormat="1">
      <c r="B17" s="26" t="s">
        <v>1198</v>
      </c>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67">
        <v>2</v>
      </c>
      <c r="BR17" s="67"/>
      <c r="BS17" s="67">
        <v>41</v>
      </c>
      <c r="BT17" s="67">
        <v>73</v>
      </c>
      <c r="BU17" s="67">
        <v>102</v>
      </c>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117">
        <v>70</v>
      </c>
      <c r="CT17" s="117">
        <v>75</v>
      </c>
      <c r="CU17" s="117">
        <v>88</v>
      </c>
      <c r="CV17" s="117">
        <f t="shared" ref="CV17:CX17" si="51">+CU17+3</f>
        <v>91</v>
      </c>
      <c r="CW17" s="117">
        <f t="shared" si="51"/>
        <v>94</v>
      </c>
      <c r="CX17" s="117">
        <f t="shared" si="51"/>
        <v>97</v>
      </c>
      <c r="CY17" s="117"/>
      <c r="CZ17" s="67"/>
      <c r="DA17" s="67"/>
      <c r="DB17" s="67"/>
      <c r="DC17" s="67"/>
      <c r="DD17" s="74"/>
      <c r="DE17" s="74"/>
      <c r="DF17" s="74"/>
      <c r="DG17" s="67"/>
      <c r="DH17" s="67"/>
      <c r="DI17" s="67"/>
      <c r="DJ17" s="67"/>
      <c r="DK17" s="67"/>
      <c r="DL17" s="67"/>
      <c r="DM17" s="67"/>
      <c r="DN17" s="67"/>
      <c r="DO17" s="67"/>
      <c r="DP17" s="67"/>
      <c r="DQ17" s="67"/>
      <c r="DR17" s="67">
        <f t="shared" si="5"/>
        <v>2</v>
      </c>
      <c r="DS17" s="67">
        <f t="shared" si="45"/>
        <v>336</v>
      </c>
      <c r="DT17" s="67">
        <f t="shared" si="46"/>
        <v>630</v>
      </c>
      <c r="DU17" s="67">
        <f t="shared" si="47"/>
        <v>716</v>
      </c>
      <c r="DV17" s="67">
        <f t="shared" si="48"/>
        <v>280</v>
      </c>
      <c r="DW17" s="67">
        <f t="shared" si="49"/>
        <v>382</v>
      </c>
      <c r="DX17" s="67">
        <f t="shared" ref="DX17:DX34" si="52">SUM(CM17:CP17)</f>
        <v>362</v>
      </c>
      <c r="DY17" s="67">
        <f t="shared" ref="DY17:DY19" si="53">SUM(CQ17:CT17)</f>
        <v>356</v>
      </c>
      <c r="DZ17" s="67">
        <f t="shared" ref="DZ17:DZ19" si="54">SUM(CU17:CX17)</f>
        <v>370</v>
      </c>
      <c r="EA17" s="67">
        <f t="shared" ref="EA17:EJ17" si="55">+DZ17*0.9</f>
        <v>333</v>
      </c>
      <c r="EB17" s="67">
        <f t="shared" si="55"/>
        <v>299.7</v>
      </c>
      <c r="EC17" s="67">
        <f t="shared" si="55"/>
        <v>269.73</v>
      </c>
      <c r="ED17" s="67">
        <f t="shared" si="55"/>
        <v>242.75700000000003</v>
      </c>
      <c r="EE17" s="67">
        <f t="shared" si="55"/>
        <v>218.48130000000003</v>
      </c>
      <c r="EF17" s="67">
        <f t="shared" si="55"/>
        <v>196.63317000000004</v>
      </c>
      <c r="EG17" s="67">
        <f t="shared" si="55"/>
        <v>176.96985300000003</v>
      </c>
      <c r="EH17" s="67">
        <f t="shared" si="55"/>
        <v>159.27286770000003</v>
      </c>
      <c r="EI17" s="67">
        <f t="shared" si="55"/>
        <v>143.34558093000004</v>
      </c>
      <c r="EJ17" s="67">
        <f t="shared" si="55"/>
        <v>129.01102283700004</v>
      </c>
    </row>
    <row r="18" spans="2:141" s="26" customFormat="1">
      <c r="B18" s="26" t="s">
        <v>884</v>
      </c>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v>79</v>
      </c>
      <c r="AT18" s="67">
        <v>87</v>
      </c>
      <c r="AU18" s="67">
        <v>90</v>
      </c>
      <c r="AV18" s="67">
        <v>90</v>
      </c>
      <c r="AW18" s="67">
        <v>88</v>
      </c>
      <c r="AX18" s="67">
        <v>91</v>
      </c>
      <c r="AY18" s="67">
        <v>87</v>
      </c>
      <c r="AZ18" s="67">
        <v>93</v>
      </c>
      <c r="BA18" s="67">
        <v>107</v>
      </c>
      <c r="BB18" s="67">
        <v>102</v>
      </c>
      <c r="BC18" s="67">
        <v>103</v>
      </c>
      <c r="BD18" s="67">
        <v>132</v>
      </c>
      <c r="BE18" s="67">
        <v>138</v>
      </c>
      <c r="BF18" s="67">
        <v>132</v>
      </c>
      <c r="BG18" s="67">
        <v>122</v>
      </c>
      <c r="BH18" s="67">
        <v>160</v>
      </c>
      <c r="BI18" s="67">
        <v>132</v>
      </c>
      <c r="BJ18" s="67">
        <v>135</v>
      </c>
      <c r="BK18" s="67">
        <v>144</v>
      </c>
      <c r="BL18" s="67">
        <f>52+108</f>
        <v>160</v>
      </c>
      <c r="BM18" s="67">
        <f>64+100</f>
        <v>164</v>
      </c>
      <c r="BN18" s="67">
        <v>143</v>
      </c>
      <c r="BO18" s="67">
        <v>147</v>
      </c>
      <c r="BP18" s="67">
        <f>62+106</f>
        <v>168</v>
      </c>
      <c r="BQ18" s="67">
        <f>65+103</f>
        <v>168</v>
      </c>
      <c r="BR18" s="67">
        <v>159</v>
      </c>
      <c r="BS18" s="67">
        <v>169</v>
      </c>
      <c r="BT18" s="67">
        <v>173</v>
      </c>
      <c r="BU18" s="67">
        <v>181</v>
      </c>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117">
        <v>282</v>
      </c>
      <c r="CT18" s="117">
        <v>246</v>
      </c>
      <c r="CU18" s="117">
        <v>267</v>
      </c>
      <c r="CV18" s="117">
        <f t="shared" ref="CV18:CX18" si="56">+CR18+5</f>
        <v>275</v>
      </c>
      <c r="CW18" s="117">
        <f t="shared" si="56"/>
        <v>287</v>
      </c>
      <c r="CX18" s="117">
        <f t="shared" si="56"/>
        <v>251</v>
      </c>
      <c r="CY18" s="117"/>
      <c r="CZ18" s="67"/>
      <c r="DA18" s="67"/>
      <c r="DB18" s="67"/>
      <c r="DC18" s="67"/>
      <c r="DD18" s="67"/>
      <c r="DE18" s="67"/>
      <c r="DF18" s="67"/>
      <c r="DG18" s="67">
        <f t="shared" si="15"/>
        <v>39</v>
      </c>
      <c r="DH18" s="67">
        <f t="shared" si="16"/>
        <v>170</v>
      </c>
      <c r="DI18" s="67">
        <f t="shared" si="17"/>
        <v>153</v>
      </c>
      <c r="DJ18" s="67">
        <f t="shared" si="18"/>
        <v>233</v>
      </c>
      <c r="DK18" s="67">
        <f>SUM(AM18:AP18)</f>
        <v>288</v>
      </c>
      <c r="DL18" s="67">
        <f>SUM(AQ18:AT18)</f>
        <v>322</v>
      </c>
      <c r="DM18" s="67">
        <f>DL18*(1+DM176)</f>
        <v>338.1</v>
      </c>
      <c r="DN18" s="67">
        <f>DM18*(1+DN176)</f>
        <v>338.1</v>
      </c>
      <c r="DO18" s="67">
        <f>DN18*(1+DO176)</f>
        <v>338.1</v>
      </c>
      <c r="DP18" s="67"/>
      <c r="DQ18" s="67"/>
      <c r="DR18" s="67">
        <f t="shared" si="5"/>
        <v>642</v>
      </c>
      <c r="DS18" s="67">
        <f t="shared" si="45"/>
        <v>691</v>
      </c>
      <c r="DT18" s="67">
        <f t="shared" si="46"/>
        <v>744</v>
      </c>
      <c r="DU18" s="67">
        <f t="shared" si="47"/>
        <v>811</v>
      </c>
      <c r="DV18" s="67">
        <f t="shared" si="48"/>
        <v>873</v>
      </c>
      <c r="DW18" s="67">
        <f t="shared" si="49"/>
        <v>893</v>
      </c>
      <c r="DX18" s="67">
        <f t="shared" si="52"/>
        <v>984</v>
      </c>
      <c r="DY18" s="67">
        <f t="shared" si="53"/>
        <v>1045</v>
      </c>
      <c r="DZ18" s="67">
        <f t="shared" si="54"/>
        <v>1080</v>
      </c>
      <c r="EA18" s="67">
        <f t="shared" ref="EA18:EJ18" si="57">+DZ18*1.01</f>
        <v>1090.8</v>
      </c>
      <c r="EB18" s="67">
        <f t="shared" si="57"/>
        <v>1101.7079999999999</v>
      </c>
      <c r="EC18" s="67">
        <f t="shared" si="57"/>
        <v>1112.7250799999999</v>
      </c>
      <c r="ED18" s="67">
        <f t="shared" si="57"/>
        <v>1123.8523307999999</v>
      </c>
      <c r="EE18" s="67">
        <f t="shared" si="57"/>
        <v>1135.0908541079998</v>
      </c>
      <c r="EF18" s="67">
        <f t="shared" si="57"/>
        <v>1146.4417626490799</v>
      </c>
      <c r="EG18" s="67">
        <f t="shared" si="57"/>
        <v>1157.9061802755707</v>
      </c>
      <c r="EH18" s="67">
        <f t="shared" si="57"/>
        <v>1169.4852420783263</v>
      </c>
      <c r="EI18" s="67">
        <f t="shared" si="57"/>
        <v>1181.1800944991096</v>
      </c>
      <c r="EJ18" s="67">
        <f t="shared" si="57"/>
        <v>1192.9918954441007</v>
      </c>
    </row>
    <row r="19" spans="2:141" s="26" customFormat="1">
      <c r="B19" s="26" t="s">
        <v>1108</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67">
        <v>3</v>
      </c>
      <c r="AO19" s="67">
        <v>10</v>
      </c>
      <c r="AP19" s="67">
        <f>16+4</f>
        <v>20</v>
      </c>
      <c r="AQ19" s="67">
        <f>17+10</f>
        <v>27</v>
      </c>
      <c r="AR19" s="67">
        <f>30+14</f>
        <v>44</v>
      </c>
      <c r="AS19" s="67">
        <v>51</v>
      </c>
      <c r="AT19" s="67">
        <v>81</v>
      </c>
      <c r="AU19" s="67">
        <v>88</v>
      </c>
      <c r="AV19" s="67">
        <v>120</v>
      </c>
      <c r="AW19" s="67">
        <v>110</v>
      </c>
      <c r="AX19" s="67">
        <v>154</v>
      </c>
      <c r="AY19" s="67">
        <v>142</v>
      </c>
      <c r="AZ19" s="67">
        <v>188</v>
      </c>
      <c r="BA19" s="67">
        <v>178</v>
      </c>
      <c r="BB19" s="67">
        <v>236</v>
      </c>
      <c r="BC19" s="67">
        <v>196</v>
      </c>
      <c r="BD19" s="67">
        <v>264</v>
      </c>
      <c r="BE19" s="67">
        <v>255</v>
      </c>
      <c r="BF19" s="67">
        <v>315</v>
      </c>
      <c r="BG19" s="67">
        <v>272</v>
      </c>
      <c r="BH19" s="67">
        <v>340</v>
      </c>
      <c r="BI19" s="67">
        <v>320</v>
      </c>
      <c r="BJ19" s="67">
        <v>380</v>
      </c>
      <c r="BK19" s="67">
        <v>352</v>
      </c>
      <c r="BL19" s="67">
        <v>441</v>
      </c>
      <c r="BM19" s="67">
        <v>379</v>
      </c>
      <c r="BN19" s="67">
        <v>463</v>
      </c>
      <c r="BO19" s="67">
        <v>425</v>
      </c>
      <c r="BP19" s="67">
        <v>505</v>
      </c>
      <c r="BQ19" s="67">
        <v>464</v>
      </c>
      <c r="BR19" s="67">
        <v>574</v>
      </c>
      <c r="BS19" s="67">
        <v>494</v>
      </c>
      <c r="BT19" s="67">
        <v>610</v>
      </c>
      <c r="BU19" s="67">
        <v>532</v>
      </c>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117">
        <v>1045</v>
      </c>
      <c r="CT19" s="117">
        <v>1165</v>
      </c>
      <c r="CU19" s="117">
        <v>1099</v>
      </c>
      <c r="CV19" s="117">
        <f>+CR19*0.8</f>
        <v>932</v>
      </c>
      <c r="CW19" s="117">
        <f>+CS19*0.8</f>
        <v>836</v>
      </c>
      <c r="CX19" s="117">
        <f>+CT19*0.8</f>
        <v>932</v>
      </c>
      <c r="CY19" s="117"/>
      <c r="CZ19" s="67"/>
      <c r="DA19" s="67"/>
      <c r="DB19" s="67"/>
      <c r="DC19" s="67"/>
      <c r="DD19" s="67"/>
      <c r="DE19" s="67"/>
      <c r="DF19" s="67"/>
      <c r="DG19" s="67"/>
      <c r="DH19" s="67"/>
      <c r="DI19" s="67"/>
      <c r="DJ19" s="67"/>
      <c r="DK19" s="67">
        <f>SUM(AM19:AP19)</f>
        <v>33</v>
      </c>
      <c r="DL19" s="67">
        <f>SUM(AQ19:AT19)</f>
        <v>203</v>
      </c>
      <c r="DM19" s="67"/>
      <c r="DN19" s="67"/>
      <c r="DO19" s="67"/>
      <c r="DP19" s="67"/>
      <c r="DQ19" s="67"/>
      <c r="DR19" s="67">
        <f t="shared" si="5"/>
        <v>1968</v>
      </c>
      <c r="DS19" s="67">
        <f t="shared" si="45"/>
        <v>2291</v>
      </c>
      <c r="DT19" s="67">
        <f t="shared" si="46"/>
        <v>2672</v>
      </c>
      <c r="DU19" s="67">
        <f t="shared" si="47"/>
        <v>2763</v>
      </c>
      <c r="DV19" s="67">
        <f t="shared" si="48"/>
        <v>3248</v>
      </c>
      <c r="DW19" s="67">
        <f t="shared" si="49"/>
        <v>3628</v>
      </c>
      <c r="DX19" s="67">
        <f t="shared" si="52"/>
        <v>4048</v>
      </c>
      <c r="DY19" s="67">
        <f t="shared" si="53"/>
        <v>4374</v>
      </c>
      <c r="DZ19" s="67">
        <f t="shared" si="54"/>
        <v>3799</v>
      </c>
      <c r="EA19" s="67">
        <f t="shared" ref="EA19:ED20" si="58">+DZ19*0.9</f>
        <v>3419.1</v>
      </c>
      <c r="EB19" s="67">
        <f t="shared" si="58"/>
        <v>3077.19</v>
      </c>
      <c r="EC19" s="67">
        <f t="shared" si="58"/>
        <v>2769.471</v>
      </c>
      <c r="ED19" s="67">
        <f t="shared" si="58"/>
        <v>2492.5239000000001</v>
      </c>
      <c r="EE19" s="67">
        <f t="shared" ref="EE19:EJ19" si="59">+ED19*0.5</f>
        <v>1246.2619500000001</v>
      </c>
      <c r="EF19" s="67">
        <f t="shared" si="59"/>
        <v>623.13097500000003</v>
      </c>
      <c r="EG19" s="67">
        <f t="shared" si="59"/>
        <v>311.56548750000002</v>
      </c>
      <c r="EH19" s="67">
        <f t="shared" si="59"/>
        <v>155.78274375000001</v>
      </c>
      <c r="EI19" s="67">
        <f t="shared" si="59"/>
        <v>77.891371875000004</v>
      </c>
      <c r="EJ19" s="67">
        <f t="shared" si="59"/>
        <v>38.945685937500002</v>
      </c>
    </row>
    <row r="20" spans="2:141" s="26" customFormat="1">
      <c r="B20" s="98" t="s">
        <v>1117</v>
      </c>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67"/>
      <c r="AP20" s="67">
        <v>8</v>
      </c>
      <c r="AQ20" s="67">
        <v>42</v>
      </c>
      <c r="AR20" s="67">
        <v>73</v>
      </c>
      <c r="AS20" s="67">
        <v>102</v>
      </c>
      <c r="AT20" s="67">
        <v>134</v>
      </c>
      <c r="AU20" s="67">
        <v>153</v>
      </c>
      <c r="AV20" s="67">
        <v>179</v>
      </c>
      <c r="AW20" s="67">
        <v>201</v>
      </c>
      <c r="AX20" s="67">
        <v>215</v>
      </c>
      <c r="AY20" s="67">
        <v>223</v>
      </c>
      <c r="AZ20" s="67">
        <v>249</v>
      </c>
      <c r="BA20" s="67">
        <v>261</v>
      </c>
      <c r="BB20" s="67">
        <v>286</v>
      </c>
      <c r="BC20" s="67">
        <v>279</v>
      </c>
      <c r="BD20" s="67">
        <v>299</v>
      </c>
      <c r="BE20" s="67">
        <v>318</v>
      </c>
      <c r="BF20" s="67">
        <v>325</v>
      </c>
      <c r="BG20" s="67">
        <v>340</v>
      </c>
      <c r="BH20" s="67">
        <v>331</v>
      </c>
      <c r="BI20" s="67">
        <v>378</v>
      </c>
      <c r="BJ20" s="67">
        <v>356</v>
      </c>
      <c r="BK20" s="67">
        <v>378</v>
      </c>
      <c r="BL20" s="67">
        <v>381</v>
      </c>
      <c r="BM20" s="67">
        <v>394</v>
      </c>
      <c r="BN20" s="67">
        <v>376</v>
      </c>
      <c r="BO20" s="67">
        <v>402</v>
      </c>
      <c r="BP20" s="67">
        <v>395</v>
      </c>
      <c r="BQ20" s="67">
        <v>387</v>
      </c>
      <c r="BR20" s="67">
        <v>391</v>
      </c>
      <c r="BS20" s="67">
        <v>445</v>
      </c>
      <c r="BT20" s="67">
        <v>452</v>
      </c>
      <c r="BU20" s="67">
        <v>433</v>
      </c>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117">
        <v>541</v>
      </c>
      <c r="CT20" s="117">
        <v>561</v>
      </c>
      <c r="CU20" s="117">
        <v>566</v>
      </c>
      <c r="CV20" s="117">
        <f>CR20*0.8</f>
        <v>449.6</v>
      </c>
      <c r="CW20" s="117">
        <f>CS20*0.8</f>
        <v>432.8</v>
      </c>
      <c r="CX20" s="117">
        <f>CT20*0.8</f>
        <v>448.8</v>
      </c>
      <c r="CY20" s="117"/>
      <c r="CZ20" s="67"/>
      <c r="DA20" s="67"/>
      <c r="DB20" s="67"/>
      <c r="DC20" s="67"/>
      <c r="DD20" s="67"/>
      <c r="DE20" s="67"/>
      <c r="DF20" s="67"/>
      <c r="DG20" s="67"/>
      <c r="DH20" s="67"/>
      <c r="DI20" s="67"/>
      <c r="DJ20" s="67"/>
      <c r="DK20" s="67">
        <v>8</v>
      </c>
      <c r="DL20" s="67">
        <f>SUM(AQ20:AT20)</f>
        <v>351</v>
      </c>
      <c r="DM20" s="67">
        <f>+DL20*1.5</f>
        <v>526.5</v>
      </c>
      <c r="DN20" s="67">
        <f>+DM20*1.5</f>
        <v>789.75</v>
      </c>
      <c r="DO20" s="67">
        <f>+DN20*1.5</f>
        <v>1184.625</v>
      </c>
      <c r="DP20" s="67">
        <f>+DO20*1.5</f>
        <v>1776.9375</v>
      </c>
      <c r="DQ20" s="67">
        <f>+DP20*1.5</f>
        <v>2665.40625</v>
      </c>
      <c r="DR20" s="67">
        <f t="shared" si="5"/>
        <v>1575</v>
      </c>
      <c r="DS20" s="67">
        <f t="shared" si="45"/>
        <v>1786</v>
      </c>
      <c r="DT20" s="67">
        <f t="shared" si="46"/>
        <v>1935</v>
      </c>
      <c r="DU20" s="67">
        <f t="shared" si="47"/>
        <v>1899</v>
      </c>
      <c r="DV20" s="67">
        <f t="shared" si="48"/>
        <v>2018</v>
      </c>
      <c r="DW20" s="67">
        <f t="shared" si="49"/>
        <v>2014</v>
      </c>
      <c r="DX20" s="67">
        <f t="shared" si="52"/>
        <v>2112</v>
      </c>
      <c r="DY20" s="67">
        <f t="shared" ref="DY20" si="60">SUM(CQ20:CT20)</f>
        <v>2225</v>
      </c>
      <c r="DZ20" s="67">
        <f t="shared" ref="DZ20" si="61">SUM(CU20:CX20)</f>
        <v>1897.2</v>
      </c>
      <c r="EA20" s="67">
        <f t="shared" si="58"/>
        <v>1707.48</v>
      </c>
      <c r="EB20" s="67">
        <f t="shared" si="58"/>
        <v>1536.732</v>
      </c>
      <c r="EC20" s="67">
        <f t="shared" si="58"/>
        <v>1383.0588</v>
      </c>
      <c r="ED20" s="67">
        <f t="shared" si="58"/>
        <v>1244.7529200000001</v>
      </c>
      <c r="EE20" s="67">
        <f>+ED20*0.5</f>
        <v>622.37646000000007</v>
      </c>
      <c r="EF20" s="67">
        <f t="shared" ref="EF20:EJ20" si="62">+EE20*0.5</f>
        <v>311.18823000000003</v>
      </c>
      <c r="EG20" s="67">
        <f t="shared" si="62"/>
        <v>155.59411500000002</v>
      </c>
      <c r="EH20" s="67">
        <f t="shared" si="62"/>
        <v>77.797057500000008</v>
      </c>
      <c r="EI20" s="67">
        <f t="shared" si="62"/>
        <v>38.898528750000004</v>
      </c>
      <c r="EJ20" s="67">
        <f t="shared" si="62"/>
        <v>19.449264375000002</v>
      </c>
    </row>
    <row r="21" spans="2:141" s="26" customFormat="1">
      <c r="B21" s="98" t="s">
        <v>1192</v>
      </c>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117">
        <v>564</v>
      </c>
      <c r="CT21" s="117">
        <v>624</v>
      </c>
      <c r="CU21" s="117">
        <v>437</v>
      </c>
      <c r="CV21" s="117">
        <f t="shared" ref="CV21:CX21" si="63">+CR21</f>
        <v>544</v>
      </c>
      <c r="CW21" s="117">
        <f t="shared" si="63"/>
        <v>564</v>
      </c>
      <c r="CX21" s="117">
        <f t="shared" si="63"/>
        <v>624</v>
      </c>
      <c r="CY21" s="117"/>
      <c r="CZ21" s="67"/>
      <c r="DA21" s="67"/>
      <c r="DB21" s="67"/>
      <c r="DC21" s="67"/>
      <c r="DD21" s="67"/>
      <c r="DE21" s="67"/>
      <c r="DF21" s="67"/>
      <c r="DG21" s="67"/>
      <c r="DH21" s="67"/>
      <c r="DI21" s="67"/>
      <c r="DJ21" s="67"/>
      <c r="DK21" s="67"/>
      <c r="DL21" s="67"/>
      <c r="DM21" s="67"/>
      <c r="DN21" s="67"/>
      <c r="DO21" s="67"/>
      <c r="DP21" s="67"/>
      <c r="DQ21" s="67"/>
      <c r="DR21" s="67"/>
      <c r="DS21" s="67"/>
      <c r="DT21" s="67">
        <f t="shared" si="46"/>
        <v>178</v>
      </c>
      <c r="DU21" s="67">
        <f t="shared" si="47"/>
        <v>2195</v>
      </c>
      <c r="DV21" s="67">
        <f t="shared" si="48"/>
        <v>2249</v>
      </c>
      <c r="DW21" s="67">
        <f t="shared" si="49"/>
        <v>2288</v>
      </c>
      <c r="DX21" s="67">
        <f t="shared" si="52"/>
        <v>2188</v>
      </c>
      <c r="DY21" s="67">
        <f t="shared" ref="DY21" si="64">SUM(CQ21:CT21)</f>
        <v>2126</v>
      </c>
      <c r="DZ21" s="67">
        <f t="shared" ref="DZ21" si="65">SUM(CU21:CX21)</f>
        <v>2169</v>
      </c>
      <c r="EA21" s="67">
        <f t="shared" ref="EA21:EB21" si="66">+DZ21*1.05</f>
        <v>2277.4500000000003</v>
      </c>
      <c r="EB21" s="67">
        <f t="shared" si="66"/>
        <v>2391.3225000000002</v>
      </c>
      <c r="EC21" s="67">
        <f>+EB21*0.7</f>
        <v>1673.9257500000001</v>
      </c>
      <c r="ED21" s="67">
        <f t="shared" ref="ED21:EJ21" si="67">+EC21*0.2</f>
        <v>334.78515000000004</v>
      </c>
      <c r="EE21" s="67">
        <f t="shared" si="67"/>
        <v>66.957030000000017</v>
      </c>
      <c r="EF21" s="67">
        <f t="shared" si="67"/>
        <v>13.391406000000003</v>
      </c>
      <c r="EG21" s="67">
        <f t="shared" si="67"/>
        <v>2.6782812000000007</v>
      </c>
      <c r="EH21" s="67">
        <f t="shared" si="67"/>
        <v>0.53565624000000012</v>
      </c>
      <c r="EI21" s="67">
        <f t="shared" si="67"/>
        <v>0.10713124800000003</v>
      </c>
      <c r="EJ21" s="67">
        <f t="shared" si="67"/>
        <v>2.1426249600000006E-2</v>
      </c>
      <c r="EK21" s="67"/>
    </row>
    <row r="22" spans="2:141" s="26" customFormat="1">
      <c r="B22" s="98" t="s">
        <v>1188</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117">
        <v>399</v>
      </c>
      <c r="CT22" s="117">
        <v>431</v>
      </c>
      <c r="CU22" s="117">
        <v>442</v>
      </c>
      <c r="CV22" s="117">
        <f t="shared" ref="CV22:CX22" si="68">+CU22+20</f>
        <v>462</v>
      </c>
      <c r="CW22" s="117">
        <f t="shared" si="68"/>
        <v>482</v>
      </c>
      <c r="CX22" s="117">
        <f t="shared" si="68"/>
        <v>502</v>
      </c>
      <c r="CY22" s="117"/>
      <c r="CZ22" s="67"/>
      <c r="DA22" s="67"/>
      <c r="DB22" s="67"/>
      <c r="DC22" s="67"/>
      <c r="DD22" s="67"/>
      <c r="DE22" s="67"/>
      <c r="DF22" s="67"/>
      <c r="DG22" s="67"/>
      <c r="DH22" s="67"/>
      <c r="DI22" s="67"/>
      <c r="DJ22" s="67"/>
      <c r="DK22" s="67"/>
      <c r="DL22" s="67"/>
      <c r="DM22" s="67"/>
      <c r="DN22" s="67"/>
      <c r="DO22" s="67"/>
      <c r="DP22" s="67"/>
      <c r="DQ22" s="67"/>
      <c r="DR22" s="67"/>
      <c r="DS22" s="67"/>
      <c r="DT22" s="67">
        <f t="shared" si="46"/>
        <v>189</v>
      </c>
      <c r="DU22" s="67">
        <f t="shared" si="47"/>
        <v>350</v>
      </c>
      <c r="DV22" s="67">
        <f t="shared" si="48"/>
        <v>530</v>
      </c>
      <c r="DW22" s="67">
        <f t="shared" si="49"/>
        <v>787</v>
      </c>
      <c r="DX22" s="67">
        <f t="shared" si="52"/>
        <v>1160</v>
      </c>
      <c r="DY22" s="67">
        <f t="shared" ref="DY22" si="69">SUM(CQ22:CT22)</f>
        <v>1563</v>
      </c>
      <c r="DZ22" s="67">
        <f t="shared" ref="DZ22" si="70">SUM(CU22:CX22)</f>
        <v>1888</v>
      </c>
      <c r="EA22" s="67">
        <f>+DZ22*1.1</f>
        <v>2076.8000000000002</v>
      </c>
      <c r="EB22" s="67">
        <f>+EA22*1.1</f>
        <v>2284.4800000000005</v>
      </c>
      <c r="EC22" s="67">
        <f t="shared" ref="EC22:EI22" si="71">+EB22*1.05</f>
        <v>2398.7040000000006</v>
      </c>
      <c r="ED22" s="67">
        <f t="shared" si="71"/>
        <v>2518.639200000001</v>
      </c>
      <c r="EE22" s="67">
        <f t="shared" si="71"/>
        <v>2644.5711600000013</v>
      </c>
      <c r="EF22" s="67">
        <f t="shared" si="71"/>
        <v>2776.7997180000016</v>
      </c>
      <c r="EG22" s="67">
        <f t="shared" si="71"/>
        <v>2915.6397039000017</v>
      </c>
      <c r="EH22" s="67">
        <f t="shared" si="71"/>
        <v>3061.421689095002</v>
      </c>
      <c r="EI22" s="67">
        <f t="shared" si="71"/>
        <v>3214.4927735497522</v>
      </c>
      <c r="EJ22" s="67">
        <f>+EI22*0.1</f>
        <v>321.44927735497527</v>
      </c>
    </row>
    <row r="23" spans="2:141" s="26" customFormat="1">
      <c r="B23" s="98" t="s">
        <v>1189</v>
      </c>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67"/>
      <c r="BB23" s="67"/>
      <c r="BC23" s="67"/>
      <c r="BD23" s="67"/>
      <c r="BE23" s="67"/>
      <c r="BF23" s="67"/>
      <c r="BG23" s="67"/>
      <c r="BH23" s="67"/>
      <c r="BI23" s="67"/>
      <c r="BJ23" s="67">
        <v>7</v>
      </c>
      <c r="BK23" s="67">
        <v>16</v>
      </c>
      <c r="BL23" s="67">
        <f>20+7</f>
        <v>27</v>
      </c>
      <c r="BM23" s="67">
        <f>31+9</f>
        <v>40</v>
      </c>
      <c r="BN23" s="67">
        <v>58</v>
      </c>
      <c r="BO23" s="67">
        <v>49</v>
      </c>
      <c r="BP23" s="67">
        <f>60+23</f>
        <v>83</v>
      </c>
      <c r="BQ23" s="67">
        <f>62+27</f>
        <v>89</v>
      </c>
      <c r="BR23" s="67">
        <v>98</v>
      </c>
      <c r="BS23" s="67">
        <v>123</v>
      </c>
      <c r="BT23" s="67">
        <v>148</v>
      </c>
      <c r="BU23" s="67">
        <v>120</v>
      </c>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117">
        <v>567</v>
      </c>
      <c r="CT23" s="117">
        <v>606</v>
      </c>
      <c r="CU23" s="117">
        <v>656</v>
      </c>
      <c r="CV23" s="117">
        <f t="shared" ref="CV23:CX23" si="72">+CU23+25</f>
        <v>681</v>
      </c>
      <c r="CW23" s="117">
        <f t="shared" si="72"/>
        <v>706</v>
      </c>
      <c r="CX23" s="117">
        <f t="shared" si="72"/>
        <v>731</v>
      </c>
      <c r="CY23" s="117"/>
      <c r="CZ23" s="67"/>
      <c r="DA23" s="67"/>
      <c r="DB23" s="67"/>
      <c r="DC23" s="67"/>
      <c r="DD23" s="67"/>
      <c r="DE23" s="67"/>
      <c r="DF23" s="67"/>
      <c r="DG23" s="67"/>
      <c r="DH23" s="67"/>
      <c r="DI23" s="67"/>
      <c r="DJ23" s="67"/>
      <c r="DK23" s="67"/>
      <c r="DL23" s="67"/>
      <c r="DM23" s="67"/>
      <c r="DN23" s="67"/>
      <c r="DO23" s="67"/>
      <c r="DP23" s="67"/>
      <c r="DQ23" s="67"/>
      <c r="DR23" s="67">
        <f t="shared" si="5"/>
        <v>319</v>
      </c>
      <c r="DS23" s="67">
        <f t="shared" si="45"/>
        <v>550</v>
      </c>
      <c r="DT23" s="67">
        <f t="shared" si="46"/>
        <v>661</v>
      </c>
      <c r="DU23" s="67">
        <f t="shared" si="47"/>
        <v>887</v>
      </c>
      <c r="DV23" s="67">
        <f t="shared" si="48"/>
        <v>1117</v>
      </c>
      <c r="DW23" s="67">
        <f t="shared" si="49"/>
        <v>1296</v>
      </c>
      <c r="DX23" s="67">
        <f t="shared" si="52"/>
        <v>1635</v>
      </c>
      <c r="DY23" s="67">
        <f t="shared" ref="DY23" si="73">SUM(CQ23:CT23)</f>
        <v>2222</v>
      </c>
      <c r="DZ23" s="67">
        <f t="shared" ref="DZ23" si="74">SUM(CU23:CX23)</f>
        <v>2774</v>
      </c>
      <c r="EA23" s="67">
        <f t="shared" ref="EA23:EB23" si="75">+DZ23*1.1</f>
        <v>3051.4</v>
      </c>
      <c r="EB23" s="67">
        <f t="shared" si="75"/>
        <v>3356.5400000000004</v>
      </c>
      <c r="EC23" s="67">
        <f t="shared" ref="EC23:EI23" si="76">+EB23*1.05</f>
        <v>3524.3670000000006</v>
      </c>
      <c r="ED23" s="67">
        <f t="shared" si="76"/>
        <v>3700.5853500000007</v>
      </c>
      <c r="EE23" s="67">
        <f t="shared" si="76"/>
        <v>3885.6146175000008</v>
      </c>
      <c r="EF23" s="67">
        <f t="shared" si="76"/>
        <v>4079.895348375001</v>
      </c>
      <c r="EG23" s="67">
        <f t="shared" si="76"/>
        <v>4283.8901157937516</v>
      </c>
      <c r="EH23" s="67">
        <f t="shared" si="76"/>
        <v>4498.084621583439</v>
      </c>
      <c r="EI23" s="67">
        <f t="shared" si="76"/>
        <v>4722.988852662611</v>
      </c>
      <c r="EJ23" s="67">
        <f t="shared" ref="EJ23" si="77">+EI23*0.1</f>
        <v>472.2988852662611</v>
      </c>
    </row>
    <row r="24" spans="2:141" s="26" customFormat="1">
      <c r="B24" s="98" t="s">
        <v>1190</v>
      </c>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67">
        <v>22</v>
      </c>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117"/>
      <c r="CT24" s="117"/>
      <c r="CU24" s="117"/>
      <c r="CV24" s="117"/>
      <c r="CW24" s="117"/>
      <c r="CX24" s="117"/>
      <c r="CY24" s="117"/>
      <c r="CZ24" s="67"/>
      <c r="DA24" s="67"/>
      <c r="DB24" s="67"/>
      <c r="DC24" s="67"/>
      <c r="DD24" s="67"/>
      <c r="DE24" s="67"/>
      <c r="DF24" s="67"/>
      <c r="DG24" s="67"/>
      <c r="DH24" s="67"/>
      <c r="DI24" s="67"/>
      <c r="DJ24" s="67"/>
      <c r="DK24" s="67"/>
      <c r="DL24" s="67"/>
      <c r="DM24" s="67"/>
      <c r="DN24" s="67"/>
      <c r="DO24" s="67"/>
      <c r="DP24" s="67"/>
      <c r="DQ24" s="67"/>
      <c r="DR24" s="67"/>
      <c r="DS24" s="67">
        <f t="shared" si="45"/>
        <v>117</v>
      </c>
      <c r="DT24" s="67">
        <f t="shared" si="46"/>
        <v>306</v>
      </c>
      <c r="DU24" s="67">
        <f t="shared" si="47"/>
        <v>378</v>
      </c>
      <c r="DV24" s="67">
        <f t="shared" si="48"/>
        <v>317</v>
      </c>
      <c r="DW24" s="67">
        <f t="shared" si="49"/>
        <v>414</v>
      </c>
      <c r="DX24" s="67">
        <f t="shared" si="52"/>
        <v>172</v>
      </c>
      <c r="DY24" s="67"/>
      <c r="DZ24" s="67"/>
      <c r="EA24" s="67"/>
      <c r="EB24" s="67"/>
      <c r="EC24" s="67"/>
      <c r="ED24" s="67"/>
      <c r="EE24" s="67"/>
      <c r="EF24" s="67"/>
      <c r="EG24" s="67"/>
      <c r="EH24" s="67"/>
      <c r="EI24" s="67"/>
      <c r="EJ24" s="67"/>
    </row>
    <row r="25" spans="2:141" s="26" customFormat="1">
      <c r="B25" s="97" t="s">
        <v>1296</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17"/>
      <c r="CP25" s="117"/>
      <c r="CQ25" s="117"/>
      <c r="CR25" s="117">
        <v>12</v>
      </c>
      <c r="CS25" s="117">
        <v>36</v>
      </c>
      <c r="CT25" s="117">
        <v>67</v>
      </c>
      <c r="CU25" s="117">
        <v>81</v>
      </c>
      <c r="CV25" s="117">
        <f t="shared" ref="CV25:CX25" si="78">+CU25+5</f>
        <v>86</v>
      </c>
      <c r="CW25" s="117">
        <f t="shared" si="78"/>
        <v>91</v>
      </c>
      <c r="CX25" s="117">
        <f t="shared" si="78"/>
        <v>96</v>
      </c>
      <c r="CY25" s="11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f>SUM(CQ25:CT25)</f>
        <v>115</v>
      </c>
      <c r="DZ25" s="67">
        <f>SUM(CU25:CX25)</f>
        <v>354</v>
      </c>
      <c r="EA25" s="67">
        <f>+DZ25*1.1</f>
        <v>389.40000000000003</v>
      </c>
      <c r="EB25" s="67">
        <f t="shared" ref="EB25:EJ25" si="79">+EA25*1.1</f>
        <v>428.34000000000009</v>
      </c>
      <c r="EC25" s="67">
        <f t="shared" si="79"/>
        <v>471.17400000000015</v>
      </c>
      <c r="ED25" s="67">
        <f t="shared" si="79"/>
        <v>518.29140000000018</v>
      </c>
      <c r="EE25" s="67">
        <f t="shared" si="79"/>
        <v>570.12054000000023</v>
      </c>
      <c r="EF25" s="67">
        <f t="shared" si="79"/>
        <v>627.13259400000027</v>
      </c>
      <c r="EG25" s="67">
        <f t="shared" si="79"/>
        <v>689.84585340000035</v>
      </c>
      <c r="EH25" s="67">
        <f t="shared" si="79"/>
        <v>758.83043874000043</v>
      </c>
      <c r="EI25" s="67">
        <f t="shared" si="79"/>
        <v>834.71348261400055</v>
      </c>
      <c r="EJ25" s="67">
        <f t="shared" si="79"/>
        <v>918.18483087540073</v>
      </c>
    </row>
    <row r="26" spans="2:141" s="26" customFormat="1">
      <c r="B26" s="98" t="s">
        <v>1191</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67"/>
      <c r="BV26" s="67">
        <v>0</v>
      </c>
      <c r="BW26" s="67">
        <v>0</v>
      </c>
      <c r="BX26" s="67">
        <v>0</v>
      </c>
      <c r="BY26" s="67">
        <v>0</v>
      </c>
      <c r="BZ26" s="67">
        <v>0</v>
      </c>
      <c r="CA26" s="67">
        <v>0</v>
      </c>
      <c r="CB26" s="67">
        <v>0</v>
      </c>
      <c r="CC26" s="67">
        <v>0</v>
      </c>
      <c r="CD26" s="67">
        <v>0</v>
      </c>
      <c r="CE26" s="67">
        <v>0</v>
      </c>
      <c r="CF26" s="67">
        <v>0</v>
      </c>
      <c r="CG26" s="67">
        <v>0</v>
      </c>
      <c r="CH26" s="67">
        <v>0</v>
      </c>
      <c r="CI26" s="117">
        <v>7</v>
      </c>
      <c r="CJ26" s="117">
        <v>29</v>
      </c>
      <c r="CK26" s="117">
        <v>55</v>
      </c>
      <c r="CL26" s="117">
        <v>79</v>
      </c>
      <c r="CM26" s="117">
        <v>96</v>
      </c>
      <c r="CN26" s="117">
        <v>133</v>
      </c>
      <c r="CO26" s="117">
        <v>161</v>
      </c>
      <c r="CP26" s="117">
        <v>177</v>
      </c>
      <c r="CQ26" s="117">
        <v>173</v>
      </c>
      <c r="CR26" s="117">
        <v>234</v>
      </c>
      <c r="CS26" s="117">
        <v>269</v>
      </c>
      <c r="CT26" s="117">
        <v>296</v>
      </c>
      <c r="CU26" s="117">
        <v>285</v>
      </c>
      <c r="CV26" s="117">
        <f t="shared" ref="CV26:CX26" si="80">+CU26+20</f>
        <v>305</v>
      </c>
      <c r="CW26" s="117">
        <f t="shared" si="80"/>
        <v>325</v>
      </c>
      <c r="CX26" s="117">
        <f t="shared" si="80"/>
        <v>345</v>
      </c>
      <c r="CY26" s="117"/>
      <c r="CZ26" s="67"/>
      <c r="DA26" s="67"/>
      <c r="DB26" s="67"/>
      <c r="DC26" s="67"/>
      <c r="DD26" s="67"/>
      <c r="DE26" s="67"/>
      <c r="DF26" s="67"/>
      <c r="DG26" s="67"/>
      <c r="DH26" s="67"/>
      <c r="DI26" s="67"/>
      <c r="DJ26" s="67"/>
      <c r="DK26" s="67"/>
      <c r="DL26" s="67"/>
      <c r="DM26" s="67"/>
      <c r="DN26" s="67"/>
      <c r="DO26" s="67"/>
      <c r="DP26" s="67"/>
      <c r="DQ26" s="67"/>
      <c r="DR26" s="67"/>
      <c r="DS26" s="67"/>
      <c r="DT26" s="67">
        <f t="shared" si="46"/>
        <v>0</v>
      </c>
      <c r="DU26" s="67">
        <f t="shared" si="47"/>
        <v>0</v>
      </c>
      <c r="DV26" s="67">
        <f t="shared" si="48"/>
        <v>0</v>
      </c>
      <c r="DW26" s="67">
        <f t="shared" si="49"/>
        <v>170</v>
      </c>
      <c r="DX26" s="67">
        <f t="shared" si="52"/>
        <v>567</v>
      </c>
      <c r="DY26" s="67">
        <f t="shared" ref="DY26" si="81">SUM(CQ26:CT26)</f>
        <v>972</v>
      </c>
      <c r="DZ26" s="67">
        <f t="shared" ref="DZ26" si="82">SUM(CU26:CX26)</f>
        <v>1260</v>
      </c>
      <c r="EA26" s="67">
        <f>+DZ26*1.2</f>
        <v>1512</v>
      </c>
      <c r="EB26" s="67">
        <f>+EA26*1.1</f>
        <v>1663.2</v>
      </c>
      <c r="EC26" s="67">
        <f>+EB26*1.1</f>
        <v>1829.5200000000002</v>
      </c>
      <c r="ED26" s="67">
        <f>+EC26*1.05</f>
        <v>1920.9960000000003</v>
      </c>
      <c r="EE26" s="67">
        <f>+ED26*1.05</f>
        <v>2017.0458000000003</v>
      </c>
      <c r="EF26" s="67">
        <f>+EE26*1.05</f>
        <v>2117.8980900000006</v>
      </c>
      <c r="EG26" s="26">
        <f>+EF26*1.01</f>
        <v>2139.0770709000008</v>
      </c>
      <c r="EH26" s="26">
        <f>+EG26*1.01</f>
        <v>2160.467841609001</v>
      </c>
      <c r="EI26" s="26">
        <f>+EH26*1.01</f>
        <v>2182.0725200250909</v>
      </c>
      <c r="EJ26" s="26">
        <f>+EI26*1.01</f>
        <v>2203.8932452253416</v>
      </c>
    </row>
    <row r="27" spans="2:141" s="26" customFormat="1">
      <c r="B27" s="98" t="s">
        <v>1194</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117">
        <v>98</v>
      </c>
      <c r="CT27" s="117">
        <v>85</v>
      </c>
      <c r="CU27" s="117">
        <v>85</v>
      </c>
      <c r="CV27" s="117">
        <f t="shared" ref="CV27:CX27" si="83">+CR27+10</f>
        <v>95</v>
      </c>
      <c r="CW27" s="117">
        <f t="shared" si="83"/>
        <v>108</v>
      </c>
      <c r="CX27" s="117">
        <f t="shared" si="83"/>
        <v>95</v>
      </c>
      <c r="CY27" s="117"/>
      <c r="CZ27" s="67"/>
      <c r="DA27" s="67"/>
      <c r="DB27" s="67"/>
      <c r="DC27" s="67"/>
      <c r="DD27" s="67"/>
      <c r="DE27" s="67"/>
      <c r="DF27" s="67"/>
      <c r="DG27" s="67"/>
      <c r="DH27" s="67"/>
      <c r="DI27" s="67"/>
      <c r="DJ27" s="67"/>
      <c r="DK27" s="67"/>
      <c r="DL27" s="67"/>
      <c r="DM27" s="67"/>
      <c r="DN27" s="67"/>
      <c r="DO27" s="67"/>
      <c r="DP27" s="67"/>
      <c r="DQ27" s="67"/>
      <c r="DR27" s="67"/>
      <c r="DS27" s="67"/>
      <c r="DT27" s="67">
        <f t="shared" si="46"/>
        <v>0</v>
      </c>
      <c r="DU27" s="67">
        <f t="shared" si="47"/>
        <v>0</v>
      </c>
      <c r="DV27" s="67">
        <f t="shared" si="48"/>
        <v>90</v>
      </c>
      <c r="DW27" s="67">
        <f t="shared" si="49"/>
        <v>285</v>
      </c>
      <c r="DX27" s="67">
        <f t="shared" si="52"/>
        <v>280</v>
      </c>
      <c r="DY27" s="67">
        <f t="shared" ref="DY27" si="84">SUM(CQ27:CT27)</f>
        <v>350</v>
      </c>
      <c r="DZ27" s="67">
        <f t="shared" ref="DZ27" si="85">SUM(CU27:CX27)</f>
        <v>383</v>
      </c>
      <c r="EA27" s="67">
        <f t="shared" ref="EA27:EJ27" si="86">+DZ27*1.01</f>
        <v>386.83</v>
      </c>
      <c r="EB27" s="67">
        <f t="shared" si="86"/>
        <v>390.69829999999996</v>
      </c>
      <c r="EC27" s="67">
        <f t="shared" si="86"/>
        <v>394.60528299999999</v>
      </c>
      <c r="ED27" s="67">
        <f t="shared" si="86"/>
        <v>398.55133582999997</v>
      </c>
      <c r="EE27" s="67">
        <f t="shared" si="86"/>
        <v>402.53684918829998</v>
      </c>
      <c r="EF27" s="67">
        <f t="shared" si="86"/>
        <v>406.56221768018298</v>
      </c>
      <c r="EG27" s="67">
        <f t="shared" si="86"/>
        <v>410.62783985698479</v>
      </c>
      <c r="EH27" s="67">
        <f t="shared" si="86"/>
        <v>414.73411825555462</v>
      </c>
      <c r="EI27" s="67">
        <f t="shared" si="86"/>
        <v>418.88145943811014</v>
      </c>
      <c r="EJ27" s="67">
        <f t="shared" si="86"/>
        <v>423.07027403249123</v>
      </c>
    </row>
    <row r="28" spans="2:141" s="26" customFormat="1">
      <c r="B28" s="98" t="s">
        <v>1154</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67">
        <v>0</v>
      </c>
      <c r="BB28" s="67">
        <v>73</v>
      </c>
      <c r="BC28" s="67">
        <v>68</v>
      </c>
      <c r="BD28" s="67">
        <v>78</v>
      </c>
      <c r="BE28" s="67">
        <v>94</v>
      </c>
      <c r="BF28" s="67">
        <v>91</v>
      </c>
      <c r="BG28" s="67">
        <v>108</v>
      </c>
      <c r="BH28" s="67">
        <v>119</v>
      </c>
      <c r="BI28" s="67">
        <v>137</v>
      </c>
      <c r="BJ28" s="67">
        <v>148</v>
      </c>
      <c r="BK28" s="67">
        <v>154</v>
      </c>
      <c r="BL28" s="67">
        <f>142+30</f>
        <v>172</v>
      </c>
      <c r="BM28" s="67">
        <f>140+43</f>
        <v>183</v>
      </c>
      <c r="BN28" s="67">
        <v>183</v>
      </c>
      <c r="BO28" s="67">
        <v>190</v>
      </c>
      <c r="BP28" s="67">
        <f>140+71</f>
        <v>211</v>
      </c>
      <c r="BQ28" s="67">
        <f>135+72</f>
        <v>207</v>
      </c>
      <c r="BR28" s="67">
        <v>227</v>
      </c>
      <c r="BS28" s="67">
        <v>222</v>
      </c>
      <c r="BT28" s="67">
        <v>263</v>
      </c>
      <c r="BU28" s="67">
        <v>232</v>
      </c>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117">
        <v>378</v>
      </c>
      <c r="CT28" s="117">
        <v>372</v>
      </c>
      <c r="CU28" s="117">
        <v>324</v>
      </c>
      <c r="CV28" s="117">
        <f t="shared" ref="CV28:CX29" si="87">+CR28</f>
        <v>377</v>
      </c>
      <c r="CW28" s="117">
        <f t="shared" si="87"/>
        <v>378</v>
      </c>
      <c r="CX28" s="117">
        <f t="shared" si="87"/>
        <v>372</v>
      </c>
      <c r="CY28" s="117"/>
      <c r="CZ28" s="67"/>
      <c r="DA28" s="67"/>
      <c r="DB28" s="67"/>
      <c r="DC28" s="67"/>
      <c r="DD28" s="67"/>
      <c r="DE28" s="67"/>
      <c r="DF28" s="67"/>
      <c r="DG28" s="67"/>
      <c r="DH28" s="67"/>
      <c r="DI28" s="67"/>
      <c r="DJ28" s="67"/>
      <c r="DK28" s="67"/>
      <c r="DL28" s="67"/>
      <c r="DM28" s="67"/>
      <c r="DN28" s="67"/>
      <c r="DO28" s="67"/>
      <c r="DP28" s="67"/>
      <c r="DQ28" s="67"/>
      <c r="DR28" s="67">
        <f t="shared" si="5"/>
        <v>835</v>
      </c>
      <c r="DS28" s="67">
        <f t="shared" si="45"/>
        <v>968</v>
      </c>
      <c r="DT28" s="67">
        <f t="shared" si="46"/>
        <v>1044</v>
      </c>
      <c r="DU28" s="67">
        <f t="shared" si="47"/>
        <v>1065</v>
      </c>
      <c r="DV28" s="67">
        <f t="shared" si="48"/>
        <v>1108</v>
      </c>
      <c r="DW28" s="67">
        <f t="shared" si="49"/>
        <v>1247</v>
      </c>
      <c r="DX28" s="67">
        <f t="shared" si="52"/>
        <v>1403</v>
      </c>
      <c r="DY28" s="67">
        <f t="shared" ref="DY28" si="88">SUM(CQ28:CT28)</f>
        <v>1503</v>
      </c>
      <c r="DZ28" s="67">
        <f t="shared" ref="DZ28" si="89">SUM(CU28:CX28)</f>
        <v>1451</v>
      </c>
      <c r="EA28" s="67">
        <f>+DZ28*0.5</f>
        <v>725.5</v>
      </c>
      <c r="EB28" s="67">
        <f>+EA28*0.5</f>
        <v>362.75</v>
      </c>
      <c r="EC28" s="67">
        <f>+EB28*0.5</f>
        <v>181.375</v>
      </c>
      <c r="ED28" s="67">
        <f>+EC28*0.5</f>
        <v>90.6875</v>
      </c>
      <c r="EE28" s="67">
        <f t="shared" ref="EE28:EJ28" si="90">+ED28*0.5</f>
        <v>45.34375</v>
      </c>
      <c r="EF28" s="67">
        <f t="shared" si="90"/>
        <v>22.671875</v>
      </c>
      <c r="EG28" s="67">
        <f t="shared" si="90"/>
        <v>11.3359375</v>
      </c>
      <c r="EH28" s="67">
        <f t="shared" si="90"/>
        <v>5.66796875</v>
      </c>
      <c r="EI28" s="67">
        <f t="shared" si="90"/>
        <v>2.833984375</v>
      </c>
      <c r="EJ28" s="67">
        <f t="shared" si="90"/>
        <v>1.4169921875</v>
      </c>
    </row>
    <row r="29" spans="2:141" s="26" customFormat="1">
      <c r="B29" s="26" t="s">
        <v>786</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67"/>
      <c r="AM29" s="67">
        <f>28+21</f>
        <v>49</v>
      </c>
      <c r="AN29" s="67">
        <f>32+23</f>
        <v>55</v>
      </c>
      <c r="AO29" s="67">
        <f>35+25</f>
        <v>60</v>
      </c>
      <c r="AP29" s="67">
        <f>34+31</f>
        <v>65</v>
      </c>
      <c r="AQ29" s="67">
        <f>37+28</f>
        <v>65</v>
      </c>
      <c r="AR29" s="67">
        <f>40+35</f>
        <v>75</v>
      </c>
      <c r="AS29" s="67">
        <v>77</v>
      </c>
      <c r="AT29" s="67">
        <v>80</v>
      </c>
      <c r="AU29" s="67">
        <v>90</v>
      </c>
      <c r="AV29" s="67">
        <v>86</v>
      </c>
      <c r="AW29" s="67">
        <v>91</v>
      </c>
      <c r="AX29" s="67">
        <v>101</v>
      </c>
      <c r="AY29" s="67">
        <v>96</v>
      </c>
      <c r="AZ29" s="67">
        <v>105</v>
      </c>
      <c r="BA29" s="67">
        <v>106</v>
      </c>
      <c r="BB29" s="67">
        <v>120</v>
      </c>
      <c r="BC29" s="67">
        <v>113</v>
      </c>
      <c r="BD29" s="67">
        <v>118</v>
      </c>
      <c r="BE29" s="67">
        <v>119</v>
      </c>
      <c r="BF29" s="67">
        <v>119</v>
      </c>
      <c r="BG29" s="67">
        <v>126</v>
      </c>
      <c r="BH29" s="67">
        <v>125</v>
      </c>
      <c r="BI29" s="67">
        <v>137</v>
      </c>
      <c r="BJ29" s="67">
        <v>137</v>
      </c>
      <c r="BK29" s="67">
        <v>141</v>
      </c>
      <c r="BL29" s="67">
        <f>84+58</f>
        <v>142</v>
      </c>
      <c r="BM29" s="67">
        <f>92+59</f>
        <v>151</v>
      </c>
      <c r="BN29" s="67">
        <v>150</v>
      </c>
      <c r="BO29" s="67">
        <v>154</v>
      </c>
      <c r="BP29" s="67">
        <f>99+65</f>
        <v>164</v>
      </c>
      <c r="BQ29" s="67">
        <f>96+63</f>
        <v>159</v>
      </c>
      <c r="BR29" s="67">
        <v>165</v>
      </c>
      <c r="BS29" s="67">
        <v>179</v>
      </c>
      <c r="BT29" s="67">
        <v>179</v>
      </c>
      <c r="BU29" s="67">
        <v>177</v>
      </c>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117">
        <v>456</v>
      </c>
      <c r="CT29" s="117">
        <v>337</v>
      </c>
      <c r="CU29" s="117">
        <v>313</v>
      </c>
      <c r="CV29" s="117">
        <f t="shared" si="87"/>
        <v>346</v>
      </c>
      <c r="CW29" s="117">
        <f t="shared" si="87"/>
        <v>456</v>
      </c>
      <c r="CX29" s="117">
        <f t="shared" si="87"/>
        <v>337</v>
      </c>
      <c r="CY29" s="117"/>
      <c r="CZ29" s="67"/>
      <c r="DA29" s="67"/>
      <c r="DB29" s="67"/>
      <c r="DC29" s="67"/>
      <c r="DD29" s="67"/>
      <c r="DE29" s="67"/>
      <c r="DF29" s="67"/>
      <c r="DG29" s="67"/>
      <c r="DH29" s="67"/>
      <c r="DI29" s="67"/>
      <c r="DJ29" s="67"/>
      <c r="DK29" s="67">
        <f>SUM(AM29:AP29)</f>
        <v>229</v>
      </c>
      <c r="DL29" s="67">
        <f>SUM(AQ29:AT29)</f>
        <v>297</v>
      </c>
      <c r="DM29" s="67"/>
      <c r="DN29" s="67"/>
      <c r="DO29" s="67"/>
      <c r="DP29" s="67"/>
      <c r="DQ29" s="67"/>
      <c r="DR29" s="67">
        <f t="shared" si="5"/>
        <v>642</v>
      </c>
      <c r="DS29" s="67">
        <f t="shared" si="45"/>
        <v>717</v>
      </c>
      <c r="DT29" s="67">
        <f t="shared" si="46"/>
        <v>795</v>
      </c>
      <c r="DU29" s="67">
        <f t="shared" si="47"/>
        <v>850</v>
      </c>
      <c r="DV29" s="67">
        <f t="shared" si="48"/>
        <v>1027</v>
      </c>
      <c r="DW29" s="67">
        <f t="shared" si="49"/>
        <v>1307</v>
      </c>
      <c r="DX29" s="67">
        <f t="shared" si="52"/>
        <v>1477</v>
      </c>
      <c r="DY29" s="67">
        <f t="shared" ref="DY29:DY34" si="91">SUM(CQ29:CT29)</f>
        <v>1456</v>
      </c>
      <c r="DZ29" s="67">
        <f t="shared" ref="DZ29:DZ34" si="92">SUM(CU29:CX29)</f>
        <v>1452</v>
      </c>
      <c r="EA29" s="67">
        <f t="shared" ref="EA29:EB30" si="93">+DZ29*1.05</f>
        <v>1524.6000000000001</v>
      </c>
      <c r="EB29" s="67">
        <f t="shared" si="93"/>
        <v>1600.8300000000002</v>
      </c>
      <c r="EC29" s="67">
        <f t="shared" ref="EC29:EJ29" si="94">+EB29*0.99</f>
        <v>1584.8217000000002</v>
      </c>
      <c r="ED29" s="67">
        <f t="shared" si="94"/>
        <v>1568.9734830000002</v>
      </c>
      <c r="EE29" s="67">
        <f t="shared" si="94"/>
        <v>1553.2837481700003</v>
      </c>
      <c r="EF29" s="67">
        <f t="shared" si="94"/>
        <v>1537.7509106883003</v>
      </c>
      <c r="EG29" s="67">
        <f t="shared" si="94"/>
        <v>1522.3734015814173</v>
      </c>
      <c r="EH29" s="67">
        <f t="shared" si="94"/>
        <v>1507.1496675656031</v>
      </c>
      <c r="EI29" s="67">
        <f t="shared" si="94"/>
        <v>1492.0781708899469</v>
      </c>
      <c r="EJ29" s="67">
        <f t="shared" si="94"/>
        <v>1477.1573891810474</v>
      </c>
    </row>
    <row r="30" spans="2:141" s="26" customFormat="1">
      <c r="B30" s="98" t="s">
        <v>1195</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67"/>
      <c r="AU30" s="67"/>
      <c r="AV30" s="67"/>
      <c r="AW30" s="67"/>
      <c r="AX30" s="67"/>
      <c r="AY30" s="67"/>
      <c r="AZ30" s="67"/>
      <c r="BA30" s="67"/>
      <c r="BB30" s="67"/>
      <c r="BC30" s="67"/>
      <c r="BD30" s="67"/>
      <c r="BE30" s="67"/>
      <c r="BF30" s="67"/>
      <c r="BG30" s="67">
        <v>15</v>
      </c>
      <c r="BH30" s="67">
        <v>17</v>
      </c>
      <c r="BI30" s="67">
        <v>23</v>
      </c>
      <c r="BJ30" s="67">
        <v>22</v>
      </c>
      <c r="BK30" s="67">
        <v>27</v>
      </c>
      <c r="BL30" s="67">
        <f>21+9</f>
        <v>30</v>
      </c>
      <c r="BM30" s="67">
        <f>19+10</f>
        <v>29</v>
      </c>
      <c r="BN30" s="67">
        <v>29</v>
      </c>
      <c r="BO30" s="67">
        <v>34</v>
      </c>
      <c r="BP30" s="67">
        <f>28+15</f>
        <v>43</v>
      </c>
      <c r="BQ30" s="67">
        <f>34+18</f>
        <v>52</v>
      </c>
      <c r="BR30" s="67">
        <v>46</v>
      </c>
      <c r="BS30" s="67">
        <v>49</v>
      </c>
      <c r="BT30" s="67">
        <v>60</v>
      </c>
      <c r="BU30" s="67">
        <v>58</v>
      </c>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117">
        <v>327</v>
      </c>
      <c r="CT30" s="117">
        <v>381</v>
      </c>
      <c r="CU30" s="117">
        <v>370</v>
      </c>
      <c r="CV30" s="117">
        <f t="shared" ref="CV30:CX30" si="95">+CU30+5</f>
        <v>375</v>
      </c>
      <c r="CW30" s="117">
        <f t="shared" si="95"/>
        <v>380</v>
      </c>
      <c r="CX30" s="117">
        <f t="shared" si="95"/>
        <v>385</v>
      </c>
      <c r="CY30" s="117"/>
      <c r="CZ30" s="67"/>
      <c r="DA30" s="67"/>
      <c r="DB30" s="67"/>
      <c r="DC30" s="67"/>
      <c r="DD30" s="67"/>
      <c r="DE30" s="67"/>
      <c r="DF30" s="67"/>
      <c r="DG30" s="67"/>
      <c r="DH30" s="67"/>
      <c r="DI30" s="67"/>
      <c r="DJ30" s="67"/>
      <c r="DK30" s="67"/>
      <c r="DL30" s="67"/>
      <c r="DM30" s="67"/>
      <c r="DN30" s="67"/>
      <c r="DO30" s="67"/>
      <c r="DP30" s="67"/>
      <c r="DQ30" s="67"/>
      <c r="DR30" s="67">
        <f t="shared" si="5"/>
        <v>175</v>
      </c>
      <c r="DS30" s="67">
        <f t="shared" si="45"/>
        <v>230</v>
      </c>
      <c r="DT30" s="67">
        <f t="shared" si="46"/>
        <v>312</v>
      </c>
      <c r="DU30" s="67">
        <f t="shared" si="47"/>
        <v>379</v>
      </c>
      <c r="DV30" s="67">
        <f t="shared" si="48"/>
        <v>472</v>
      </c>
      <c r="DW30" s="67">
        <f t="shared" si="49"/>
        <v>583</v>
      </c>
      <c r="DX30" s="67">
        <f t="shared" si="52"/>
        <v>861</v>
      </c>
      <c r="DY30" s="67">
        <f t="shared" si="91"/>
        <v>1216</v>
      </c>
      <c r="DZ30" s="67">
        <f t="shared" si="92"/>
        <v>1510</v>
      </c>
      <c r="EA30" s="67">
        <f t="shared" si="93"/>
        <v>1585.5</v>
      </c>
      <c r="EB30" s="67">
        <f t="shared" si="93"/>
        <v>1664.7750000000001</v>
      </c>
      <c r="EC30" s="67">
        <f t="shared" ref="EC30:EJ30" si="96">+EB30*1.05</f>
        <v>1748.0137500000001</v>
      </c>
      <c r="ED30" s="67">
        <f t="shared" si="96"/>
        <v>1835.4144375000001</v>
      </c>
      <c r="EE30" s="67">
        <f t="shared" si="96"/>
        <v>1927.1851593750002</v>
      </c>
      <c r="EF30" s="67">
        <f t="shared" si="96"/>
        <v>2023.5444173437504</v>
      </c>
      <c r="EG30" s="67">
        <f t="shared" si="96"/>
        <v>2124.7216382109382</v>
      </c>
      <c r="EH30" s="67">
        <f t="shared" si="96"/>
        <v>2230.9577201214852</v>
      </c>
      <c r="EI30" s="67">
        <f t="shared" si="96"/>
        <v>2342.5056061275595</v>
      </c>
      <c r="EJ30" s="67">
        <f t="shared" si="96"/>
        <v>2459.6308864339376</v>
      </c>
    </row>
    <row r="31" spans="2:141" s="26" customFormat="1">
      <c r="B31" s="98" t="s">
        <v>1193</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67"/>
      <c r="BV31" s="67">
        <v>11</v>
      </c>
      <c r="BW31" s="67">
        <v>31</v>
      </c>
      <c r="BX31" s="67">
        <v>52</v>
      </c>
      <c r="BY31" s="67">
        <v>61</v>
      </c>
      <c r="BZ31" s="67">
        <v>71</v>
      </c>
      <c r="CA31" s="67">
        <v>86</v>
      </c>
      <c r="CB31" s="67">
        <v>62</v>
      </c>
      <c r="CC31" s="67">
        <v>80</v>
      </c>
      <c r="CD31" s="67">
        <v>103</v>
      </c>
      <c r="CE31" s="67">
        <v>106</v>
      </c>
      <c r="CF31" s="67">
        <v>107</v>
      </c>
      <c r="CG31" s="67">
        <v>111</v>
      </c>
      <c r="CH31" s="67">
        <v>115</v>
      </c>
      <c r="CI31" s="117">
        <v>108</v>
      </c>
      <c r="CJ31" s="117">
        <v>116</v>
      </c>
      <c r="CK31" s="117">
        <v>117</v>
      </c>
      <c r="CL31" s="117">
        <v>119</v>
      </c>
      <c r="CM31" s="117">
        <v>164</v>
      </c>
      <c r="CN31" s="117">
        <v>150</v>
      </c>
      <c r="CO31" s="117">
        <v>152</v>
      </c>
      <c r="CP31" s="117">
        <v>160</v>
      </c>
      <c r="CQ31" s="117">
        <v>168</v>
      </c>
      <c r="CR31" s="117">
        <v>133</v>
      </c>
      <c r="CS31" s="117">
        <v>166</v>
      </c>
      <c r="CT31" s="117">
        <v>294</v>
      </c>
      <c r="CU31" s="117">
        <v>136</v>
      </c>
      <c r="CV31" s="117">
        <f t="shared" ref="CV31:CX31" si="97">+CU31</f>
        <v>136</v>
      </c>
      <c r="CW31" s="117">
        <f t="shared" si="97"/>
        <v>136</v>
      </c>
      <c r="CX31" s="117">
        <f t="shared" si="97"/>
        <v>136</v>
      </c>
      <c r="CY31" s="117"/>
      <c r="CZ31" s="67"/>
      <c r="DA31" s="67"/>
      <c r="DB31" s="67"/>
      <c r="DC31" s="67"/>
      <c r="DD31" s="67"/>
      <c r="DE31" s="67"/>
      <c r="DF31" s="67"/>
      <c r="DG31" s="67"/>
      <c r="DH31" s="67"/>
      <c r="DI31" s="67"/>
      <c r="DJ31" s="67"/>
      <c r="DK31" s="67"/>
      <c r="DL31" s="67"/>
      <c r="DM31" s="67"/>
      <c r="DN31" s="67"/>
      <c r="DO31" s="67"/>
      <c r="DP31" s="67"/>
      <c r="DQ31" s="67"/>
      <c r="DR31" s="67"/>
      <c r="DS31" s="67">
        <f>SUM(BS31:BV31)</f>
        <v>11</v>
      </c>
      <c r="DT31" s="67">
        <f>SUM(BW31:BZ31)</f>
        <v>215</v>
      </c>
      <c r="DU31" s="67">
        <f>SUM(CA31:CD31)</f>
        <v>331</v>
      </c>
      <c r="DV31" s="67">
        <f>SUM(CE31:CH31)</f>
        <v>439</v>
      </c>
      <c r="DW31" s="67">
        <f>SUM(CI31:CL31)</f>
        <v>460</v>
      </c>
      <c r="DX31" s="67">
        <f>SUM(CM31:CP31)</f>
        <v>626</v>
      </c>
      <c r="DY31" s="67">
        <f t="shared" ref="DY31" si="98">SUM(CQ31:CT31)</f>
        <v>761</v>
      </c>
      <c r="DZ31" s="67">
        <f t="shared" ref="DZ31" si="99">SUM(CU31:CX31)</f>
        <v>544</v>
      </c>
      <c r="EA31" s="67">
        <f t="shared" ref="EA31:EJ31" si="100">+DZ31*0.9</f>
        <v>489.6</v>
      </c>
      <c r="EB31" s="67">
        <f t="shared" si="100"/>
        <v>440.64000000000004</v>
      </c>
      <c r="EC31" s="67">
        <f t="shared" si="100"/>
        <v>396.57600000000002</v>
      </c>
      <c r="ED31" s="67">
        <f t="shared" si="100"/>
        <v>356.91840000000002</v>
      </c>
      <c r="EE31" s="67">
        <f t="shared" si="100"/>
        <v>321.22656000000001</v>
      </c>
      <c r="EF31" s="67">
        <f t="shared" si="100"/>
        <v>289.103904</v>
      </c>
      <c r="EG31" s="67">
        <f t="shared" si="100"/>
        <v>260.19351360000002</v>
      </c>
      <c r="EH31" s="67">
        <f t="shared" si="100"/>
        <v>234.17416224000002</v>
      </c>
      <c r="EI31" s="67">
        <f t="shared" si="100"/>
        <v>210.75674601600002</v>
      </c>
      <c r="EJ31" s="67">
        <f t="shared" si="100"/>
        <v>189.68107141440004</v>
      </c>
    </row>
    <row r="32" spans="2:141" s="26" customFormat="1">
      <c r="B32" s="97" t="s">
        <v>1308</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67"/>
      <c r="BV32" s="67"/>
      <c r="BW32" s="67"/>
      <c r="BX32" s="67"/>
      <c r="BY32" s="67"/>
      <c r="BZ32" s="67"/>
      <c r="CA32" s="67"/>
      <c r="CB32" s="67"/>
      <c r="CC32" s="67"/>
      <c r="CD32" s="67"/>
      <c r="CE32" s="67"/>
      <c r="CF32" s="67"/>
      <c r="CG32" s="67"/>
      <c r="CH32" s="67"/>
      <c r="CI32" s="117"/>
      <c r="CJ32" s="117"/>
      <c r="CK32" s="117"/>
      <c r="CL32" s="117"/>
      <c r="CM32" s="117"/>
      <c r="CN32" s="117"/>
      <c r="CO32" s="117"/>
      <c r="CP32" s="117"/>
      <c r="CQ32" s="117"/>
      <c r="CR32" s="117"/>
      <c r="CS32" s="117"/>
      <c r="CT32" s="117"/>
      <c r="CU32" s="117">
        <v>150</v>
      </c>
      <c r="CV32" s="117"/>
      <c r="CW32" s="117"/>
      <c r="CX32" s="117"/>
      <c r="CY32" s="11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7" t="s">
        <v>1537</v>
      </c>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67"/>
      <c r="BV33" s="67"/>
      <c r="BW33" s="67"/>
      <c r="BX33" s="67"/>
      <c r="BY33" s="67"/>
      <c r="BZ33" s="67"/>
      <c r="CA33" s="67"/>
      <c r="CB33" s="67"/>
      <c r="CC33" s="67"/>
      <c r="CD33" s="67"/>
      <c r="CE33" s="67"/>
      <c r="CF33" s="67"/>
      <c r="CG33" s="67"/>
      <c r="CH33" s="67"/>
      <c r="CI33" s="117"/>
      <c r="CJ33" s="117"/>
      <c r="CK33" s="117"/>
      <c r="CL33" s="117"/>
      <c r="CM33" s="117"/>
      <c r="CN33" s="117"/>
      <c r="CO33" s="117"/>
      <c r="CP33" s="117"/>
      <c r="CQ33" s="117"/>
      <c r="CR33" s="117"/>
      <c r="CS33" s="117"/>
      <c r="CT33" s="117"/>
      <c r="CU33" s="117">
        <v>99</v>
      </c>
      <c r="CV33" s="117"/>
      <c r="CW33" s="117"/>
      <c r="CX33" s="117"/>
      <c r="CY33" s="11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row>
    <row r="34" spans="2:140" s="26" customFormat="1">
      <c r="B34" s="98" t="s">
        <v>1196</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67">
        <v>0</v>
      </c>
      <c r="BW34" s="67">
        <v>0</v>
      </c>
      <c r="BX34" s="67">
        <v>0</v>
      </c>
      <c r="BY34" s="67">
        <v>43</v>
      </c>
      <c r="BZ34" s="67">
        <v>84</v>
      </c>
      <c r="CA34" s="67">
        <v>115</v>
      </c>
      <c r="CB34" s="67">
        <v>172</v>
      </c>
      <c r="CC34" s="67">
        <v>231</v>
      </c>
      <c r="CD34" s="67">
        <v>280</v>
      </c>
      <c r="CE34" s="67">
        <v>294</v>
      </c>
      <c r="CF34" s="67">
        <v>294</v>
      </c>
      <c r="CG34" s="67">
        <v>274</v>
      </c>
      <c r="CH34" s="67">
        <v>304</v>
      </c>
      <c r="CI34" s="117">
        <v>244</v>
      </c>
      <c r="CJ34" s="117">
        <v>243</v>
      </c>
      <c r="CK34" s="117">
        <v>209</v>
      </c>
      <c r="CL34" s="117">
        <v>205</v>
      </c>
      <c r="CM34" s="117">
        <v>202</v>
      </c>
      <c r="CN34" s="117">
        <v>197</v>
      </c>
      <c r="CO34" s="117">
        <v>213</v>
      </c>
      <c r="CP34" s="117">
        <v>188</v>
      </c>
      <c r="CQ34" s="117">
        <v>202</v>
      </c>
      <c r="CR34" s="117">
        <v>157</v>
      </c>
      <c r="CS34" s="117">
        <v>195</v>
      </c>
      <c r="CT34" s="117">
        <v>173</v>
      </c>
      <c r="CU34" s="117">
        <v>179</v>
      </c>
      <c r="CV34" s="117">
        <f t="shared" ref="CV34:CX34" si="101">+CU34</f>
        <v>179</v>
      </c>
      <c r="CW34" s="117">
        <f t="shared" si="101"/>
        <v>179</v>
      </c>
      <c r="CX34" s="117">
        <f t="shared" si="101"/>
        <v>179</v>
      </c>
      <c r="CY34" s="117"/>
      <c r="CZ34" s="67"/>
      <c r="DA34" s="67"/>
      <c r="DB34" s="67"/>
      <c r="DC34" s="67"/>
      <c r="DD34" s="67"/>
      <c r="DE34" s="67"/>
      <c r="DF34" s="67"/>
      <c r="DG34" s="67"/>
      <c r="DH34" s="67"/>
      <c r="DI34" s="67"/>
      <c r="DJ34" s="67"/>
      <c r="DK34" s="67"/>
      <c r="DL34" s="67"/>
      <c r="DM34" s="67"/>
      <c r="DN34" s="67"/>
      <c r="DO34" s="67"/>
      <c r="DP34" s="67"/>
      <c r="DQ34" s="67"/>
      <c r="DR34" s="67"/>
      <c r="DS34" s="67"/>
      <c r="DT34" s="67">
        <f t="shared" si="46"/>
        <v>127</v>
      </c>
      <c r="DU34" s="67">
        <f t="shared" si="47"/>
        <v>798</v>
      </c>
      <c r="DV34" s="67">
        <f t="shared" si="48"/>
        <v>1166</v>
      </c>
      <c r="DW34" s="67">
        <f t="shared" si="49"/>
        <v>901</v>
      </c>
      <c r="DX34" s="67">
        <f t="shared" si="52"/>
        <v>800</v>
      </c>
      <c r="DY34" s="67">
        <f t="shared" si="91"/>
        <v>727</v>
      </c>
      <c r="DZ34" s="67">
        <f t="shared" si="92"/>
        <v>716</v>
      </c>
      <c r="EA34" s="67">
        <f t="shared" ref="EA34:EJ34" si="102">+DZ34*0.9</f>
        <v>644.4</v>
      </c>
      <c r="EB34" s="67">
        <f t="shared" si="102"/>
        <v>579.96</v>
      </c>
      <c r="EC34" s="67">
        <f t="shared" si="102"/>
        <v>521.96400000000006</v>
      </c>
      <c r="ED34" s="67">
        <f t="shared" si="102"/>
        <v>469.76760000000007</v>
      </c>
      <c r="EE34" s="67">
        <f t="shared" si="102"/>
        <v>422.79084000000006</v>
      </c>
      <c r="EF34" s="67">
        <f t="shared" si="102"/>
        <v>380.51175600000005</v>
      </c>
      <c r="EG34" s="67">
        <f t="shared" si="102"/>
        <v>342.46058040000003</v>
      </c>
      <c r="EH34" s="67">
        <f t="shared" si="102"/>
        <v>308.21452236000005</v>
      </c>
      <c r="EI34" s="67">
        <f t="shared" si="102"/>
        <v>277.39307012400008</v>
      </c>
      <c r="EJ34" s="67">
        <f t="shared" si="102"/>
        <v>249.65376311160009</v>
      </c>
    </row>
    <row r="35" spans="2:140" s="26" customFormat="1">
      <c r="B35" s="98" t="s">
        <v>1197</v>
      </c>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67">
        <v>23</v>
      </c>
      <c r="BW35" s="67">
        <v>24</v>
      </c>
      <c r="BX35" s="67">
        <v>30</v>
      </c>
      <c r="BY35" s="67">
        <v>69</v>
      </c>
      <c r="BZ35" s="67">
        <v>103</v>
      </c>
      <c r="CA35" s="67">
        <v>119</v>
      </c>
      <c r="CB35" s="67">
        <v>123</v>
      </c>
      <c r="CC35" s="67">
        <v>167</v>
      </c>
      <c r="CD35" s="67">
        <v>158</v>
      </c>
      <c r="CE35" s="67">
        <v>161</v>
      </c>
      <c r="CF35" s="67">
        <v>156</v>
      </c>
      <c r="CG35" s="67">
        <v>116</v>
      </c>
      <c r="CH35" s="67">
        <v>139</v>
      </c>
      <c r="CI35" s="117">
        <v>96</v>
      </c>
      <c r="CJ35" s="117">
        <v>85</v>
      </c>
      <c r="CK35" s="117">
        <v>72</v>
      </c>
      <c r="CL35" s="117">
        <v>63</v>
      </c>
      <c r="CM35" s="117"/>
      <c r="CN35" s="117"/>
      <c r="CO35" s="117">
        <v>20</v>
      </c>
      <c r="CP35" s="117">
        <v>42</v>
      </c>
      <c r="CQ35" s="117"/>
      <c r="CR35" s="117"/>
      <c r="CS35" s="117"/>
      <c r="CT35" s="117"/>
      <c r="CU35" s="117"/>
      <c r="CV35" s="117"/>
      <c r="CW35" s="117"/>
      <c r="CX35" s="117"/>
      <c r="CY35" s="117"/>
      <c r="CZ35" s="67"/>
      <c r="DA35" s="67"/>
      <c r="DB35" s="67"/>
      <c r="DC35" s="67"/>
      <c r="DD35" s="67"/>
      <c r="DE35" s="67"/>
      <c r="DF35" s="67"/>
      <c r="DG35" s="67"/>
      <c r="DH35" s="67"/>
      <c r="DI35" s="67"/>
      <c r="DJ35" s="67"/>
      <c r="DK35" s="67"/>
      <c r="DL35" s="67"/>
      <c r="DM35" s="67"/>
      <c r="DN35" s="67"/>
      <c r="DO35" s="67"/>
      <c r="DP35" s="67"/>
      <c r="DQ35" s="67"/>
      <c r="DR35" s="67"/>
      <c r="DS35" s="67">
        <f t="shared" si="45"/>
        <v>23</v>
      </c>
      <c r="DT35" s="67">
        <f t="shared" si="46"/>
        <v>226</v>
      </c>
      <c r="DU35" s="67">
        <f t="shared" si="47"/>
        <v>567</v>
      </c>
      <c r="DV35" s="67">
        <f t="shared" si="48"/>
        <v>572</v>
      </c>
      <c r="DW35" s="67">
        <f t="shared" si="49"/>
        <v>316</v>
      </c>
      <c r="DX35" s="67">
        <f>SUM(CM35:CP35)</f>
        <v>62</v>
      </c>
      <c r="DY35" s="67"/>
      <c r="DZ35" s="67"/>
      <c r="EA35" s="67"/>
      <c r="EB35" s="67"/>
      <c r="EC35" s="67"/>
      <c r="ED35" s="67"/>
      <c r="EE35" s="67"/>
      <c r="EF35" s="67"/>
      <c r="EG35" s="67"/>
      <c r="EH35" s="67"/>
      <c r="EI35" s="67"/>
      <c r="EJ35" s="67"/>
    </row>
    <row r="36" spans="2:140" s="26" customFormat="1">
      <c r="B36" s="97" t="s">
        <v>1300</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17">
        <v>0</v>
      </c>
      <c r="CN36" s="117">
        <v>0</v>
      </c>
      <c r="CO36" s="117"/>
      <c r="CP36" s="117">
        <v>164</v>
      </c>
      <c r="CQ36" s="117">
        <v>169</v>
      </c>
      <c r="CR36" s="117">
        <v>187</v>
      </c>
      <c r="CS36" s="117">
        <v>188</v>
      </c>
      <c r="CT36" s="117">
        <v>214</v>
      </c>
      <c r="CU36" s="117">
        <v>179</v>
      </c>
      <c r="CV36" s="117">
        <f t="shared" ref="CV36:CX37" si="103">+CU36</f>
        <v>179</v>
      </c>
      <c r="CW36" s="117">
        <f t="shared" si="103"/>
        <v>179</v>
      </c>
      <c r="CX36" s="117">
        <f t="shared" si="103"/>
        <v>179</v>
      </c>
      <c r="CY36" s="11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f>SUM(CM36:CP36)</f>
        <v>164</v>
      </c>
      <c r="DY36" s="67">
        <f t="shared" ref="DY36:DY37" si="104">SUM(CQ36:CT36)</f>
        <v>758</v>
      </c>
      <c r="DZ36" s="67">
        <f t="shared" ref="DZ36:DZ37" si="105">SUM(CU36:CX36)</f>
        <v>716</v>
      </c>
      <c r="EA36" s="67">
        <f>+DZ36*1.1</f>
        <v>787.6</v>
      </c>
      <c r="EB36" s="67">
        <f t="shared" ref="EB36:EJ36" si="106">+EA36*1.1</f>
        <v>866.36000000000013</v>
      </c>
      <c r="EC36" s="67">
        <f t="shared" si="106"/>
        <v>952.99600000000021</v>
      </c>
      <c r="ED36" s="67">
        <f t="shared" si="106"/>
        <v>1048.2956000000004</v>
      </c>
      <c r="EE36" s="67">
        <f t="shared" si="106"/>
        <v>1153.1251600000005</v>
      </c>
      <c r="EF36" s="67">
        <f t="shared" si="106"/>
        <v>1268.4376760000007</v>
      </c>
      <c r="EG36" s="67">
        <f t="shared" si="106"/>
        <v>1395.2814436000008</v>
      </c>
      <c r="EH36" s="67">
        <f t="shared" si="106"/>
        <v>1534.809587960001</v>
      </c>
      <c r="EI36" s="67">
        <f t="shared" si="106"/>
        <v>1688.2905467560013</v>
      </c>
      <c r="EJ36" s="67">
        <f t="shared" si="106"/>
        <v>1857.1196014316015</v>
      </c>
    </row>
    <row r="37" spans="2:140" s="26" customFormat="1">
      <c r="B37" s="26" t="s">
        <v>448</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67">
        <v>11</v>
      </c>
      <c r="AS37" s="67">
        <v>26</v>
      </c>
      <c r="AT37" s="67">
        <v>21</v>
      </c>
      <c r="AU37" s="67">
        <v>15</v>
      </c>
      <c r="AV37" s="67">
        <v>27</v>
      </c>
      <c r="AW37" s="67">
        <v>46</v>
      </c>
      <c r="AX37" s="67">
        <v>85</v>
      </c>
      <c r="AY37" s="67">
        <v>59</v>
      </c>
      <c r="AZ37" s="67">
        <v>74</v>
      </c>
      <c r="BA37" s="67">
        <v>40</v>
      </c>
      <c r="BB37" s="67">
        <v>73</v>
      </c>
      <c r="BC37" s="67">
        <v>38</v>
      </c>
      <c r="BD37" s="67">
        <v>59</v>
      </c>
      <c r="BE37" s="67">
        <v>46</v>
      </c>
      <c r="BF37" s="67">
        <v>66</v>
      </c>
      <c r="BG37" s="67">
        <v>47</v>
      </c>
      <c r="BH37" s="67">
        <f>74-BH30</f>
        <v>57</v>
      </c>
      <c r="BI37" s="67">
        <f>67-BI30</f>
        <v>44</v>
      </c>
      <c r="BJ37" s="67">
        <v>59</v>
      </c>
      <c r="BK37" s="67">
        <v>47</v>
      </c>
      <c r="BL37" s="67">
        <f>795-BL28-BL29-BL18-BL6-BL23-BL30</f>
        <v>68</v>
      </c>
      <c r="BM37" s="67">
        <f>14+46</f>
        <v>60</v>
      </c>
      <c r="BN37" s="67">
        <v>75</v>
      </c>
      <c r="BO37" s="67">
        <v>57</v>
      </c>
      <c r="BP37" s="67">
        <f>19+42</f>
        <v>61</v>
      </c>
      <c r="BQ37" s="67">
        <f>21+45-BQ17</f>
        <v>64</v>
      </c>
      <c r="BR37" s="67">
        <v>72</v>
      </c>
      <c r="BS37" s="67">
        <v>63</v>
      </c>
      <c r="BT37" s="67">
        <v>75</v>
      </c>
      <c r="BU37" s="67">
        <v>87</v>
      </c>
      <c r="BV37" s="67">
        <v>73</v>
      </c>
      <c r="BW37" s="67">
        <v>61</v>
      </c>
      <c r="BX37" s="67">
        <v>79</v>
      </c>
      <c r="BY37" s="67">
        <v>85</v>
      </c>
      <c r="BZ37" s="67">
        <v>87</v>
      </c>
      <c r="CA37" s="67">
        <v>64</v>
      </c>
      <c r="CB37" s="67">
        <v>60</v>
      </c>
      <c r="CC37" s="67">
        <v>83</v>
      </c>
      <c r="CD37" s="67">
        <v>76</v>
      </c>
      <c r="CE37" s="67">
        <v>72</v>
      </c>
      <c r="CF37" s="67">
        <v>68</v>
      </c>
      <c r="CG37" s="67">
        <v>93</v>
      </c>
      <c r="CH37" s="67">
        <v>106</v>
      </c>
      <c r="CI37" s="117">
        <v>85</v>
      </c>
      <c r="CJ37" s="117">
        <v>113</v>
      </c>
      <c r="CK37" s="117">
        <v>114</v>
      </c>
      <c r="CL37" s="117">
        <v>119</v>
      </c>
      <c r="CM37" s="117">
        <v>309</v>
      </c>
      <c r="CN37" s="117">
        <v>306</v>
      </c>
      <c r="CO37" s="117">
        <v>167</v>
      </c>
      <c r="CP37" s="117">
        <v>175</v>
      </c>
      <c r="CQ37" s="117">
        <v>357</v>
      </c>
      <c r="CR37" s="117">
        <v>346</v>
      </c>
      <c r="CS37" s="117">
        <v>281</v>
      </c>
      <c r="CT37" s="117">
        <v>361</v>
      </c>
      <c r="CU37" s="117">
        <v>340</v>
      </c>
      <c r="CV37" s="117">
        <f t="shared" si="103"/>
        <v>340</v>
      </c>
      <c r="CW37" s="117">
        <f t="shared" si="103"/>
        <v>340</v>
      </c>
      <c r="CX37" s="117">
        <f t="shared" si="103"/>
        <v>340</v>
      </c>
      <c r="CY37" s="117"/>
      <c r="CZ37" s="67"/>
      <c r="DA37" s="67"/>
      <c r="DB37" s="67"/>
      <c r="DC37" s="67"/>
      <c r="DD37" s="67"/>
      <c r="DE37" s="67"/>
      <c r="DF37" s="67"/>
      <c r="DG37" s="67"/>
      <c r="DH37" s="67"/>
      <c r="DI37" s="67"/>
      <c r="DJ37" s="67"/>
      <c r="DK37" s="67"/>
      <c r="DL37" s="67"/>
      <c r="DM37" s="67"/>
      <c r="DN37" s="67"/>
      <c r="DO37" s="67"/>
      <c r="DP37" s="67"/>
      <c r="DQ37" s="67"/>
      <c r="DR37" s="67">
        <f t="shared" si="5"/>
        <v>254</v>
      </c>
      <c r="DS37" s="67">
        <f t="shared" si="45"/>
        <v>298</v>
      </c>
      <c r="DT37" s="67">
        <f>SUM(BW37:BZ37)</f>
        <v>312</v>
      </c>
      <c r="DU37" s="67">
        <f t="shared" si="47"/>
        <v>283</v>
      </c>
      <c r="DV37" s="67">
        <f t="shared" si="48"/>
        <v>339</v>
      </c>
      <c r="DW37" s="67">
        <f t="shared" si="49"/>
        <v>431</v>
      </c>
      <c r="DX37" s="67">
        <f>SUM(CM37:CP37)</f>
        <v>957</v>
      </c>
      <c r="DY37" s="67">
        <f t="shared" si="104"/>
        <v>1345</v>
      </c>
      <c r="DZ37" s="67">
        <f t="shared" si="105"/>
        <v>1360</v>
      </c>
      <c r="EA37" s="67">
        <f t="shared" ref="EA37:EJ37" si="107">+DZ37*0.9</f>
        <v>1224</v>
      </c>
      <c r="EB37" s="67">
        <f t="shared" si="107"/>
        <v>1101.6000000000001</v>
      </c>
      <c r="EC37" s="67">
        <f t="shared" si="107"/>
        <v>991.44000000000017</v>
      </c>
      <c r="ED37" s="67">
        <f t="shared" si="107"/>
        <v>892.29600000000016</v>
      </c>
      <c r="EE37" s="67">
        <f t="shared" si="107"/>
        <v>803.06640000000016</v>
      </c>
      <c r="EF37" s="67">
        <f t="shared" si="107"/>
        <v>722.75976000000014</v>
      </c>
      <c r="EG37" s="67">
        <f t="shared" si="107"/>
        <v>650.48378400000013</v>
      </c>
      <c r="EH37" s="67">
        <f t="shared" si="107"/>
        <v>585.43540560000008</v>
      </c>
      <c r="EI37" s="67">
        <f t="shared" si="107"/>
        <v>526.89186504000008</v>
      </c>
      <c r="EJ37" s="67">
        <f t="shared" si="107"/>
        <v>474.20267853600006</v>
      </c>
    </row>
    <row r="38" spans="2:140" s="26" customFormat="1">
      <c r="B38" s="97" t="s">
        <v>1224</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67"/>
      <c r="CI38" s="117"/>
      <c r="CJ38" s="117"/>
      <c r="CK38" s="117">
        <v>0</v>
      </c>
      <c r="CL38" s="117">
        <v>21</v>
      </c>
      <c r="CM38" s="117">
        <v>23</v>
      </c>
      <c r="CN38" s="117">
        <v>30</v>
      </c>
      <c r="CO38" s="117">
        <v>37</v>
      </c>
      <c r="CP38" s="117">
        <v>44</v>
      </c>
      <c r="CQ38" s="117">
        <v>51</v>
      </c>
      <c r="CR38" s="117">
        <v>71</v>
      </c>
      <c r="CS38" s="117">
        <v>80</v>
      </c>
      <c r="CT38" s="117">
        <v>81</v>
      </c>
      <c r="CU38" s="117">
        <v>90</v>
      </c>
      <c r="CV38" s="117">
        <f t="shared" ref="CV38:CX38" si="108">+CU38+7</f>
        <v>97</v>
      </c>
      <c r="CW38" s="117">
        <f t="shared" si="108"/>
        <v>104</v>
      </c>
      <c r="CX38" s="117">
        <f t="shared" si="108"/>
        <v>111</v>
      </c>
      <c r="CY38" s="11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f t="shared" si="49"/>
        <v>21</v>
      </c>
      <c r="DX38" s="67">
        <f>SUM(CM38:CP38)</f>
        <v>134</v>
      </c>
      <c r="DY38" s="67">
        <f t="shared" ref="DY38" si="109">SUM(CQ38:CT38)</f>
        <v>283</v>
      </c>
      <c r="DZ38" s="67">
        <f t="shared" ref="DZ38" si="110">SUM(CU38:CX38)</f>
        <v>402</v>
      </c>
      <c r="EA38" s="67">
        <f>+DZ38*1.5</f>
        <v>603</v>
      </c>
      <c r="EB38" s="67">
        <f>+EA38*1.01</f>
        <v>609.03</v>
      </c>
      <c r="EC38" s="67">
        <f t="shared" ref="EC38:EI38" si="111">+EB38*1.01</f>
        <v>615.12029999999993</v>
      </c>
      <c r="ED38" s="67">
        <f t="shared" si="111"/>
        <v>621.27150299999994</v>
      </c>
      <c r="EE38" s="67">
        <f t="shared" si="111"/>
        <v>627.48421802999997</v>
      </c>
      <c r="EF38" s="67">
        <f t="shared" si="111"/>
        <v>633.75906021029994</v>
      </c>
      <c r="EG38" s="67">
        <f t="shared" si="111"/>
        <v>640.09665081240291</v>
      </c>
      <c r="EH38" s="67">
        <f t="shared" si="111"/>
        <v>646.49761732052696</v>
      </c>
      <c r="EI38" s="67">
        <f t="shared" si="111"/>
        <v>652.96259349373224</v>
      </c>
      <c r="EJ38" s="26">
        <f>+EI38*0.1</f>
        <v>65.29625934937323</v>
      </c>
    </row>
    <row r="39" spans="2:140" s="26" customFormat="1">
      <c r="B39" s="97" t="s">
        <v>1534</v>
      </c>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17"/>
      <c r="CW39" s="117"/>
      <c r="CX39" s="117"/>
      <c r="CY39" s="117"/>
      <c r="CZ39" s="67"/>
      <c r="DA39" s="67"/>
      <c r="DB39" s="67"/>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v>500</v>
      </c>
      <c r="EC39" s="67">
        <v>1500</v>
      </c>
      <c r="ED39" s="67">
        <v>3000</v>
      </c>
      <c r="EE39" s="67">
        <v>4000</v>
      </c>
      <c r="EF39" s="67">
        <v>5000</v>
      </c>
      <c r="EG39" s="67">
        <f>+EF39*1.1</f>
        <v>5500</v>
      </c>
      <c r="EH39" s="67">
        <f>+EG39*1.1</f>
        <v>6050.0000000000009</v>
      </c>
      <c r="EI39" s="67">
        <f>+EH39*1.1</f>
        <v>6655.0000000000018</v>
      </c>
      <c r="EJ39" s="67">
        <f>+EI39*1.1</f>
        <v>7320.5000000000027</v>
      </c>
    </row>
    <row r="40" spans="2:140" s="26" customFormat="1">
      <c r="B40" s="97" t="s">
        <v>1535</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17"/>
      <c r="CW40" s="117"/>
      <c r="CX40" s="117"/>
      <c r="CY40" s="11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v>1000</v>
      </c>
      <c r="EF40" s="67">
        <f>+EE40*1.1</f>
        <v>1100</v>
      </c>
      <c r="EG40" s="67">
        <f>+EF40*1.1</f>
        <v>1210</v>
      </c>
      <c r="EH40" s="67">
        <f t="shared" ref="EH40:EJ40" si="112">+EG40*1.1</f>
        <v>1331</v>
      </c>
      <c r="EI40" s="67">
        <f t="shared" si="112"/>
        <v>1464.1000000000001</v>
      </c>
      <c r="EJ40" s="67">
        <f t="shared" si="112"/>
        <v>1610.5100000000002</v>
      </c>
    </row>
    <row r="41" spans="2:140" s="26" customFormat="1">
      <c r="B41" s="26" t="s">
        <v>98</v>
      </c>
      <c r="C41" s="67">
        <f t="shared" ref="C41:S41" si="113">C3+C4+C6+C7+C8+C15+C16</f>
        <v>797</v>
      </c>
      <c r="D41" s="67">
        <f t="shared" si="113"/>
        <v>858</v>
      </c>
      <c r="E41" s="67">
        <f t="shared" si="113"/>
        <v>903</v>
      </c>
      <c r="F41" s="67">
        <f t="shared" si="113"/>
        <v>962</v>
      </c>
      <c r="G41" s="67">
        <f t="shared" si="113"/>
        <v>908.60000000000014</v>
      </c>
      <c r="H41" s="67">
        <f t="shared" si="113"/>
        <v>1115</v>
      </c>
      <c r="I41" s="67">
        <f t="shared" si="113"/>
        <v>1345.8</v>
      </c>
      <c r="J41" s="67">
        <f t="shared" si="113"/>
        <v>1621.6000000000001</v>
      </c>
      <c r="K41" s="67">
        <f t="shared" si="113"/>
        <v>1636</v>
      </c>
      <c r="L41" s="67">
        <f t="shared" si="113"/>
        <v>1916.5</v>
      </c>
      <c r="M41" s="67">
        <f t="shared" si="113"/>
        <v>2078.1999999999998</v>
      </c>
      <c r="N41" s="67">
        <f t="shared" si="113"/>
        <v>2238</v>
      </c>
      <c r="O41" s="67">
        <f t="shared" si="113"/>
        <v>2207.6999999999998</v>
      </c>
      <c r="P41" s="67">
        <f t="shared" si="113"/>
        <v>2430.6999999999998</v>
      </c>
      <c r="Q41" s="67">
        <f t="shared" si="113"/>
        <v>2560</v>
      </c>
      <c r="R41" s="67">
        <f t="shared" si="113"/>
        <v>2778</v>
      </c>
      <c r="S41" s="67">
        <f t="shared" si="113"/>
        <v>2735</v>
      </c>
      <c r="T41" s="67">
        <f t="shared" ref="T41:AL41" si="114">T3+T4+T6+T7+T8+T15+T16+T18</f>
        <v>3072</v>
      </c>
      <c r="U41" s="67">
        <f t="shared" si="114"/>
        <v>3047</v>
      </c>
      <c r="V41" s="67">
        <f t="shared" si="114"/>
        <v>3168</v>
      </c>
      <c r="W41" s="67">
        <f t="shared" si="114"/>
        <v>3127</v>
      </c>
      <c r="X41" s="67">
        <f t="shared" si="114"/>
        <v>3491</v>
      </c>
      <c r="Y41" s="67">
        <f t="shared" si="114"/>
        <v>3503</v>
      </c>
      <c r="Z41" s="67">
        <f t="shared" si="114"/>
        <v>3737</v>
      </c>
      <c r="AA41" s="67">
        <f t="shared" si="114"/>
        <v>3565</v>
      </c>
      <c r="AB41" s="67">
        <f t="shared" si="114"/>
        <v>3604</v>
      </c>
      <c r="AC41" s="67">
        <f t="shared" si="114"/>
        <v>3524</v>
      </c>
      <c r="AD41" s="67">
        <f t="shared" si="114"/>
        <v>3618</v>
      </c>
      <c r="AE41" s="67">
        <f t="shared" si="114"/>
        <v>3537</v>
      </c>
      <c r="AF41" s="67">
        <f t="shared" si="114"/>
        <v>3692</v>
      </c>
      <c r="AG41" s="67">
        <f t="shared" si="114"/>
        <v>3784</v>
      </c>
      <c r="AH41" s="67">
        <f t="shared" si="114"/>
        <v>3674</v>
      </c>
      <c r="AI41" s="67">
        <f t="shared" si="114"/>
        <v>3238</v>
      </c>
      <c r="AJ41" s="67">
        <f t="shared" si="114"/>
        <v>3634</v>
      </c>
      <c r="AK41" s="67">
        <f t="shared" si="114"/>
        <v>3736</v>
      </c>
      <c r="AL41" s="67">
        <f t="shared" si="114"/>
        <v>3743</v>
      </c>
      <c r="AM41" s="67">
        <f>AM3+AM4+AM6+AM7+AM8+AM15+AM16+AM18+AM29</f>
        <v>3528</v>
      </c>
      <c r="AN41" s="67">
        <f>AN3+AN4+AN6+AN7+AN8+AN15+AN16+AN18+AN29+AN19</f>
        <v>3613</v>
      </c>
      <c r="AO41" s="67">
        <f>AO3+AO4+AO6+AO7+AO8+AO15+AO16+AO18+AO29+AO19</f>
        <v>3759</v>
      </c>
      <c r="AP41" s="67"/>
      <c r="AQ41" s="67"/>
      <c r="AR41" s="67"/>
      <c r="AS41" s="67"/>
      <c r="AT41" s="67"/>
      <c r="AU41" s="67"/>
      <c r="AV41" s="67"/>
      <c r="AW41" s="67"/>
      <c r="AX41" s="67"/>
      <c r="AY41" s="67"/>
      <c r="AZ41" s="67"/>
      <c r="BA41" s="67"/>
      <c r="BB41" s="67"/>
      <c r="BC41" s="67"/>
      <c r="BD41" s="67"/>
      <c r="BE41" s="67"/>
      <c r="BF41" s="67"/>
      <c r="BG41" s="67"/>
      <c r="BH41" s="67"/>
      <c r="BI41" s="67"/>
      <c r="BJ41" s="134"/>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117"/>
      <c r="CJ41" s="117"/>
      <c r="CK41" s="117"/>
      <c r="CL41" s="117"/>
      <c r="CM41" s="117"/>
      <c r="CN41" s="117"/>
      <c r="CO41" s="117"/>
      <c r="CP41" s="117"/>
      <c r="CQ41" s="117"/>
      <c r="CR41" s="117"/>
      <c r="CS41" s="117"/>
      <c r="CT41" s="117"/>
      <c r="CU41" s="117"/>
      <c r="CV41" s="117"/>
      <c r="CW41" s="117"/>
      <c r="CX41" s="117"/>
      <c r="CY41" s="117"/>
      <c r="CZ41" s="67"/>
      <c r="DA41" s="67">
        <f t="shared" ref="DA41:DH41" si="115">DA3+DA4+DA6+DA7+DA8+DA15+DA16+DA18</f>
        <v>3186.4</v>
      </c>
      <c r="DB41" s="67">
        <f t="shared" si="115"/>
        <v>3497.1</v>
      </c>
      <c r="DC41" s="67">
        <f t="shared" si="115"/>
        <v>4880.6000000000004</v>
      </c>
      <c r="DD41" s="74">
        <f t="shared" si="115"/>
        <v>7867.5</v>
      </c>
      <c r="DE41" s="74">
        <f t="shared" si="115"/>
        <v>9977.253999999999</v>
      </c>
      <c r="DF41" s="74">
        <f t="shared" si="115"/>
        <v>12022</v>
      </c>
      <c r="DG41" s="67">
        <f t="shared" si="115"/>
        <v>13858</v>
      </c>
      <c r="DH41" s="67">
        <f t="shared" si="115"/>
        <v>14311</v>
      </c>
      <c r="DI41" s="67">
        <f>DI3+DI4+DI6+DI7+DI8+DI15+DI16+DI18+DI19+DI29</f>
        <v>14687</v>
      </c>
      <c r="DJ41" s="67">
        <f t="shared" ref="DJ41:DS41" si="116">SUM(DJ5:DJ29)</f>
        <v>14351</v>
      </c>
      <c r="DK41" s="67">
        <f t="shared" si="116"/>
        <v>14660</v>
      </c>
      <c r="DL41" s="67">
        <f t="shared" si="116"/>
        <v>15237</v>
      </c>
      <c r="DM41" s="67">
        <f t="shared" si="116"/>
        <v>13601.91</v>
      </c>
      <c r="DN41" s="67">
        <f t="shared" si="116"/>
        <v>14596.105</v>
      </c>
      <c r="DO41" s="67">
        <f t="shared" si="116"/>
        <v>13824.264499999999</v>
      </c>
      <c r="DP41" s="67">
        <f t="shared" si="116"/>
        <v>13035.644349999999</v>
      </c>
      <c r="DQ41" s="67">
        <f t="shared" si="116"/>
        <v>12989.995249999998</v>
      </c>
      <c r="DR41" s="67">
        <f t="shared" si="116"/>
        <v>18217</v>
      </c>
      <c r="DS41" s="67">
        <f t="shared" si="116"/>
        <v>19084</v>
      </c>
      <c r="DT41" s="67">
        <f>SUM(DT3:DT37)</f>
        <v>22204</v>
      </c>
      <c r="DU41" s="67">
        <f>SUM(DU3:DU37)</f>
        <v>24240</v>
      </c>
      <c r="DV41" s="67">
        <f>SUM(DV3:DV37)</f>
        <v>24297</v>
      </c>
      <c r="DW41" s="67">
        <f>SUM(DW3:DW38)</f>
        <v>24801</v>
      </c>
      <c r="DX41" s="67">
        <f>SUM(DX3:DX38)</f>
        <v>26910</v>
      </c>
      <c r="DY41" s="67">
        <f>SUM(DY3:DY38)</f>
        <v>32026</v>
      </c>
      <c r="DZ41" s="67">
        <f t="shared" ref="DZ41:EJ41" si="117">SUM(DZ3:DZ40)</f>
        <v>31877.300000000003</v>
      </c>
      <c r="EA41" s="67">
        <f t="shared" si="117"/>
        <v>31219.890000000003</v>
      </c>
      <c r="EB41" s="67">
        <f t="shared" si="117"/>
        <v>31343.064200000004</v>
      </c>
      <c r="EC41" s="67">
        <f t="shared" si="117"/>
        <v>31154.748237</v>
      </c>
      <c r="ED41" s="67">
        <f t="shared" si="117"/>
        <v>31010.905950870005</v>
      </c>
      <c r="EE41" s="67">
        <f t="shared" si="117"/>
        <v>31024.534783918702</v>
      </c>
      <c r="EF41" s="67">
        <f t="shared" si="117"/>
        <v>31407.953073384499</v>
      </c>
      <c r="EG41" s="67">
        <f t="shared" si="117"/>
        <v>31834.779040849273</v>
      </c>
      <c r="EH41" s="67">
        <f t="shared" si="117"/>
        <v>32661.147369924911</v>
      </c>
      <c r="EI41" s="67">
        <f t="shared" si="117"/>
        <v>33766.211491247472</v>
      </c>
      <c r="EJ41" s="67">
        <f t="shared" si="117"/>
        <v>26960.960524315182</v>
      </c>
    </row>
    <row r="42" spans="2:140" s="26" customFormat="1">
      <c r="B42" s="26" t="s">
        <v>448</v>
      </c>
      <c r="C42" s="67">
        <f>3+31.5+68.4</f>
        <v>102.9</v>
      </c>
      <c r="D42" s="67">
        <f>16+54+80</f>
        <v>150</v>
      </c>
      <c r="E42" s="67">
        <f>60.6+62.9+90.7+89.5</f>
        <v>303.7</v>
      </c>
      <c r="F42" s="67"/>
      <c r="G42" s="67">
        <f>31.5+68.4</f>
        <v>99.9</v>
      </c>
      <c r="H42" s="67">
        <f>80+53.9</f>
        <v>133.9</v>
      </c>
      <c r="I42" s="67">
        <f>62.8+90.7</f>
        <v>153.5</v>
      </c>
      <c r="J42" s="67">
        <f>92.4+52.1</f>
        <v>144.5</v>
      </c>
      <c r="K42" s="67">
        <v>125.3</v>
      </c>
      <c r="L42" s="67">
        <v>124.6</v>
      </c>
      <c r="M42" s="67">
        <v>130</v>
      </c>
      <c r="N42" s="67">
        <f>99.3+9.3</f>
        <v>108.6</v>
      </c>
      <c r="O42" s="67">
        <f>13+122.2</f>
        <v>135.19999999999999</v>
      </c>
      <c r="P42" s="67">
        <f>18+135.9</f>
        <v>153.9</v>
      </c>
      <c r="Q42" s="67">
        <f>19+134</f>
        <v>153</v>
      </c>
      <c r="R42" s="67">
        <v>131</v>
      </c>
      <c r="S42" s="67">
        <v>98</v>
      </c>
      <c r="T42" s="67">
        <v>100</v>
      </c>
      <c r="U42" s="67">
        <v>107</v>
      </c>
      <c r="V42" s="67">
        <v>103</v>
      </c>
      <c r="W42" s="67">
        <v>90</v>
      </c>
      <c r="X42" s="67">
        <v>113</v>
      </c>
      <c r="Y42" s="67">
        <v>109</v>
      </c>
      <c r="Z42" s="67">
        <v>98</v>
      </c>
      <c r="AA42" s="67">
        <v>122</v>
      </c>
      <c r="AB42" s="67">
        <v>124</v>
      </c>
      <c r="AC42" s="67">
        <v>87</v>
      </c>
      <c r="AD42" s="67">
        <v>127</v>
      </c>
      <c r="AE42" s="67">
        <v>76</v>
      </c>
      <c r="AF42" s="67">
        <v>72</v>
      </c>
      <c r="AG42" s="67">
        <v>91</v>
      </c>
      <c r="AH42" s="67">
        <v>77</v>
      </c>
      <c r="AI42" s="67">
        <v>70</v>
      </c>
      <c r="AJ42" s="67">
        <v>79</v>
      </c>
      <c r="AK42" s="67">
        <v>76</v>
      </c>
      <c r="AL42" s="67">
        <v>66</v>
      </c>
      <c r="AM42" s="67">
        <v>64</v>
      </c>
      <c r="AN42" s="67">
        <v>191</v>
      </c>
      <c r="AO42" s="67">
        <v>57</v>
      </c>
      <c r="AP42" s="67">
        <v>81</v>
      </c>
      <c r="AQ42" s="67">
        <v>88</v>
      </c>
      <c r="AR42" s="67">
        <v>66</v>
      </c>
      <c r="AS42" s="67">
        <v>67</v>
      </c>
      <c r="AT42" s="67">
        <v>66</v>
      </c>
      <c r="AU42" s="67">
        <v>147</v>
      </c>
      <c r="AV42" s="67">
        <v>277</v>
      </c>
      <c r="AW42" s="67">
        <v>118</v>
      </c>
      <c r="AX42" s="67">
        <v>84</v>
      </c>
      <c r="AY42" s="67">
        <v>87</v>
      </c>
      <c r="AZ42" s="67">
        <v>84</v>
      </c>
      <c r="BA42" s="67">
        <v>101</v>
      </c>
      <c r="BB42" s="67">
        <v>212</v>
      </c>
      <c r="BC42" s="67">
        <v>165</v>
      </c>
      <c r="BD42" s="67">
        <v>231</v>
      </c>
      <c r="BE42" s="67">
        <v>183</v>
      </c>
      <c r="BF42" s="67">
        <v>157</v>
      </c>
      <c r="BG42" s="67">
        <v>159</v>
      </c>
      <c r="BH42" s="67">
        <v>145</v>
      </c>
      <c r="BI42" s="67">
        <v>207</v>
      </c>
      <c r="BJ42" s="67">
        <v>207</v>
      </c>
      <c r="BK42" s="67">
        <v>288</v>
      </c>
      <c r="BL42" s="67">
        <v>214</v>
      </c>
      <c r="BM42" s="67">
        <v>295</v>
      </c>
      <c r="BN42" s="67">
        <v>302</v>
      </c>
      <c r="BO42" s="67">
        <v>265</v>
      </c>
      <c r="BP42" s="67">
        <v>236</v>
      </c>
      <c r="BQ42" s="67">
        <v>320</v>
      </c>
      <c r="BR42" s="67">
        <v>233</v>
      </c>
      <c r="BS42" s="67">
        <v>211</v>
      </c>
      <c r="BT42" s="67">
        <v>380</v>
      </c>
      <c r="BU42" s="67">
        <v>394</v>
      </c>
      <c r="BV42" s="67">
        <v>229</v>
      </c>
      <c r="BW42" s="67">
        <v>271</v>
      </c>
      <c r="BX42" s="67">
        <v>297</v>
      </c>
      <c r="BY42" s="67">
        <v>274</v>
      </c>
      <c r="BZ42" s="67">
        <v>316</v>
      </c>
      <c r="CA42" s="67">
        <v>267</v>
      </c>
      <c r="CB42" s="67">
        <v>298</v>
      </c>
      <c r="CC42" s="67">
        <v>319</v>
      </c>
      <c r="CD42" s="67">
        <v>300</v>
      </c>
      <c r="CE42" s="67">
        <v>309</v>
      </c>
      <c r="CF42" s="67">
        <v>412</v>
      </c>
      <c r="CG42" s="67">
        <v>386</v>
      </c>
      <c r="CH42" s="67">
        <v>575</v>
      </c>
      <c r="CI42" s="117">
        <v>507</v>
      </c>
      <c r="CJ42" s="117">
        <v>313</v>
      </c>
      <c r="CK42" s="117">
        <v>415</v>
      </c>
      <c r="CL42" s="117">
        <v>287</v>
      </c>
      <c r="CM42" s="117">
        <v>259</v>
      </c>
      <c r="CN42" s="117">
        <v>303</v>
      </c>
      <c r="CO42" s="117">
        <v>355</v>
      </c>
      <c r="CP42" s="117">
        <v>363</v>
      </c>
      <c r="CQ42" s="118">
        <v>329</v>
      </c>
      <c r="CR42" s="117">
        <v>347</v>
      </c>
      <c r="CS42" s="117">
        <v>352</v>
      </c>
      <c r="CT42" s="117">
        <v>370</v>
      </c>
      <c r="CU42" s="117">
        <v>276</v>
      </c>
      <c r="CV42" s="117">
        <f>+CR42</f>
        <v>347</v>
      </c>
      <c r="CW42" s="117">
        <f>+CS42</f>
        <v>352</v>
      </c>
      <c r="CX42" s="117">
        <f>+CT42</f>
        <v>370</v>
      </c>
      <c r="CY42" s="117"/>
      <c r="CZ42" s="67"/>
      <c r="DA42" s="67">
        <v>427</v>
      </c>
      <c r="DB42" s="67">
        <v>505</v>
      </c>
      <c r="DC42" s="67">
        <v>532</v>
      </c>
      <c r="DD42" s="67">
        <v>488</v>
      </c>
      <c r="DE42" s="67">
        <v>573.1</v>
      </c>
      <c r="DF42" s="67">
        <f>SUM(S42:V42)</f>
        <v>408</v>
      </c>
      <c r="DG42" s="67">
        <f>SUM(W42:Z42)</f>
        <v>410</v>
      </c>
      <c r="DH42" s="67">
        <f>SUM(AA42:AD42)</f>
        <v>460</v>
      </c>
      <c r="DI42" s="67">
        <f>SUM(AE42:AH42)</f>
        <v>316</v>
      </c>
      <c r="DJ42" s="67">
        <f>SUM(AI42:AL42)</f>
        <v>291</v>
      </c>
      <c r="DK42" s="67">
        <f>SUM(AM42:AP42)</f>
        <v>393</v>
      </c>
      <c r="DL42" s="67">
        <f>SUM(AQ42:AT42)</f>
        <v>287</v>
      </c>
      <c r="DM42" s="67"/>
      <c r="DN42" s="67"/>
      <c r="DO42" s="67"/>
      <c r="DP42" s="67"/>
      <c r="DQ42" s="67"/>
      <c r="DR42" s="67">
        <f t="shared" si="5"/>
        <v>1054</v>
      </c>
      <c r="DS42" s="67">
        <f>SUM(BS42:BV42)</f>
        <v>1214</v>
      </c>
      <c r="DT42" s="67">
        <f>SUM(BW42:BZ42)</f>
        <v>1158</v>
      </c>
      <c r="DU42" s="67">
        <f>SUM(CA42:CD42)</f>
        <v>1184</v>
      </c>
      <c r="DV42" s="67">
        <f>SUM(CE42:CH42)</f>
        <v>1682</v>
      </c>
      <c r="DW42" s="67">
        <f>SUM(CI42:CL42)</f>
        <v>1522</v>
      </c>
      <c r="DX42" s="67">
        <f>SUM(CM42:CP42)</f>
        <v>1280</v>
      </c>
      <c r="DY42" s="67">
        <f t="shared" ref="DY42" si="118">SUM(CQ42:CT42)</f>
        <v>1398</v>
      </c>
      <c r="DZ42" s="67">
        <f t="shared" ref="DZ42" si="119">SUM(CU42:CX42)</f>
        <v>1345</v>
      </c>
      <c r="EA42" s="67">
        <f t="shared" ref="EA42:EJ42" si="120">+DZ42*0.9</f>
        <v>1210.5</v>
      </c>
      <c r="EB42" s="67">
        <f t="shared" si="120"/>
        <v>1089.45</v>
      </c>
      <c r="EC42" s="67">
        <f t="shared" si="120"/>
        <v>980.50500000000011</v>
      </c>
      <c r="ED42" s="67">
        <f t="shared" si="120"/>
        <v>882.45450000000017</v>
      </c>
      <c r="EE42" s="67">
        <f t="shared" si="120"/>
        <v>794.20905000000016</v>
      </c>
      <c r="EF42" s="67">
        <f t="shared" si="120"/>
        <v>714.78814500000021</v>
      </c>
      <c r="EG42" s="67">
        <f t="shared" si="120"/>
        <v>643.30933050000021</v>
      </c>
      <c r="EH42" s="67">
        <f t="shared" si="120"/>
        <v>578.97839745000022</v>
      </c>
      <c r="EI42" s="67">
        <f t="shared" si="120"/>
        <v>521.08055770500016</v>
      </c>
      <c r="EJ42" s="67">
        <f t="shared" si="120"/>
        <v>468.97250193450014</v>
      </c>
    </row>
    <row r="43" spans="2:140" s="15" customFormat="1">
      <c r="B43" s="32" t="s">
        <v>442</v>
      </c>
      <c r="C43" s="75">
        <f t="shared" ref="C43:J43" si="121">SUM(C41:C42)</f>
        <v>899.9</v>
      </c>
      <c r="D43" s="75">
        <f t="shared" si="121"/>
        <v>1008</v>
      </c>
      <c r="E43" s="75">
        <f t="shared" si="121"/>
        <v>1206.7</v>
      </c>
      <c r="F43" s="75">
        <f t="shared" si="121"/>
        <v>962</v>
      </c>
      <c r="G43" s="75">
        <f t="shared" si="121"/>
        <v>1008.5000000000001</v>
      </c>
      <c r="H43" s="75">
        <f t="shared" si="121"/>
        <v>1248.9000000000001</v>
      </c>
      <c r="I43" s="75">
        <f t="shared" si="121"/>
        <v>1499.3</v>
      </c>
      <c r="J43" s="75">
        <f t="shared" si="121"/>
        <v>1766.1000000000001</v>
      </c>
      <c r="K43" s="75">
        <f t="shared" ref="K43:S43" si="122">SUM(K41:K42)</f>
        <v>1761.3</v>
      </c>
      <c r="L43" s="75">
        <f t="shared" si="122"/>
        <v>2041.1</v>
      </c>
      <c r="M43" s="75">
        <f>SUM(M41:M42)</f>
        <v>2208.1999999999998</v>
      </c>
      <c r="N43" s="75">
        <f>SUM(N41:N42)</f>
        <v>2346.6</v>
      </c>
      <c r="O43" s="75">
        <f t="shared" si="122"/>
        <v>2342.8999999999996</v>
      </c>
      <c r="P43" s="75">
        <f t="shared" si="122"/>
        <v>2584.6</v>
      </c>
      <c r="Q43" s="75">
        <f t="shared" si="122"/>
        <v>2713</v>
      </c>
      <c r="R43" s="75">
        <f t="shared" si="122"/>
        <v>2909</v>
      </c>
      <c r="S43" s="75">
        <f t="shared" si="122"/>
        <v>2833</v>
      </c>
      <c r="T43" s="75">
        <f>SUM(T41,T42)</f>
        <v>3172</v>
      </c>
      <c r="U43" s="75">
        <f>SUM(U41,U42)</f>
        <v>3154</v>
      </c>
      <c r="V43" s="75">
        <f>SUM(V41,V42)</f>
        <v>3271</v>
      </c>
      <c r="W43" s="75">
        <f t="shared" ref="W43:AD43" si="123">SUM(W41:W42)</f>
        <v>3217</v>
      </c>
      <c r="X43" s="75">
        <f t="shared" si="123"/>
        <v>3604</v>
      </c>
      <c r="Y43" s="75">
        <f t="shared" si="123"/>
        <v>3612</v>
      </c>
      <c r="Z43" s="75">
        <f t="shared" si="123"/>
        <v>3835</v>
      </c>
      <c r="AA43" s="75">
        <f t="shared" si="123"/>
        <v>3687</v>
      </c>
      <c r="AB43" s="75">
        <f t="shared" si="123"/>
        <v>3728</v>
      </c>
      <c r="AC43" s="75">
        <f t="shared" si="123"/>
        <v>3611</v>
      </c>
      <c r="AD43" s="75">
        <f t="shared" si="123"/>
        <v>3745</v>
      </c>
      <c r="AE43" s="75">
        <f t="shared" ref="AE43:AN43" si="124">SUM(AE41:AE42)</f>
        <v>3613</v>
      </c>
      <c r="AF43" s="75">
        <f t="shared" si="124"/>
        <v>3764</v>
      </c>
      <c r="AG43" s="75">
        <f t="shared" si="124"/>
        <v>3875</v>
      </c>
      <c r="AH43" s="75">
        <f t="shared" si="124"/>
        <v>3751</v>
      </c>
      <c r="AI43" s="75">
        <f t="shared" si="124"/>
        <v>3308</v>
      </c>
      <c r="AJ43" s="75">
        <f t="shared" si="124"/>
        <v>3713</v>
      </c>
      <c r="AK43" s="75">
        <f t="shared" si="124"/>
        <v>3812</v>
      </c>
      <c r="AL43" s="75">
        <f t="shared" si="124"/>
        <v>3809</v>
      </c>
      <c r="AM43" s="75">
        <f t="shared" si="124"/>
        <v>3592</v>
      </c>
      <c r="AN43" s="75">
        <f t="shared" si="124"/>
        <v>3804</v>
      </c>
      <c r="AO43" s="75">
        <f>SUM(AO41:AO42)</f>
        <v>3816</v>
      </c>
      <c r="AP43" s="75">
        <f t="shared" ref="AP43:BU43" si="125">SUM(AP3:AP42)</f>
        <v>3841</v>
      </c>
      <c r="AQ43" s="75">
        <f t="shared" si="125"/>
        <v>3706</v>
      </c>
      <c r="AR43" s="75">
        <f t="shared" si="125"/>
        <v>3959</v>
      </c>
      <c r="AS43" s="75">
        <f t="shared" si="125"/>
        <v>3944</v>
      </c>
      <c r="AT43" s="75">
        <f t="shared" si="125"/>
        <v>3973</v>
      </c>
      <c r="AU43" s="75">
        <f t="shared" si="125"/>
        <v>4048</v>
      </c>
      <c r="AV43" s="75">
        <f t="shared" si="125"/>
        <v>4477</v>
      </c>
      <c r="AW43" s="75">
        <f t="shared" si="125"/>
        <v>4319</v>
      </c>
      <c r="AX43" s="75">
        <f t="shared" si="125"/>
        <v>4421</v>
      </c>
      <c r="AY43" s="75">
        <f t="shared" si="125"/>
        <v>4238</v>
      </c>
      <c r="AZ43" s="75">
        <f t="shared" si="125"/>
        <v>4679</v>
      </c>
      <c r="BA43" s="75">
        <f t="shared" si="125"/>
        <v>4748</v>
      </c>
      <c r="BB43" s="75">
        <f t="shared" si="125"/>
        <v>5011</v>
      </c>
      <c r="BC43" s="75">
        <f t="shared" si="125"/>
        <v>4521</v>
      </c>
      <c r="BD43" s="75">
        <f t="shared" si="125"/>
        <v>5180</v>
      </c>
      <c r="BE43" s="75">
        <f t="shared" si="125"/>
        <v>5031</v>
      </c>
      <c r="BF43" s="75">
        <f t="shared" si="125"/>
        <v>5331</v>
      </c>
      <c r="BG43" s="75">
        <f t="shared" si="125"/>
        <v>5033</v>
      </c>
      <c r="BH43" s="75">
        <f t="shared" si="125"/>
        <v>5370</v>
      </c>
      <c r="BI43" s="75">
        <f t="shared" si="125"/>
        <v>5723</v>
      </c>
      <c r="BJ43" s="75">
        <f t="shared" si="125"/>
        <v>5536</v>
      </c>
      <c r="BK43" s="75">
        <f t="shared" si="125"/>
        <v>5527</v>
      </c>
      <c r="BL43" s="75">
        <f t="shared" si="125"/>
        <v>5688</v>
      </c>
      <c r="BM43" s="75">
        <f t="shared" si="125"/>
        <v>5811</v>
      </c>
      <c r="BN43" s="75">
        <f t="shared" si="125"/>
        <v>5965</v>
      </c>
      <c r="BO43" s="75">
        <f t="shared" si="125"/>
        <v>5464</v>
      </c>
      <c r="BP43" s="75">
        <f t="shared" si="125"/>
        <v>5810</v>
      </c>
      <c r="BQ43" s="75">
        <f t="shared" si="125"/>
        <v>5773</v>
      </c>
      <c r="BR43" s="75">
        <f t="shared" si="125"/>
        <v>5802</v>
      </c>
      <c r="BS43" s="75">
        <f t="shared" si="125"/>
        <v>5554</v>
      </c>
      <c r="BT43" s="75">
        <f t="shared" si="125"/>
        <v>6059</v>
      </c>
      <c r="BU43" s="75">
        <f t="shared" si="125"/>
        <v>5904</v>
      </c>
      <c r="BV43" s="75">
        <f t="shared" ref="BV43:DA43" si="126">SUM(BV3:BV42)</f>
        <v>6230</v>
      </c>
      <c r="BW43" s="75">
        <f t="shared" si="126"/>
        <v>5557</v>
      </c>
      <c r="BX43" s="75">
        <f t="shared" si="126"/>
        <v>5871</v>
      </c>
      <c r="BY43" s="75">
        <f t="shared" si="126"/>
        <v>5737</v>
      </c>
      <c r="BZ43" s="75">
        <f t="shared" si="126"/>
        <v>6197</v>
      </c>
      <c r="CA43" s="75">
        <f t="shared" si="126"/>
        <v>6161</v>
      </c>
      <c r="CB43" s="75">
        <f t="shared" si="126"/>
        <v>6206</v>
      </c>
      <c r="CC43" s="75">
        <f t="shared" si="126"/>
        <v>6423</v>
      </c>
      <c r="CD43" s="75">
        <f t="shared" si="126"/>
        <v>6634</v>
      </c>
      <c r="CE43" s="75">
        <f t="shared" si="126"/>
        <v>5901</v>
      </c>
      <c r="CF43" s="75">
        <f t="shared" si="126"/>
        <v>6526</v>
      </c>
      <c r="CG43" s="75">
        <f t="shared" si="126"/>
        <v>6706</v>
      </c>
      <c r="CH43" s="75">
        <f t="shared" si="126"/>
        <v>6846</v>
      </c>
      <c r="CI43" s="119">
        <f t="shared" si="126"/>
        <v>6238</v>
      </c>
      <c r="CJ43" s="119">
        <f t="shared" si="126"/>
        <v>6594</v>
      </c>
      <c r="CK43" s="119">
        <f t="shared" si="126"/>
        <v>6652</v>
      </c>
      <c r="CL43" s="119">
        <f t="shared" si="126"/>
        <v>6839</v>
      </c>
      <c r="CM43" s="119">
        <f t="shared" si="126"/>
        <v>6105</v>
      </c>
      <c r="CN43" s="119">
        <f t="shared" si="126"/>
        <v>6986</v>
      </c>
      <c r="CO43" s="119">
        <f t="shared" si="126"/>
        <v>6903</v>
      </c>
      <c r="CP43" s="119">
        <f t="shared" si="126"/>
        <v>8196</v>
      </c>
      <c r="CQ43" s="119">
        <f t="shared" si="126"/>
        <v>7447</v>
      </c>
      <c r="CR43" s="119">
        <f t="shared" si="126"/>
        <v>8388</v>
      </c>
      <c r="CS43" s="119">
        <f t="shared" si="126"/>
        <v>8503</v>
      </c>
      <c r="CT43" s="119">
        <f t="shared" si="126"/>
        <v>9086</v>
      </c>
      <c r="CU43" s="119">
        <f t="shared" si="126"/>
        <v>8149</v>
      </c>
      <c r="CV43" s="119">
        <f t="shared" si="126"/>
        <v>8301.7000000000007</v>
      </c>
      <c r="CW43" s="119">
        <f t="shared" si="126"/>
        <v>8369.2999999999993</v>
      </c>
      <c r="CX43" s="119">
        <f t="shared" si="126"/>
        <v>8651.2999999999993</v>
      </c>
      <c r="CY43" s="119"/>
      <c r="CZ43" s="72"/>
      <c r="DA43" s="75">
        <f t="shared" ref="DA43:DG43" si="127">DA41+DA42</f>
        <v>3613.4</v>
      </c>
      <c r="DB43" s="75">
        <f t="shared" si="127"/>
        <v>4002.1</v>
      </c>
      <c r="DC43" s="75">
        <f t="shared" si="127"/>
        <v>5412.6</v>
      </c>
      <c r="DD43" s="75">
        <f t="shared" si="127"/>
        <v>8355.5</v>
      </c>
      <c r="DE43" s="75">
        <f t="shared" si="127"/>
        <v>10550.353999999999</v>
      </c>
      <c r="DF43" s="75">
        <f t="shared" si="127"/>
        <v>12430</v>
      </c>
      <c r="DG43" s="75">
        <f t="shared" si="127"/>
        <v>14268</v>
      </c>
      <c r="DH43" s="75">
        <f>DH41+DH42</f>
        <v>14771</v>
      </c>
      <c r="DI43" s="75">
        <f>DI41+DI42</f>
        <v>15003</v>
      </c>
      <c r="DJ43" s="75">
        <f>DJ41+DJ42</f>
        <v>14642</v>
      </c>
      <c r="DK43" s="75">
        <f t="shared" ref="DK43:DP43" si="128">DK42+DK41</f>
        <v>15053</v>
      </c>
      <c r="DL43" s="75">
        <f>DL42+DL41</f>
        <v>15524</v>
      </c>
      <c r="DM43" s="75">
        <f t="shared" si="128"/>
        <v>13601.91</v>
      </c>
      <c r="DN43" s="75">
        <f t="shared" si="128"/>
        <v>14596.105</v>
      </c>
      <c r="DO43" s="75">
        <f t="shared" si="128"/>
        <v>13824.264499999999</v>
      </c>
      <c r="DP43" s="75">
        <f t="shared" si="128"/>
        <v>13035.644349999999</v>
      </c>
      <c r="DQ43" s="75">
        <f>DQ42+DQ41</f>
        <v>12989.995249999998</v>
      </c>
      <c r="DR43" s="75">
        <f>DR42+DR41</f>
        <v>19271</v>
      </c>
      <c r="DS43" s="75">
        <f>DS42+DS41</f>
        <v>20298</v>
      </c>
      <c r="DT43" s="75">
        <f>DT42+DT41</f>
        <v>23362</v>
      </c>
      <c r="DU43" s="75">
        <f t="shared" ref="DU43:EI43" si="129">DU42+DU41</f>
        <v>25424</v>
      </c>
      <c r="DV43" s="75">
        <f t="shared" si="129"/>
        <v>25979</v>
      </c>
      <c r="DW43" s="75">
        <f t="shared" si="129"/>
        <v>26323</v>
      </c>
      <c r="DX43" s="75">
        <f>DX42+DX41</f>
        <v>28190</v>
      </c>
      <c r="DY43" s="75">
        <f t="shared" si="129"/>
        <v>33424</v>
      </c>
      <c r="DZ43" s="75">
        <f t="shared" si="129"/>
        <v>33222.300000000003</v>
      </c>
      <c r="EA43" s="75">
        <f t="shared" si="129"/>
        <v>32430.390000000003</v>
      </c>
      <c r="EB43" s="75">
        <f t="shared" si="129"/>
        <v>32432.514200000005</v>
      </c>
      <c r="EC43" s="75">
        <f t="shared" si="129"/>
        <v>32135.253237000001</v>
      </c>
      <c r="ED43" s="75">
        <f t="shared" si="129"/>
        <v>31893.360450870005</v>
      </c>
      <c r="EE43" s="75">
        <f t="shared" si="129"/>
        <v>31818.743833918703</v>
      </c>
      <c r="EF43" s="75">
        <f>EF42+EF41</f>
        <v>32122.741218384497</v>
      </c>
      <c r="EG43" s="75">
        <f t="shared" si="129"/>
        <v>32478.088371349273</v>
      </c>
      <c r="EH43" s="75">
        <f t="shared" si="129"/>
        <v>33240.125767374913</v>
      </c>
      <c r="EI43" s="75">
        <f t="shared" si="129"/>
        <v>34287.292048952469</v>
      </c>
      <c r="EJ43" s="75">
        <f>EJ42+EJ41</f>
        <v>27429.933026249681</v>
      </c>
    </row>
    <row r="44" spans="2:140" s="15" customFormat="1">
      <c r="B44" s="15" t="s">
        <v>99</v>
      </c>
      <c r="C44" s="67">
        <v>103.6</v>
      </c>
      <c r="D44" s="67">
        <v>132</v>
      </c>
      <c r="E44" s="67">
        <v>200.7</v>
      </c>
      <c r="F44" s="67"/>
      <c r="G44" s="67">
        <v>103.6</v>
      </c>
      <c r="H44" s="67">
        <v>131.9</v>
      </c>
      <c r="I44" s="67">
        <v>200.7</v>
      </c>
      <c r="J44" s="67">
        <v>253.3</v>
      </c>
      <c r="K44" s="67">
        <v>278.39999999999998</v>
      </c>
      <c r="L44" s="67">
        <v>324.2</v>
      </c>
      <c r="M44" s="67">
        <v>336</v>
      </c>
      <c r="N44" s="67">
        <v>383.5</v>
      </c>
      <c r="O44" s="67">
        <v>371.5</v>
      </c>
      <c r="P44" s="67">
        <v>435</v>
      </c>
      <c r="Q44" s="67">
        <v>447</v>
      </c>
      <c r="R44" s="67">
        <v>476</v>
      </c>
      <c r="S44" s="67">
        <v>489</v>
      </c>
      <c r="T44" s="67">
        <v>530</v>
      </c>
      <c r="U44" s="67">
        <v>505</v>
      </c>
      <c r="V44" s="67">
        <v>511</v>
      </c>
      <c r="W44" s="67">
        <v>552</v>
      </c>
      <c r="X44" s="67">
        <v>492</v>
      </c>
      <c r="Y44" s="67">
        <v>485</v>
      </c>
      <c r="Z44" s="67">
        <v>551</v>
      </c>
      <c r="AA44" s="67">
        <v>559</v>
      </c>
      <c r="AB44" s="67">
        <v>546</v>
      </c>
      <c r="AC44" s="67">
        <v>585</v>
      </c>
      <c r="AD44" s="67">
        <v>565</v>
      </c>
      <c r="AE44" s="67">
        <v>542</v>
      </c>
      <c r="AF44" s="67">
        <v>512</v>
      </c>
      <c r="AG44" s="67">
        <v>590</v>
      </c>
      <c r="AH44" s="67">
        <v>549</v>
      </c>
      <c r="AI44" s="67">
        <v>474</v>
      </c>
      <c r="AJ44" s="67">
        <v>527</v>
      </c>
      <c r="AK44" s="67">
        <v>542</v>
      </c>
      <c r="AL44" s="67">
        <v>535</v>
      </c>
      <c r="AM44" s="67">
        <v>504</v>
      </c>
      <c r="AN44" s="67">
        <v>549</v>
      </c>
      <c r="AO44" s="74">
        <v>584</v>
      </c>
      <c r="AP44" s="67">
        <v>568</v>
      </c>
      <c r="AQ44" s="67">
        <v>540</v>
      </c>
      <c r="AR44" s="67">
        <v>569</v>
      </c>
      <c r="AS44" s="67">
        <v>593</v>
      </c>
      <c r="AT44" s="67">
        <v>643</v>
      </c>
      <c r="AU44" s="67">
        <v>666</v>
      </c>
      <c r="AV44" s="67">
        <v>668</v>
      </c>
      <c r="AW44" s="67">
        <v>674</v>
      </c>
      <c r="AX44" s="67">
        <v>727</v>
      </c>
      <c r="AY44" s="67">
        <v>671</v>
      </c>
      <c r="AZ44" s="67">
        <v>714</v>
      </c>
      <c r="BA44" s="67">
        <v>715</v>
      </c>
      <c r="BB44" s="67">
        <v>770</v>
      </c>
      <c r="BC44" s="67">
        <v>684</v>
      </c>
      <c r="BD44" s="67">
        <v>789</v>
      </c>
      <c r="BE44" s="67">
        <v>761</v>
      </c>
      <c r="BF44" s="67">
        <v>825</v>
      </c>
      <c r="BG44" s="67">
        <v>735</v>
      </c>
      <c r="BH44" s="67">
        <v>789</v>
      </c>
      <c r="BI44" s="67">
        <v>745</v>
      </c>
      <c r="BJ44" s="67">
        <v>764</v>
      </c>
      <c r="BK44" s="67">
        <v>707</v>
      </c>
      <c r="BL44" s="67">
        <v>1050</v>
      </c>
      <c r="BM44" s="67">
        <v>1027</v>
      </c>
      <c r="BN44" s="67">
        <v>753</v>
      </c>
      <c r="BO44" s="67">
        <v>682</v>
      </c>
      <c r="BP44" s="67">
        <v>710</v>
      </c>
      <c r="BQ44" s="67">
        <v>735</v>
      </c>
      <c r="BR44" s="67">
        <v>816</v>
      </c>
      <c r="BS44" s="67">
        <v>678</v>
      </c>
      <c r="BT44" s="67">
        <v>745</v>
      </c>
      <c r="BU44" s="67">
        <v>759</v>
      </c>
      <c r="BV44" s="67">
        <v>819</v>
      </c>
      <c r="BW44" s="67">
        <v>779</v>
      </c>
      <c r="BX44" s="67">
        <v>736</v>
      </c>
      <c r="BY44" s="67">
        <v>760</v>
      </c>
      <c r="BZ44" s="67">
        <v>790</v>
      </c>
      <c r="CA44" s="67">
        <v>771</v>
      </c>
      <c r="CB44" s="67">
        <v>758</v>
      </c>
      <c r="CC44" s="67">
        <v>874</v>
      </c>
      <c r="CD44" s="67">
        <v>959</v>
      </c>
      <c r="CE44" s="67">
        <v>867</v>
      </c>
      <c r="CF44" s="67">
        <v>1034</v>
      </c>
      <c r="CG44" s="67">
        <v>997</v>
      </c>
      <c r="CH44" s="67">
        <v>1096</v>
      </c>
      <c r="CI44" s="117">
        <v>951</v>
      </c>
      <c r="CJ44" s="117">
        <v>926</v>
      </c>
      <c r="CK44" s="117">
        <v>1003</v>
      </c>
      <c r="CL44" s="117">
        <v>1071</v>
      </c>
      <c r="CM44" s="117">
        <v>1016</v>
      </c>
      <c r="CN44" s="117">
        <v>1142</v>
      </c>
      <c r="CO44" s="117">
        <v>1137</v>
      </c>
      <c r="CP44" s="117">
        <v>1278</v>
      </c>
      <c r="CQ44" s="117">
        <v>1340</v>
      </c>
      <c r="CR44" s="117">
        <v>1406</v>
      </c>
      <c r="CS44" s="117">
        <v>1454</v>
      </c>
      <c r="CT44" s="117">
        <v>1536</v>
      </c>
      <c r="CU44" s="117">
        <v>1420</v>
      </c>
      <c r="CV44" s="117">
        <f t="shared" ref="CV44:CW44" si="130">+CV43-CV45</f>
        <v>1411.2890000000007</v>
      </c>
      <c r="CW44" s="117">
        <f t="shared" si="130"/>
        <v>1422.7809999999999</v>
      </c>
      <c r="CX44" s="117">
        <f>+CX43-CX45</f>
        <v>1470.7210000000005</v>
      </c>
      <c r="CY44" s="117"/>
      <c r="CZ44" s="72"/>
      <c r="DA44" s="67">
        <v>408</v>
      </c>
      <c r="DB44" s="67">
        <v>443</v>
      </c>
      <c r="DC44" s="67">
        <v>736</v>
      </c>
      <c r="DD44" s="67">
        <v>1322</v>
      </c>
      <c r="DE44" s="67">
        <v>1729</v>
      </c>
      <c r="DF44" s="67">
        <v>2035.057</v>
      </c>
      <c r="DG44" s="67">
        <f>DG43-DG45</f>
        <v>2080</v>
      </c>
      <c r="DH44" s="67">
        <f>DH43-DH45</f>
        <v>2255</v>
      </c>
      <c r="DI44" s="67">
        <f>DI43-DI45</f>
        <v>2193</v>
      </c>
      <c r="DJ44" s="67">
        <f>DJ43-DJ45</f>
        <v>2078</v>
      </c>
      <c r="DK44" s="67">
        <f>SUM(AM44:AP44)</f>
        <v>2205</v>
      </c>
      <c r="DL44" s="67">
        <f t="shared" ref="DL44:DR44" si="131">DL43-DL45</f>
        <v>2328.6000000000004</v>
      </c>
      <c r="DM44" s="67">
        <f t="shared" si="131"/>
        <v>2040.2865000000002</v>
      </c>
      <c r="DN44" s="67">
        <f t="shared" si="131"/>
        <v>2189.4157500000001</v>
      </c>
      <c r="DO44" s="67">
        <f t="shared" si="131"/>
        <v>2073.6396750000004</v>
      </c>
      <c r="DP44" s="67">
        <f t="shared" si="131"/>
        <v>1955.3466525000003</v>
      </c>
      <c r="DQ44" s="67">
        <f t="shared" si="131"/>
        <v>1948.4992875000007</v>
      </c>
      <c r="DR44" s="67">
        <f t="shared" si="131"/>
        <v>2890.6499999999996</v>
      </c>
      <c r="DS44" s="67">
        <f t="shared" ref="DS44" si="132">SUM(BS44:BV44)</f>
        <v>3001</v>
      </c>
      <c r="DT44" s="67">
        <f>SUM(BW44:BZ44)</f>
        <v>3065</v>
      </c>
      <c r="DU44" s="67">
        <v>3362</v>
      </c>
      <c r="DV44" s="67">
        <v>3994</v>
      </c>
      <c r="DW44" s="67">
        <f>SUM(CI44:CL44)</f>
        <v>3951</v>
      </c>
      <c r="DX44" s="67">
        <f>SUM(CM44:CP44)</f>
        <v>4573</v>
      </c>
      <c r="DY44" s="67">
        <f t="shared" ref="DY44" si="133">SUM(CQ44:CT44)</f>
        <v>5736</v>
      </c>
      <c r="DZ44" s="67">
        <f t="shared" ref="DZ44" si="134">SUM(CU44:CX44)</f>
        <v>5724.7910000000011</v>
      </c>
      <c r="EA44" s="72"/>
      <c r="EB44" s="72"/>
      <c r="EC44" s="72"/>
      <c r="ED44" s="72"/>
      <c r="EE44" s="72"/>
    </row>
    <row r="45" spans="2:140" s="15" customFormat="1">
      <c r="B45" s="15" t="s">
        <v>100</v>
      </c>
      <c r="C45" s="67">
        <f>C43-C44</f>
        <v>796.3</v>
      </c>
      <c r="D45" s="67">
        <f>D43-D44</f>
        <v>876</v>
      </c>
      <c r="E45" s="67">
        <f t="shared" ref="E45:Y45" si="135">E43-E44</f>
        <v>1006</v>
      </c>
      <c r="F45" s="67"/>
      <c r="G45" s="67">
        <f t="shared" si="135"/>
        <v>904.90000000000009</v>
      </c>
      <c r="H45" s="67">
        <f t="shared" si="135"/>
        <v>1117</v>
      </c>
      <c r="I45" s="67">
        <f t="shared" si="135"/>
        <v>1298.5999999999999</v>
      </c>
      <c r="J45" s="67">
        <f t="shared" si="135"/>
        <v>1512.8000000000002</v>
      </c>
      <c r="K45" s="67">
        <f t="shared" si="135"/>
        <v>1482.9</v>
      </c>
      <c r="L45" s="67">
        <f t="shared" si="135"/>
        <v>1716.8999999999999</v>
      </c>
      <c r="M45" s="67">
        <f t="shared" si="135"/>
        <v>1872.1999999999998</v>
      </c>
      <c r="N45" s="67">
        <f t="shared" si="135"/>
        <v>1963.1</v>
      </c>
      <c r="O45" s="67">
        <f t="shared" si="135"/>
        <v>1971.3999999999996</v>
      </c>
      <c r="P45" s="67">
        <f t="shared" si="135"/>
        <v>2149.6</v>
      </c>
      <c r="Q45" s="67">
        <f t="shared" si="135"/>
        <v>2266</v>
      </c>
      <c r="R45" s="67">
        <f t="shared" si="135"/>
        <v>2433</v>
      </c>
      <c r="S45" s="67">
        <f t="shared" si="135"/>
        <v>2344</v>
      </c>
      <c r="T45" s="67">
        <f t="shared" si="135"/>
        <v>2642</v>
      </c>
      <c r="U45" s="67">
        <f t="shared" si="135"/>
        <v>2649</v>
      </c>
      <c r="V45" s="67">
        <f t="shared" si="135"/>
        <v>2760</v>
      </c>
      <c r="W45" s="67">
        <f t="shared" si="135"/>
        <v>2665</v>
      </c>
      <c r="X45" s="67">
        <f t="shared" si="135"/>
        <v>3112</v>
      </c>
      <c r="Y45" s="67">
        <f t="shared" si="135"/>
        <v>3127</v>
      </c>
      <c r="Z45" s="67">
        <f>Z43-Z44</f>
        <v>3284</v>
      </c>
      <c r="AA45" s="67">
        <f>AA43-AA44</f>
        <v>3128</v>
      </c>
      <c r="AB45" s="67">
        <f>AB43-AB44</f>
        <v>3182</v>
      </c>
      <c r="AC45" s="67">
        <f>+AC43-AC44</f>
        <v>3026</v>
      </c>
      <c r="AD45" s="67">
        <f>AD43-AD44</f>
        <v>3180</v>
      </c>
      <c r="AE45" s="67">
        <f>AE43-AE44</f>
        <v>3071</v>
      </c>
      <c r="AF45" s="67">
        <f>AF43-AF44</f>
        <v>3252</v>
      </c>
      <c r="AG45" s="67">
        <f>+AG43-AG44</f>
        <v>3285</v>
      </c>
      <c r="AH45" s="67">
        <f>AH43-AH44</f>
        <v>3202</v>
      </c>
      <c r="AI45" s="67">
        <f>AI43-AI44</f>
        <v>2834</v>
      </c>
      <c r="AJ45" s="67">
        <f>AJ43-AJ44</f>
        <v>3186</v>
      </c>
      <c r="AK45" s="67">
        <f>AK43-AK44</f>
        <v>3270</v>
      </c>
      <c r="AL45" s="67">
        <f t="shared" ref="AL45:AQ45" si="136">+AL43-AL44</f>
        <v>3274</v>
      </c>
      <c r="AM45" s="67">
        <f t="shared" si="136"/>
        <v>3088</v>
      </c>
      <c r="AN45" s="67">
        <f t="shared" si="136"/>
        <v>3255</v>
      </c>
      <c r="AO45" s="67">
        <f t="shared" si="136"/>
        <v>3232</v>
      </c>
      <c r="AP45" s="67">
        <f t="shared" si="136"/>
        <v>3273</v>
      </c>
      <c r="AQ45" s="67">
        <f t="shared" si="136"/>
        <v>3166</v>
      </c>
      <c r="AR45" s="67">
        <f>+AR43-AR44</f>
        <v>3390</v>
      </c>
      <c r="AS45" s="67">
        <f>+AS43-AS44</f>
        <v>3351</v>
      </c>
      <c r="AT45" s="67">
        <f>+AT43-AT44</f>
        <v>3330</v>
      </c>
      <c r="AU45" s="67">
        <f>+AU43-AU44</f>
        <v>3382</v>
      </c>
      <c r="AV45" s="67">
        <f>+AV43-AV44</f>
        <v>3809</v>
      </c>
      <c r="AW45" s="67">
        <f t="shared" ref="AW45:AX45" si="137">+AW43-AW44</f>
        <v>3645</v>
      </c>
      <c r="AX45" s="67">
        <f t="shared" si="137"/>
        <v>3694</v>
      </c>
      <c r="AY45" s="67">
        <f t="shared" ref="AY45:BW45" si="138">+AY43-AY44</f>
        <v>3567</v>
      </c>
      <c r="AZ45" s="67">
        <f t="shared" si="138"/>
        <v>3965</v>
      </c>
      <c r="BA45" s="67">
        <f t="shared" si="138"/>
        <v>4033</v>
      </c>
      <c r="BB45" s="67">
        <f t="shared" si="138"/>
        <v>4241</v>
      </c>
      <c r="BC45" s="67">
        <f t="shared" si="138"/>
        <v>3837</v>
      </c>
      <c r="BD45" s="67">
        <f t="shared" si="138"/>
        <v>4391</v>
      </c>
      <c r="BE45" s="67">
        <f t="shared" si="138"/>
        <v>4270</v>
      </c>
      <c r="BF45" s="67">
        <f t="shared" si="138"/>
        <v>4506</v>
      </c>
      <c r="BG45" s="67">
        <f t="shared" si="138"/>
        <v>4298</v>
      </c>
      <c r="BH45" s="67">
        <f t="shared" si="138"/>
        <v>4581</v>
      </c>
      <c r="BI45" s="67">
        <f t="shared" si="138"/>
        <v>4978</v>
      </c>
      <c r="BJ45" s="67">
        <f t="shared" si="138"/>
        <v>4772</v>
      </c>
      <c r="BK45" s="67">
        <f t="shared" si="138"/>
        <v>4820</v>
      </c>
      <c r="BL45" s="67">
        <f t="shared" si="138"/>
        <v>4638</v>
      </c>
      <c r="BM45" s="67">
        <f t="shared" si="138"/>
        <v>4784</v>
      </c>
      <c r="BN45" s="67">
        <f t="shared" si="138"/>
        <v>5212</v>
      </c>
      <c r="BO45" s="67">
        <f t="shared" si="138"/>
        <v>4782</v>
      </c>
      <c r="BP45" s="67">
        <f t="shared" si="138"/>
        <v>5100</v>
      </c>
      <c r="BQ45" s="67">
        <f t="shared" si="138"/>
        <v>5038</v>
      </c>
      <c r="BR45" s="67">
        <f t="shared" si="138"/>
        <v>4986</v>
      </c>
      <c r="BS45" s="67">
        <f t="shared" si="138"/>
        <v>4876</v>
      </c>
      <c r="BT45" s="67">
        <f t="shared" si="138"/>
        <v>5314</v>
      </c>
      <c r="BU45" s="67">
        <f t="shared" si="138"/>
        <v>5145</v>
      </c>
      <c r="BV45" s="67">
        <f t="shared" si="138"/>
        <v>5411</v>
      </c>
      <c r="BW45" s="67">
        <f t="shared" si="138"/>
        <v>4778</v>
      </c>
      <c r="BX45" s="67">
        <f t="shared" ref="BX45:CB45" si="139">BX43-BX44</f>
        <v>5135</v>
      </c>
      <c r="BY45" s="67">
        <f t="shared" si="139"/>
        <v>4977</v>
      </c>
      <c r="BZ45" s="67">
        <f t="shared" si="139"/>
        <v>5407</v>
      </c>
      <c r="CA45" s="67">
        <f t="shared" si="139"/>
        <v>5390</v>
      </c>
      <c r="CB45" s="67">
        <f t="shared" si="139"/>
        <v>5448</v>
      </c>
      <c r="CC45" s="67">
        <f>CC43-CC44</f>
        <v>5549</v>
      </c>
      <c r="CD45" s="67">
        <f>CD43-CD44</f>
        <v>5675</v>
      </c>
      <c r="CE45" s="67">
        <f>CE43-CE44</f>
        <v>5034</v>
      </c>
      <c r="CF45" s="67">
        <f t="shared" ref="CF45:CI45" si="140">CF43-CF44</f>
        <v>5492</v>
      </c>
      <c r="CG45" s="67">
        <f t="shared" si="140"/>
        <v>5709</v>
      </c>
      <c r="CH45" s="67">
        <f t="shared" si="140"/>
        <v>5750</v>
      </c>
      <c r="CI45" s="117">
        <f t="shared" si="140"/>
        <v>5287</v>
      </c>
      <c r="CJ45" s="117">
        <f t="shared" ref="CJ45:CR45" si="141">+CJ43-CJ44</f>
        <v>5668</v>
      </c>
      <c r="CK45" s="117">
        <f t="shared" si="141"/>
        <v>5649</v>
      </c>
      <c r="CL45" s="117">
        <f t="shared" si="141"/>
        <v>5768</v>
      </c>
      <c r="CM45" s="117">
        <f t="shared" si="141"/>
        <v>5089</v>
      </c>
      <c r="CN45" s="117">
        <f t="shared" si="141"/>
        <v>5844</v>
      </c>
      <c r="CO45" s="117">
        <f t="shared" si="141"/>
        <v>5766</v>
      </c>
      <c r="CP45" s="117">
        <f t="shared" si="141"/>
        <v>6918</v>
      </c>
      <c r="CQ45" s="117">
        <f t="shared" si="141"/>
        <v>6107</v>
      </c>
      <c r="CR45" s="117">
        <f t="shared" si="141"/>
        <v>6982</v>
      </c>
      <c r="CS45" s="117">
        <f>CS43-CS44</f>
        <v>7049</v>
      </c>
      <c r="CT45" s="117">
        <f>+CT43-CT44</f>
        <v>7550</v>
      </c>
      <c r="CU45" s="117">
        <f>+CU43-CU44</f>
        <v>6729</v>
      </c>
      <c r="CV45" s="117">
        <f>+CV43*0.83</f>
        <v>6890.4110000000001</v>
      </c>
      <c r="CW45" s="117">
        <f>+CW43*0.83</f>
        <v>6946.5189999999993</v>
      </c>
      <c r="CX45" s="117">
        <f>+CX43*0.83</f>
        <v>7180.5789999999988</v>
      </c>
      <c r="CY45" s="117"/>
      <c r="CZ45" s="72"/>
      <c r="DA45" s="67">
        <f>DA43-DA44</f>
        <v>3205.4</v>
      </c>
      <c r="DB45" s="67">
        <f>DB43-DB44</f>
        <v>3559.1</v>
      </c>
      <c r="DC45" s="67">
        <f>DC43-DC44</f>
        <v>4676.6000000000004</v>
      </c>
      <c r="DD45" s="67">
        <f>DD43-DD44</f>
        <v>7033.5</v>
      </c>
      <c r="DE45" s="67">
        <f>SUM(O45:R45)</f>
        <v>8820</v>
      </c>
      <c r="DF45" s="67">
        <f>DF43-DF44</f>
        <v>10394.942999999999</v>
      </c>
      <c r="DG45" s="67">
        <f>SUM(W45:Z45)</f>
        <v>12188</v>
      </c>
      <c r="DH45" s="67">
        <f>SUM(AA45:AD45)</f>
        <v>12516</v>
      </c>
      <c r="DI45" s="67">
        <f>SUM(AE45:AH45)</f>
        <v>12810</v>
      </c>
      <c r="DJ45" s="67">
        <f>SUM(AI45:AL45)</f>
        <v>12564</v>
      </c>
      <c r="DK45" s="67">
        <f>SUM(AM45:AP45)</f>
        <v>12848</v>
      </c>
      <c r="DL45" s="67">
        <f t="shared" ref="DL45:DR45" si="142">DL43*DL57</f>
        <v>13195.4</v>
      </c>
      <c r="DM45" s="67">
        <f t="shared" si="142"/>
        <v>11561.6235</v>
      </c>
      <c r="DN45" s="67">
        <f t="shared" si="142"/>
        <v>12406.689249999999</v>
      </c>
      <c r="DO45" s="67">
        <f t="shared" si="142"/>
        <v>11750.624824999999</v>
      </c>
      <c r="DP45" s="67">
        <f t="shared" si="142"/>
        <v>11080.297697499998</v>
      </c>
      <c r="DQ45" s="67">
        <f t="shared" si="142"/>
        <v>11041.495962499997</v>
      </c>
      <c r="DR45" s="67">
        <f t="shared" si="142"/>
        <v>16380.35</v>
      </c>
      <c r="DS45" s="67">
        <f>+DS43-DS44</f>
        <v>17297</v>
      </c>
      <c r="DT45" s="67">
        <f>+DT43-DT44</f>
        <v>20297</v>
      </c>
      <c r="DU45" s="67">
        <f>DU43-DU44</f>
        <v>22062</v>
      </c>
      <c r="DV45" s="67">
        <f>DV43-DV44</f>
        <v>21985</v>
      </c>
      <c r="DW45" s="67">
        <f>DW43-DW44</f>
        <v>22372</v>
      </c>
      <c r="DX45" s="67">
        <f>+DX43-DX44</f>
        <v>23617</v>
      </c>
      <c r="DY45" s="67">
        <f t="shared" ref="DY45:EJ45" si="143">+DY43*0.85</f>
        <v>28410.399999999998</v>
      </c>
      <c r="DZ45" s="67">
        <f t="shared" si="143"/>
        <v>28238.955000000002</v>
      </c>
      <c r="EA45" s="67">
        <f t="shared" si="143"/>
        <v>27565.8315</v>
      </c>
      <c r="EB45" s="67">
        <f t="shared" si="143"/>
        <v>27567.637070000004</v>
      </c>
      <c r="EC45" s="67">
        <f t="shared" si="143"/>
        <v>27314.965251450001</v>
      </c>
      <c r="ED45" s="67">
        <f t="shared" si="143"/>
        <v>27109.356383239505</v>
      </c>
      <c r="EE45" s="67">
        <f t="shared" si="143"/>
        <v>27045.932258830897</v>
      </c>
      <c r="EF45" s="67">
        <f t="shared" si="143"/>
        <v>27304.330035626823</v>
      </c>
      <c r="EG45" s="67">
        <f t="shared" si="143"/>
        <v>27606.375115646882</v>
      </c>
      <c r="EH45" s="67">
        <f t="shared" si="143"/>
        <v>28254.106902268675</v>
      </c>
      <c r="EI45" s="67">
        <f t="shared" si="143"/>
        <v>29144.1982416096</v>
      </c>
      <c r="EJ45" s="67">
        <f t="shared" si="143"/>
        <v>23315.443072312228</v>
      </c>
    </row>
    <row r="46" spans="2:140" s="15" customFormat="1">
      <c r="B46" s="15" t="s">
        <v>443</v>
      </c>
      <c r="C46" s="67">
        <v>203.4</v>
      </c>
      <c r="D46" s="67">
        <v>234</v>
      </c>
      <c r="E46" s="67">
        <v>304</v>
      </c>
      <c r="F46" s="67"/>
      <c r="G46" s="67">
        <v>203.4</v>
      </c>
      <c r="H46" s="67">
        <v>233.6</v>
      </c>
      <c r="I46" s="67">
        <v>304.10000000000002</v>
      </c>
      <c r="J46" s="67">
        <v>357.4</v>
      </c>
      <c r="K46" s="67">
        <v>341.6</v>
      </c>
      <c r="L46" s="67">
        <v>384.6</v>
      </c>
      <c r="M46" s="67">
        <v>400</v>
      </c>
      <c r="N46" s="67">
        <v>494.8</v>
      </c>
      <c r="O46" s="67">
        <v>432.9</v>
      </c>
      <c r="P46" s="67">
        <v>460.4</v>
      </c>
      <c r="Q46" s="67">
        <v>495</v>
      </c>
      <c r="R46" s="67">
        <v>608</v>
      </c>
      <c r="S46" s="67">
        <v>521</v>
      </c>
      <c r="T46" s="67">
        <v>564</v>
      </c>
      <c r="U46" s="67">
        <v>559</v>
      </c>
      <c r="V46" s="67">
        <v>658</v>
      </c>
      <c r="W46" s="67">
        <v>624</v>
      </c>
      <c r="X46" s="67">
        <v>729</v>
      </c>
      <c r="Y46" s="67">
        <v>835</v>
      </c>
      <c r="Z46" s="67">
        <v>1003</v>
      </c>
      <c r="AA46" s="67">
        <v>803</v>
      </c>
      <c r="AB46" s="67">
        <v>777</v>
      </c>
      <c r="AC46" s="67">
        <v>699</v>
      </c>
      <c r="AD46" s="67">
        <v>785</v>
      </c>
      <c r="AE46" s="67">
        <v>661</v>
      </c>
      <c r="AF46" s="67">
        <v>779</v>
      </c>
      <c r="AG46" s="67">
        <v>700</v>
      </c>
      <c r="AH46" s="67">
        <v>770</v>
      </c>
      <c r="AI46" s="67">
        <v>605</v>
      </c>
      <c r="AJ46" s="67">
        <v>657</v>
      </c>
      <c r="AK46" s="67">
        <v>613</v>
      </c>
      <c r="AL46" s="67">
        <v>864</v>
      </c>
      <c r="AM46" s="67">
        <v>617</v>
      </c>
      <c r="AN46" s="67">
        <v>642</v>
      </c>
      <c r="AO46" s="67">
        <v>689</v>
      </c>
      <c r="AP46" s="67">
        <v>825</v>
      </c>
      <c r="AQ46" s="67">
        <v>703</v>
      </c>
      <c r="AR46" s="67">
        <v>808</v>
      </c>
      <c r="AS46" s="67">
        <v>763</v>
      </c>
      <c r="AT46" s="67">
        <v>842</v>
      </c>
      <c r="AU46" s="67">
        <v>723</v>
      </c>
      <c r="AV46" s="67">
        <v>807</v>
      </c>
      <c r="AW46" s="67">
        <v>849</v>
      </c>
      <c r="AX46" s="67">
        <v>917</v>
      </c>
      <c r="AY46" s="67">
        <v>851</v>
      </c>
      <c r="AZ46" s="67">
        <v>944</v>
      </c>
      <c r="BA46" s="67">
        <v>966</v>
      </c>
      <c r="BB46" s="67">
        <v>1168</v>
      </c>
      <c r="BC46" s="67">
        <v>994</v>
      </c>
      <c r="BD46" s="67">
        <v>979</v>
      </c>
      <c r="BE46" s="67">
        <v>980</v>
      </c>
      <c r="BF46" s="67">
        <v>1168</v>
      </c>
      <c r="BG46" s="67">
        <v>856</v>
      </c>
      <c r="BH46" s="67">
        <v>918</v>
      </c>
      <c r="BI46" s="67">
        <v>1086</v>
      </c>
      <c r="BJ46" s="67">
        <v>1057</v>
      </c>
      <c r="BK46" s="67">
        <v>858</v>
      </c>
      <c r="BL46" s="67">
        <v>900</v>
      </c>
      <c r="BM46" s="67">
        <v>990</v>
      </c>
      <c r="BN46" s="67">
        <v>1056</v>
      </c>
      <c r="BO46" s="67">
        <v>748</v>
      </c>
      <c r="BP46" s="67">
        <v>851</v>
      </c>
      <c r="BQ46" s="67">
        <v>858</v>
      </c>
      <c r="BR46" s="67">
        <v>1025</v>
      </c>
      <c r="BS46" s="67">
        <v>739</v>
      </c>
      <c r="BT46" s="67">
        <v>850</v>
      </c>
      <c r="BU46" s="67">
        <v>906</v>
      </c>
      <c r="BV46" s="67">
        <v>1162</v>
      </c>
      <c r="BW46" s="67">
        <v>859</v>
      </c>
      <c r="BX46" s="67">
        <v>906</v>
      </c>
      <c r="BY46" s="67">
        <v>977</v>
      </c>
      <c r="BZ46" s="67">
        <v>1285</v>
      </c>
      <c r="CA46" s="67">
        <v>927</v>
      </c>
      <c r="CB46" s="67">
        <v>936</v>
      </c>
      <c r="CC46" s="67">
        <v>1037</v>
      </c>
      <c r="CD46" s="67">
        <v>1185</v>
      </c>
      <c r="CE46" s="67">
        <v>944</v>
      </c>
      <c r="CF46" s="67">
        <v>1036</v>
      </c>
      <c r="CG46" s="67">
        <v>997</v>
      </c>
      <c r="CH46" s="67">
        <v>1319</v>
      </c>
      <c r="CI46" s="117">
        <v>934</v>
      </c>
      <c r="CJ46" s="117">
        <v>1020</v>
      </c>
      <c r="CK46" s="117">
        <v>1096</v>
      </c>
      <c r="CL46" s="117">
        <v>1291</v>
      </c>
      <c r="CM46" s="117">
        <v>1044</v>
      </c>
      <c r="CN46" s="117">
        <v>1092</v>
      </c>
      <c r="CO46" s="117">
        <v>1070</v>
      </c>
      <c r="CP46" s="117">
        <v>1494</v>
      </c>
      <c r="CQ46" s="117">
        <v>1317</v>
      </c>
      <c r="CR46" s="117">
        <v>1423</v>
      </c>
      <c r="CS46" s="117">
        <v>1440</v>
      </c>
      <c r="CT46" s="117">
        <v>1698</v>
      </c>
      <c r="CU46" s="117">
        <v>1475</v>
      </c>
      <c r="CV46" s="117">
        <f t="shared" ref="CV46:CV47" si="144">+CR46</f>
        <v>1423</v>
      </c>
      <c r="CW46" s="117">
        <f t="shared" ref="CW46:CW47" si="145">+CS46</f>
        <v>1440</v>
      </c>
      <c r="CX46" s="117">
        <f t="shared" ref="CX46:CX47" si="146">+CT46</f>
        <v>1698</v>
      </c>
      <c r="CY46" s="117"/>
      <c r="CZ46" s="72"/>
      <c r="DA46" s="67">
        <v>845</v>
      </c>
      <c r="DB46" s="67">
        <v>865</v>
      </c>
      <c r="DC46" s="67">
        <v>1117</v>
      </c>
      <c r="DD46" s="67">
        <v>1621</v>
      </c>
      <c r="DE46" s="67">
        <f>SUM(O46:R46)</f>
        <v>1996.3</v>
      </c>
      <c r="DF46" s="67">
        <f>SUM(S46:V46)</f>
        <v>2302</v>
      </c>
      <c r="DG46" s="67">
        <f>SUM(W46:Z46)</f>
        <v>3191</v>
      </c>
      <c r="DH46" s="67">
        <f>SUM(AA46:AD46)</f>
        <v>3064</v>
      </c>
      <c r="DI46" s="67">
        <f>SUM(AE46:AH46)</f>
        <v>2910</v>
      </c>
      <c r="DJ46" s="67">
        <f>SUM(AI46:AL46)</f>
        <v>2739</v>
      </c>
      <c r="DK46" s="67">
        <f>SUM(AM46:AP46)</f>
        <v>2773</v>
      </c>
      <c r="DL46" s="67">
        <f>SUM(AQ46:AT46)</f>
        <v>3116</v>
      </c>
      <c r="DM46" s="67">
        <f>SUM(AU46:AX46)</f>
        <v>3296</v>
      </c>
      <c r="DN46" s="67">
        <f>SUM(AY46:BB46)</f>
        <v>3929</v>
      </c>
      <c r="DO46" s="67">
        <f>SUM(BC46:BF46)</f>
        <v>4121</v>
      </c>
      <c r="DP46" s="67">
        <f>SUM(BG46:BJ46)</f>
        <v>3917</v>
      </c>
      <c r="DQ46" s="67">
        <f>SUM(BK46:BN46)</f>
        <v>3804</v>
      </c>
      <c r="DR46" s="67">
        <f>SUM(BO46:BR46)</f>
        <v>3482</v>
      </c>
      <c r="DS46" s="67">
        <f t="shared" ref="DS46:DS47" si="147">SUM(BS46:BV46)</f>
        <v>3657</v>
      </c>
      <c r="DT46" s="67">
        <f>SUM(BW46:BZ46)</f>
        <v>4027</v>
      </c>
      <c r="DU46" s="67">
        <v>4085</v>
      </c>
      <c r="DV46" s="67">
        <v>4296</v>
      </c>
      <c r="DW46" s="67">
        <f t="shared" ref="DW46" si="148">SUM(CI46:CL46)</f>
        <v>4341</v>
      </c>
      <c r="DX46" s="67">
        <f t="shared" ref="DX46:DX47" si="149">SUM(CM46:CP46)</f>
        <v>4700</v>
      </c>
      <c r="DY46" s="67">
        <f t="shared" ref="DY46:DY47" si="150">SUM(CQ46:CT46)</f>
        <v>5878</v>
      </c>
      <c r="DZ46" s="67">
        <f t="shared" ref="DZ46:DZ47" si="151">SUM(CU46:CX46)</f>
        <v>6036</v>
      </c>
      <c r="EA46" s="72"/>
      <c r="EB46" s="72"/>
      <c r="EC46" s="72"/>
      <c r="ED46" s="72"/>
      <c r="EE46" s="72"/>
    </row>
    <row r="47" spans="2:140" s="15" customFormat="1">
      <c r="B47" s="15" t="s">
        <v>444</v>
      </c>
      <c r="C47" s="67">
        <v>245.8</v>
      </c>
      <c r="D47" s="67">
        <v>321</v>
      </c>
      <c r="E47" s="67">
        <v>377</v>
      </c>
      <c r="F47" s="67"/>
      <c r="G47" s="67">
        <f>245.8-1.7</f>
        <v>244.10000000000002</v>
      </c>
      <c r="H47" s="67">
        <f>320.5-1.7</f>
        <v>318.8</v>
      </c>
      <c r="I47" s="67">
        <f>376.9-3.4</f>
        <v>373.5</v>
      </c>
      <c r="J47" s="67">
        <f>496-5.8</f>
        <v>490.2</v>
      </c>
      <c r="K47" s="67">
        <f>385.3-9.6</f>
        <v>375.7</v>
      </c>
      <c r="L47" s="67">
        <v>437.5</v>
      </c>
      <c r="M47" s="67">
        <f>479.3-10.9</f>
        <v>468.40000000000003</v>
      </c>
      <c r="N47" s="67">
        <f>621.8-10</f>
        <v>611.79999999999995</v>
      </c>
      <c r="O47" s="67">
        <v>513</v>
      </c>
      <c r="P47" s="67">
        <v>586.70000000000005</v>
      </c>
      <c r="Q47" s="67">
        <v>635</v>
      </c>
      <c r="R47" s="67">
        <v>813</v>
      </c>
      <c r="S47" s="67">
        <v>577</v>
      </c>
      <c r="T47" s="67">
        <v>646</v>
      </c>
      <c r="U47" s="67">
        <v>656</v>
      </c>
      <c r="V47" s="67">
        <v>913</v>
      </c>
      <c r="W47" s="67">
        <v>652</v>
      </c>
      <c r="X47" s="67">
        <v>799</v>
      </c>
      <c r="Y47" s="67">
        <v>782</v>
      </c>
      <c r="Z47" s="67">
        <v>1001</v>
      </c>
      <c r="AA47" s="67">
        <v>748</v>
      </c>
      <c r="AB47" s="67">
        <v>840</v>
      </c>
      <c r="AC47" s="67">
        <v>804</v>
      </c>
      <c r="AD47" s="67">
        <v>990</v>
      </c>
      <c r="AE47" s="67">
        <v>862</v>
      </c>
      <c r="AF47" s="67">
        <v>894</v>
      </c>
      <c r="AG47" s="67">
        <v>890</v>
      </c>
      <c r="AH47" s="67">
        <v>1062</v>
      </c>
      <c r="AI47" s="67">
        <v>774</v>
      </c>
      <c r="AJ47" s="67">
        <v>891</v>
      </c>
      <c r="AK47" s="67">
        <v>913</v>
      </c>
      <c r="AL47" s="67">
        <v>1159</v>
      </c>
      <c r="AM47" s="67">
        <v>873</v>
      </c>
      <c r="AN47" s="67">
        <v>968</v>
      </c>
      <c r="AO47" s="67">
        <v>942</v>
      </c>
      <c r="AP47" s="67">
        <v>1142</v>
      </c>
      <c r="AQ47" s="67">
        <v>1011</v>
      </c>
      <c r="AR47" s="67">
        <v>1111</v>
      </c>
      <c r="AS47" s="67">
        <v>1113</v>
      </c>
      <c r="AT47" s="67">
        <v>1199</v>
      </c>
      <c r="AU47" s="67">
        <v>1057</v>
      </c>
      <c r="AV47" s="67">
        <v>1199</v>
      </c>
      <c r="AW47" s="67">
        <v>1110</v>
      </c>
      <c r="AX47" s="67">
        <v>1351</v>
      </c>
      <c r="AY47" s="67">
        <v>1144</v>
      </c>
      <c r="AZ47" s="67">
        <v>1237</v>
      </c>
      <c r="BA47" s="67">
        <v>1218</v>
      </c>
      <c r="BB47" s="67">
        <v>1306</v>
      </c>
      <c r="BC47" s="67">
        <v>983</v>
      </c>
      <c r="BD47" s="67">
        <v>1093</v>
      </c>
      <c r="BE47" s="67">
        <v>1027</v>
      </c>
      <c r="BF47" s="67">
        <v>1305</v>
      </c>
      <c r="BG47" s="67">
        <v>993</v>
      </c>
      <c r="BH47" s="67">
        <v>1112</v>
      </c>
      <c r="BI47" s="67">
        <v>1206</v>
      </c>
      <c r="BJ47" s="67">
        <v>1349</v>
      </c>
      <c r="BK47" s="67">
        <v>1103</v>
      </c>
      <c r="BL47" s="67">
        <v>1292</v>
      </c>
      <c r="BM47" s="67">
        <v>1244</v>
      </c>
      <c r="BN47" s="67">
        <v>1297</v>
      </c>
      <c r="BO47" s="67">
        <v>1039</v>
      </c>
      <c r="BP47" s="67">
        <v>1174</v>
      </c>
      <c r="BQ47" s="67">
        <v>1147</v>
      </c>
      <c r="BR47" s="67">
        <v>1406</v>
      </c>
      <c r="BS47" s="67">
        <v>1099</v>
      </c>
      <c r="BT47" s="67">
        <v>1333</v>
      </c>
      <c r="BU47" s="67">
        <v>1268</v>
      </c>
      <c r="BV47" s="67">
        <v>1532</v>
      </c>
      <c r="BW47" s="67">
        <v>1149</v>
      </c>
      <c r="BX47" s="67">
        <v>1256</v>
      </c>
      <c r="BY47" s="67">
        <v>1207</v>
      </c>
      <c r="BZ47" s="67">
        <v>1501</v>
      </c>
      <c r="CA47" s="67">
        <v>1287</v>
      </c>
      <c r="CB47" s="67">
        <v>1265</v>
      </c>
      <c r="CC47" s="67">
        <v>1329</v>
      </c>
      <c r="CD47" s="67">
        <v>1762</v>
      </c>
      <c r="CE47" s="67">
        <v>1226</v>
      </c>
      <c r="CF47" s="67">
        <v>1345</v>
      </c>
      <c r="CG47" s="67">
        <v>1260</v>
      </c>
      <c r="CH47" s="67">
        <v>1434</v>
      </c>
      <c r="CI47" s="117">
        <v>1213</v>
      </c>
      <c r="CJ47" s="117">
        <v>1313</v>
      </c>
      <c r="CK47" s="117">
        <v>1276</v>
      </c>
      <c r="CL47" s="117">
        <v>1468</v>
      </c>
      <c r="CM47" s="117">
        <v>1224</v>
      </c>
      <c r="CN47" s="117">
        <v>1237</v>
      </c>
      <c r="CO47" s="117">
        <v>1293</v>
      </c>
      <c r="CP47" s="117">
        <v>1764</v>
      </c>
      <c r="CQ47" s="117">
        <v>1712</v>
      </c>
      <c r="CR47" s="117">
        <v>1686</v>
      </c>
      <c r="CS47" s="117">
        <v>1565</v>
      </c>
      <c r="CT47" s="117">
        <v>1819</v>
      </c>
      <c r="CU47" s="117">
        <v>1665</v>
      </c>
      <c r="CV47" s="117">
        <f t="shared" si="144"/>
        <v>1686</v>
      </c>
      <c r="CW47" s="117">
        <f t="shared" si="145"/>
        <v>1565</v>
      </c>
      <c r="CX47" s="117">
        <f t="shared" si="146"/>
        <v>1819</v>
      </c>
      <c r="CY47" s="117"/>
      <c r="CZ47" s="72"/>
      <c r="DA47" s="67">
        <v>851</v>
      </c>
      <c r="DB47" s="67">
        <v>974</v>
      </c>
      <c r="DC47" s="67">
        <v>1449</v>
      </c>
      <c r="DD47" s="67">
        <v>1893</v>
      </c>
      <c r="DE47" s="67">
        <f>SUM(O47:R47)</f>
        <v>2547.6999999999998</v>
      </c>
      <c r="DF47" s="67">
        <f>SUM(S47:V47)</f>
        <v>2792</v>
      </c>
      <c r="DG47" s="67">
        <f>SUM(W47:Z47)</f>
        <v>3234</v>
      </c>
      <c r="DH47" s="67">
        <f>SUM(AA47:AD47)</f>
        <v>3382</v>
      </c>
      <c r="DI47" s="67">
        <f>SUM(AE47:AH47)</f>
        <v>3708</v>
      </c>
      <c r="DJ47" s="67">
        <f>SUM(AI47:AL47)</f>
        <v>3737</v>
      </c>
      <c r="DK47" s="67">
        <f>SUM(AM47:AP47)</f>
        <v>3925</v>
      </c>
      <c r="DL47" s="67">
        <f>SUM(AQ47:AT47)</f>
        <v>4434</v>
      </c>
      <c r="DM47" s="67">
        <f>SUM(AU47:AX47)</f>
        <v>4717</v>
      </c>
      <c r="DN47" s="67">
        <f>SUM(AY47:BB47)</f>
        <v>4905</v>
      </c>
      <c r="DO47" s="67">
        <f>SUM(BC47:BF47)</f>
        <v>4408</v>
      </c>
      <c r="DP47" s="67">
        <f>SUM(BG47:BJ47)</f>
        <v>4660</v>
      </c>
      <c r="DQ47" s="67">
        <f>SUM(BK47:BN47)</f>
        <v>4936</v>
      </c>
      <c r="DR47" s="67">
        <f>SUM(BO47:BR47)</f>
        <v>4766</v>
      </c>
      <c r="DS47" s="67">
        <f t="shared" si="147"/>
        <v>5232</v>
      </c>
      <c r="DT47" s="67">
        <f>SUM(BW47:BZ47)</f>
        <v>5113</v>
      </c>
      <c r="DU47" s="67">
        <f>SUM(CA47:CD47)</f>
        <v>5643</v>
      </c>
      <c r="DV47" s="67">
        <f>SUM(CE47:CH47)</f>
        <v>5265</v>
      </c>
      <c r="DW47" s="67">
        <f>SUM(CI47:CL47)</f>
        <v>5270</v>
      </c>
      <c r="DX47" s="67">
        <f t="shared" si="149"/>
        <v>5518</v>
      </c>
      <c r="DY47" s="67">
        <f t="shared" si="150"/>
        <v>6782</v>
      </c>
      <c r="DZ47" s="67">
        <f t="shared" si="151"/>
        <v>6735</v>
      </c>
      <c r="EA47" s="67">
        <f t="shared" ref="EA47:EJ47" si="152">+DZ47*0.95</f>
        <v>6398.25</v>
      </c>
      <c r="EB47" s="67">
        <f t="shared" si="152"/>
        <v>6078.3374999999996</v>
      </c>
      <c r="EC47" s="67">
        <f t="shared" si="152"/>
        <v>5774.4206249999997</v>
      </c>
      <c r="ED47" s="67">
        <f t="shared" si="152"/>
        <v>5485.6995937499996</v>
      </c>
      <c r="EE47" s="67">
        <f t="shared" si="152"/>
        <v>5211.4146140624998</v>
      </c>
      <c r="EF47" s="67">
        <f t="shared" si="152"/>
        <v>4950.8438833593746</v>
      </c>
      <c r="EG47" s="67">
        <f t="shared" si="152"/>
        <v>4703.3016891914058</v>
      </c>
      <c r="EH47" s="67">
        <f t="shared" si="152"/>
        <v>4468.1366047318352</v>
      </c>
      <c r="EI47" s="67">
        <f t="shared" si="152"/>
        <v>4244.729774495243</v>
      </c>
      <c r="EJ47" s="67">
        <f t="shared" si="152"/>
        <v>4032.4932857704807</v>
      </c>
    </row>
    <row r="48" spans="2:140" s="15" customFormat="1">
      <c r="B48" s="15" t="s">
        <v>630</v>
      </c>
      <c r="C48" s="67">
        <f>C47+C46</f>
        <v>449.20000000000005</v>
      </c>
      <c r="D48" s="67">
        <f>D47+D46</f>
        <v>555</v>
      </c>
      <c r="E48" s="67">
        <f t="shared" ref="E48:Z48" si="153">E47+E46</f>
        <v>681</v>
      </c>
      <c r="F48" s="67"/>
      <c r="G48" s="67">
        <f t="shared" si="153"/>
        <v>447.5</v>
      </c>
      <c r="H48" s="67">
        <f t="shared" si="153"/>
        <v>552.4</v>
      </c>
      <c r="I48" s="67">
        <f t="shared" si="153"/>
        <v>677.6</v>
      </c>
      <c r="J48" s="67">
        <f t="shared" si="153"/>
        <v>847.59999999999991</v>
      </c>
      <c r="K48" s="67">
        <f t="shared" si="153"/>
        <v>717.3</v>
      </c>
      <c r="L48" s="67">
        <f t="shared" si="153"/>
        <v>822.1</v>
      </c>
      <c r="M48" s="67">
        <f t="shared" si="153"/>
        <v>868.40000000000009</v>
      </c>
      <c r="N48" s="67">
        <f t="shared" si="153"/>
        <v>1106.5999999999999</v>
      </c>
      <c r="O48" s="67">
        <f t="shared" si="153"/>
        <v>945.9</v>
      </c>
      <c r="P48" s="67">
        <f t="shared" si="153"/>
        <v>1047.0999999999999</v>
      </c>
      <c r="Q48" s="67">
        <f t="shared" si="153"/>
        <v>1130</v>
      </c>
      <c r="R48" s="67">
        <f t="shared" si="153"/>
        <v>1421</v>
      </c>
      <c r="S48" s="67">
        <f t="shared" si="153"/>
        <v>1098</v>
      </c>
      <c r="T48" s="67">
        <f t="shared" si="153"/>
        <v>1210</v>
      </c>
      <c r="U48" s="67">
        <f t="shared" si="153"/>
        <v>1215</v>
      </c>
      <c r="V48" s="67">
        <f t="shared" si="153"/>
        <v>1571</v>
      </c>
      <c r="W48" s="67">
        <f t="shared" si="153"/>
        <v>1276</v>
      </c>
      <c r="X48" s="67">
        <f t="shared" si="153"/>
        <v>1528</v>
      </c>
      <c r="Y48" s="67">
        <f t="shared" si="153"/>
        <v>1617</v>
      </c>
      <c r="Z48" s="67">
        <f t="shared" si="153"/>
        <v>2004</v>
      </c>
      <c r="AA48" s="67">
        <f t="shared" ref="AA48:AJ48" si="154">AA47+AA46</f>
        <v>1551</v>
      </c>
      <c r="AB48" s="67">
        <f t="shared" si="154"/>
        <v>1617</v>
      </c>
      <c r="AC48" s="67">
        <f t="shared" si="154"/>
        <v>1503</v>
      </c>
      <c r="AD48" s="67">
        <f t="shared" si="154"/>
        <v>1775</v>
      </c>
      <c r="AE48" s="67">
        <f t="shared" si="154"/>
        <v>1523</v>
      </c>
      <c r="AF48" s="67">
        <f>AF47+AF46</f>
        <v>1673</v>
      </c>
      <c r="AG48" s="67">
        <f t="shared" si="154"/>
        <v>1590</v>
      </c>
      <c r="AH48" s="67">
        <f t="shared" si="154"/>
        <v>1832</v>
      </c>
      <c r="AI48" s="67">
        <f t="shared" si="154"/>
        <v>1379</v>
      </c>
      <c r="AJ48" s="67">
        <f t="shared" si="154"/>
        <v>1548</v>
      </c>
      <c r="AK48" s="67">
        <f t="shared" ref="AK48:AU48" si="155">AK47+AK46</f>
        <v>1526</v>
      </c>
      <c r="AL48" s="67">
        <f t="shared" si="155"/>
        <v>2023</v>
      </c>
      <c r="AM48" s="67">
        <f t="shared" si="155"/>
        <v>1490</v>
      </c>
      <c r="AN48" s="67">
        <f t="shared" si="155"/>
        <v>1610</v>
      </c>
      <c r="AO48" s="67">
        <f t="shared" si="155"/>
        <v>1631</v>
      </c>
      <c r="AP48" s="67">
        <f t="shared" si="155"/>
        <v>1967</v>
      </c>
      <c r="AQ48" s="67">
        <f>AQ47+AQ46</f>
        <v>1714</v>
      </c>
      <c r="AR48" s="67">
        <f>AR47+AR46</f>
        <v>1919</v>
      </c>
      <c r="AS48" s="67">
        <f t="shared" si="155"/>
        <v>1876</v>
      </c>
      <c r="AT48" s="67">
        <f t="shared" si="155"/>
        <v>2041</v>
      </c>
      <c r="AU48" s="67">
        <f t="shared" si="155"/>
        <v>1780</v>
      </c>
      <c r="AV48" s="67">
        <f>AV47+AV46</f>
        <v>2006</v>
      </c>
      <c r="AW48" s="67">
        <f t="shared" ref="AW48:AZ48" si="156">AW47+AW46</f>
        <v>1959</v>
      </c>
      <c r="AX48" s="67">
        <f t="shared" si="156"/>
        <v>2268</v>
      </c>
      <c r="AY48" s="67">
        <f t="shared" si="156"/>
        <v>1995</v>
      </c>
      <c r="AZ48" s="67">
        <f t="shared" si="156"/>
        <v>2181</v>
      </c>
      <c r="BA48" s="67">
        <f t="shared" ref="BA48:BC48" si="157">+BA47+BA46</f>
        <v>2184</v>
      </c>
      <c r="BB48" s="67">
        <f t="shared" si="157"/>
        <v>2474</v>
      </c>
      <c r="BC48" s="67">
        <f t="shared" si="157"/>
        <v>1977</v>
      </c>
      <c r="BD48" s="67">
        <f t="shared" ref="BD48:BJ48" si="158">+BD47+BD46</f>
        <v>2072</v>
      </c>
      <c r="BE48" s="67">
        <f t="shared" si="158"/>
        <v>2007</v>
      </c>
      <c r="BF48" s="67">
        <f t="shared" si="158"/>
        <v>2473</v>
      </c>
      <c r="BG48" s="67">
        <f t="shared" si="158"/>
        <v>1849</v>
      </c>
      <c r="BH48" s="67">
        <f t="shared" si="158"/>
        <v>2030</v>
      </c>
      <c r="BI48" s="67">
        <f t="shared" si="158"/>
        <v>2292</v>
      </c>
      <c r="BJ48" s="67">
        <f t="shared" si="158"/>
        <v>2406</v>
      </c>
      <c r="BK48" s="67">
        <f t="shared" ref="BK48" si="159">+BK47+BK46</f>
        <v>1961</v>
      </c>
      <c r="BL48" s="67">
        <f t="shared" ref="BL48:BU48" si="160">+BL47+BL46</f>
        <v>2192</v>
      </c>
      <c r="BM48" s="67">
        <f t="shared" si="160"/>
        <v>2234</v>
      </c>
      <c r="BN48" s="67">
        <f t="shared" si="160"/>
        <v>2353</v>
      </c>
      <c r="BO48" s="67">
        <f t="shared" si="160"/>
        <v>1787</v>
      </c>
      <c r="BP48" s="67">
        <f t="shared" si="160"/>
        <v>2025</v>
      </c>
      <c r="BQ48" s="67">
        <f t="shared" si="160"/>
        <v>2005</v>
      </c>
      <c r="BR48" s="67">
        <f t="shared" si="160"/>
        <v>2431</v>
      </c>
      <c r="BS48" s="67">
        <f t="shared" si="160"/>
        <v>1838</v>
      </c>
      <c r="BT48" s="67">
        <f t="shared" si="160"/>
        <v>2183</v>
      </c>
      <c r="BU48" s="67">
        <f t="shared" si="160"/>
        <v>2174</v>
      </c>
      <c r="BV48" s="67">
        <f t="shared" ref="BV48:BW48" si="161">BV46+BV47</f>
        <v>2694</v>
      </c>
      <c r="BW48" s="67">
        <f t="shared" si="161"/>
        <v>2008</v>
      </c>
      <c r="BX48" s="67">
        <f t="shared" ref="BX48:CB48" si="162">BX46+BX47</f>
        <v>2162</v>
      </c>
      <c r="BY48" s="67">
        <f t="shared" si="162"/>
        <v>2184</v>
      </c>
      <c r="BZ48" s="67">
        <f t="shared" si="162"/>
        <v>2786</v>
      </c>
      <c r="CA48" s="67">
        <f t="shared" si="162"/>
        <v>2214</v>
      </c>
      <c r="CB48" s="67">
        <f t="shared" si="162"/>
        <v>2201</v>
      </c>
      <c r="CC48" s="67">
        <f t="shared" ref="CC48" si="163">CC46+CC47</f>
        <v>2366</v>
      </c>
      <c r="CD48" s="67">
        <f t="shared" ref="CD48" si="164">CD46+CD47</f>
        <v>2947</v>
      </c>
      <c r="CE48" s="67">
        <f t="shared" ref="CE48:CH48" si="165">CE46+CE47</f>
        <v>2170</v>
      </c>
      <c r="CF48" s="67">
        <f t="shared" si="165"/>
        <v>2381</v>
      </c>
      <c r="CG48" s="67">
        <f t="shared" si="165"/>
        <v>2257</v>
      </c>
      <c r="CH48" s="67">
        <f t="shared" si="165"/>
        <v>2753</v>
      </c>
      <c r="CI48" s="117">
        <f>CI46+CI47</f>
        <v>2147</v>
      </c>
      <c r="CJ48" s="117">
        <f>CJ46+CJ47</f>
        <v>2333</v>
      </c>
      <c r="CK48" s="117">
        <f t="shared" ref="CK48:CP48" si="166">CK46+CK47</f>
        <v>2372</v>
      </c>
      <c r="CL48" s="117">
        <f t="shared" si="166"/>
        <v>2759</v>
      </c>
      <c r="CM48" s="117">
        <f t="shared" si="166"/>
        <v>2268</v>
      </c>
      <c r="CN48" s="117">
        <f t="shared" si="166"/>
        <v>2329</v>
      </c>
      <c r="CO48" s="117">
        <f t="shared" si="166"/>
        <v>2363</v>
      </c>
      <c r="CP48" s="117">
        <f t="shared" si="166"/>
        <v>3258</v>
      </c>
      <c r="CQ48" s="117">
        <f t="shared" ref="CQ48:CT48" si="167">CQ46+CQ47</f>
        <v>3029</v>
      </c>
      <c r="CR48" s="117">
        <f t="shared" si="167"/>
        <v>3109</v>
      </c>
      <c r="CS48" s="117">
        <f t="shared" si="167"/>
        <v>3005</v>
      </c>
      <c r="CT48" s="117">
        <f t="shared" si="167"/>
        <v>3517</v>
      </c>
      <c r="CU48" s="117">
        <f>CU46+CU47</f>
        <v>3140</v>
      </c>
      <c r="CV48" s="117">
        <f t="shared" ref="CV48:CX48" si="168">CV46+CV47</f>
        <v>3109</v>
      </c>
      <c r="CW48" s="117">
        <f t="shared" si="168"/>
        <v>3005</v>
      </c>
      <c r="CX48" s="117">
        <f t="shared" si="168"/>
        <v>3517</v>
      </c>
      <c r="CY48" s="117"/>
      <c r="CZ48" s="72"/>
      <c r="DA48" s="67">
        <f t="shared" ref="DA48:DM48" si="169">DA47+DA46</f>
        <v>1696</v>
      </c>
      <c r="DB48" s="67">
        <f t="shared" si="169"/>
        <v>1839</v>
      </c>
      <c r="DC48" s="67">
        <f t="shared" si="169"/>
        <v>2566</v>
      </c>
      <c r="DD48" s="67">
        <f t="shared" si="169"/>
        <v>3514</v>
      </c>
      <c r="DE48" s="67">
        <f t="shared" si="169"/>
        <v>4544</v>
      </c>
      <c r="DF48" s="67">
        <f t="shared" si="169"/>
        <v>5094</v>
      </c>
      <c r="DG48" s="67">
        <f t="shared" si="169"/>
        <v>6425</v>
      </c>
      <c r="DH48" s="67">
        <f t="shared" si="169"/>
        <v>6446</v>
      </c>
      <c r="DI48" s="67">
        <f>DI47+DI46</f>
        <v>6618</v>
      </c>
      <c r="DJ48" s="67">
        <f>DJ47+DJ46</f>
        <v>6476</v>
      </c>
      <c r="DK48" s="67">
        <f>DK47+DK46</f>
        <v>6698</v>
      </c>
      <c r="DL48" s="67">
        <f>DL47+DL46</f>
        <v>7550</v>
      </c>
      <c r="DM48" s="67">
        <f t="shared" si="169"/>
        <v>8013</v>
      </c>
      <c r="DN48" s="67">
        <f t="shared" ref="DN48:DT48" si="170">DN47+DN46</f>
        <v>8834</v>
      </c>
      <c r="DO48" s="67">
        <f t="shared" si="170"/>
        <v>8529</v>
      </c>
      <c r="DP48" s="67">
        <f t="shared" si="170"/>
        <v>8577</v>
      </c>
      <c r="DQ48" s="67">
        <f t="shared" si="170"/>
        <v>8740</v>
      </c>
      <c r="DR48" s="67">
        <f t="shared" si="170"/>
        <v>8248</v>
      </c>
      <c r="DS48" s="67">
        <f t="shared" si="170"/>
        <v>8889</v>
      </c>
      <c r="DT48" s="67">
        <f t="shared" si="170"/>
        <v>9140</v>
      </c>
      <c r="DU48" s="67">
        <f t="shared" ref="DU48:DV48" si="171">DU47+DU46</f>
        <v>9728</v>
      </c>
      <c r="DV48" s="67">
        <f t="shared" si="171"/>
        <v>9561</v>
      </c>
      <c r="DW48" s="67">
        <f t="shared" ref="DW48" si="172">DW47+DW46</f>
        <v>9611</v>
      </c>
      <c r="DX48" s="67">
        <f>DX47+DX46</f>
        <v>10218</v>
      </c>
      <c r="DY48" s="67">
        <f t="shared" ref="DY48:EJ48" si="173">DY47+DY46</f>
        <v>12660</v>
      </c>
      <c r="DZ48" s="67">
        <f t="shared" si="173"/>
        <v>12771</v>
      </c>
      <c r="EA48" s="67">
        <f t="shared" si="173"/>
        <v>6398.25</v>
      </c>
      <c r="EB48" s="67">
        <f t="shared" si="173"/>
        <v>6078.3374999999996</v>
      </c>
      <c r="EC48" s="67">
        <f t="shared" si="173"/>
        <v>5774.4206249999997</v>
      </c>
      <c r="ED48" s="67">
        <f t="shared" si="173"/>
        <v>5485.6995937499996</v>
      </c>
      <c r="EE48" s="67">
        <f t="shared" si="173"/>
        <v>5211.4146140624998</v>
      </c>
      <c r="EF48" s="67">
        <f t="shared" si="173"/>
        <v>4950.8438833593746</v>
      </c>
      <c r="EG48" s="67">
        <f t="shared" si="173"/>
        <v>4703.3016891914058</v>
      </c>
      <c r="EH48" s="67">
        <f t="shared" si="173"/>
        <v>4468.1366047318352</v>
      </c>
      <c r="EI48" s="67">
        <f t="shared" si="173"/>
        <v>4244.729774495243</v>
      </c>
      <c r="EJ48" s="67">
        <f t="shared" si="173"/>
        <v>4032.4932857704807</v>
      </c>
    </row>
    <row r="49" spans="2:210" s="15" customFormat="1">
      <c r="B49" s="15" t="s">
        <v>702</v>
      </c>
      <c r="C49" s="67">
        <f>C45-C48</f>
        <v>347.09999999999991</v>
      </c>
      <c r="D49" s="67">
        <f>D45-D48</f>
        <v>321</v>
      </c>
      <c r="E49" s="67">
        <f t="shared" ref="E49:Z49" si="174">E45-E48</f>
        <v>325</v>
      </c>
      <c r="F49" s="67"/>
      <c r="G49" s="67">
        <f t="shared" si="174"/>
        <v>457.40000000000009</v>
      </c>
      <c r="H49" s="67">
        <f t="shared" si="174"/>
        <v>564.6</v>
      </c>
      <c r="I49" s="67">
        <f t="shared" si="174"/>
        <v>620.99999999999989</v>
      </c>
      <c r="J49" s="67">
        <f t="shared" si="174"/>
        <v>665.20000000000027</v>
      </c>
      <c r="K49" s="67">
        <f t="shared" si="174"/>
        <v>765.60000000000014</v>
      </c>
      <c r="L49" s="67">
        <f t="shared" si="174"/>
        <v>894.79999999999984</v>
      </c>
      <c r="M49" s="67">
        <f t="shared" si="174"/>
        <v>1003.7999999999997</v>
      </c>
      <c r="N49" s="67">
        <f t="shared" si="174"/>
        <v>856.5</v>
      </c>
      <c r="O49" s="67">
        <f t="shared" si="174"/>
        <v>1025.4999999999995</v>
      </c>
      <c r="P49" s="67">
        <f t="shared" si="174"/>
        <v>1102.5</v>
      </c>
      <c r="Q49" s="67">
        <f t="shared" si="174"/>
        <v>1136</v>
      </c>
      <c r="R49" s="67">
        <f t="shared" si="174"/>
        <v>1012</v>
      </c>
      <c r="S49" s="67">
        <f t="shared" si="174"/>
        <v>1246</v>
      </c>
      <c r="T49" s="67">
        <f t="shared" si="174"/>
        <v>1432</v>
      </c>
      <c r="U49" s="67">
        <f t="shared" si="174"/>
        <v>1434</v>
      </c>
      <c r="V49" s="67">
        <f t="shared" si="174"/>
        <v>1189</v>
      </c>
      <c r="W49" s="67">
        <f t="shared" si="174"/>
        <v>1389</v>
      </c>
      <c r="X49" s="67">
        <f t="shared" si="174"/>
        <v>1584</v>
      </c>
      <c r="Y49" s="67">
        <f t="shared" si="174"/>
        <v>1510</v>
      </c>
      <c r="Z49" s="67">
        <f t="shared" si="174"/>
        <v>1280</v>
      </c>
      <c r="AA49" s="67">
        <f t="shared" ref="AA49:AJ49" si="175">AA45-AA48</f>
        <v>1577</v>
      </c>
      <c r="AB49" s="67">
        <f t="shared" si="175"/>
        <v>1565</v>
      </c>
      <c r="AC49" s="67">
        <f t="shared" si="175"/>
        <v>1523</v>
      </c>
      <c r="AD49" s="67">
        <f t="shared" si="175"/>
        <v>1405</v>
      </c>
      <c r="AE49" s="67">
        <f t="shared" si="175"/>
        <v>1548</v>
      </c>
      <c r="AF49" s="67">
        <f>AF45-AF48</f>
        <v>1579</v>
      </c>
      <c r="AG49" s="67">
        <f t="shared" si="175"/>
        <v>1695</v>
      </c>
      <c r="AH49" s="67">
        <f t="shared" si="175"/>
        <v>1370</v>
      </c>
      <c r="AI49" s="67">
        <f t="shared" si="175"/>
        <v>1455</v>
      </c>
      <c r="AJ49" s="67">
        <f t="shared" si="175"/>
        <v>1638</v>
      </c>
      <c r="AK49" s="67">
        <f t="shared" ref="AK49:AU49" si="176">AK45-AK48</f>
        <v>1744</v>
      </c>
      <c r="AL49" s="67">
        <f t="shared" si="176"/>
        <v>1251</v>
      </c>
      <c r="AM49" s="67">
        <f t="shared" si="176"/>
        <v>1598</v>
      </c>
      <c r="AN49" s="67">
        <f t="shared" si="176"/>
        <v>1645</v>
      </c>
      <c r="AO49" s="67">
        <f t="shared" si="176"/>
        <v>1601</v>
      </c>
      <c r="AP49" s="67">
        <f t="shared" si="176"/>
        <v>1306</v>
      </c>
      <c r="AQ49" s="67">
        <f>AQ45-AQ48</f>
        <v>1452</v>
      </c>
      <c r="AR49" s="67">
        <f>AR45-AR48</f>
        <v>1471</v>
      </c>
      <c r="AS49" s="67">
        <f t="shared" si="176"/>
        <v>1475</v>
      </c>
      <c r="AT49" s="67">
        <f t="shared" si="176"/>
        <v>1289</v>
      </c>
      <c r="AU49" s="67">
        <f t="shared" si="176"/>
        <v>1602</v>
      </c>
      <c r="AV49" s="67">
        <f>AV45-AV48</f>
        <v>1803</v>
      </c>
      <c r="AW49" s="67">
        <f t="shared" ref="AW49:AZ49" si="177">AW45-AW48</f>
        <v>1686</v>
      </c>
      <c r="AX49" s="67">
        <f t="shared" si="177"/>
        <v>1426</v>
      </c>
      <c r="AY49" s="67">
        <f t="shared" si="177"/>
        <v>1572</v>
      </c>
      <c r="AZ49" s="67">
        <f t="shared" si="177"/>
        <v>1784</v>
      </c>
      <c r="BA49" s="67">
        <f t="shared" ref="BA49:BC49" si="178">+BA45-BA48</f>
        <v>1849</v>
      </c>
      <c r="BB49" s="67">
        <f t="shared" si="178"/>
        <v>1767</v>
      </c>
      <c r="BC49" s="67">
        <f t="shared" si="178"/>
        <v>1860</v>
      </c>
      <c r="BD49" s="67">
        <f t="shared" ref="BD49:BJ49" si="179">+BD45-BD48</f>
        <v>2319</v>
      </c>
      <c r="BE49" s="67">
        <f t="shared" si="179"/>
        <v>2263</v>
      </c>
      <c r="BF49" s="67">
        <f t="shared" si="179"/>
        <v>2033</v>
      </c>
      <c r="BG49" s="67">
        <f t="shared" si="179"/>
        <v>2449</v>
      </c>
      <c r="BH49" s="67">
        <f t="shared" si="179"/>
        <v>2551</v>
      </c>
      <c r="BI49" s="67">
        <f t="shared" si="179"/>
        <v>2686</v>
      </c>
      <c r="BJ49" s="67">
        <f t="shared" si="179"/>
        <v>2366</v>
      </c>
      <c r="BK49" s="67">
        <f t="shared" ref="BK49" si="180">+BK45-BK48</f>
        <v>2859</v>
      </c>
      <c r="BL49" s="67">
        <f t="shared" ref="BL49:BU49" si="181">+BL45-BL48</f>
        <v>2446</v>
      </c>
      <c r="BM49" s="67">
        <f t="shared" si="181"/>
        <v>2550</v>
      </c>
      <c r="BN49" s="67">
        <f t="shared" si="181"/>
        <v>2859</v>
      </c>
      <c r="BO49" s="67">
        <f t="shared" si="181"/>
        <v>2995</v>
      </c>
      <c r="BP49" s="67">
        <f t="shared" si="181"/>
        <v>3075</v>
      </c>
      <c r="BQ49" s="67">
        <f t="shared" si="181"/>
        <v>3033</v>
      </c>
      <c r="BR49" s="67">
        <f t="shared" si="181"/>
        <v>2555</v>
      </c>
      <c r="BS49" s="67">
        <f t="shared" si="181"/>
        <v>3038</v>
      </c>
      <c r="BT49" s="67">
        <f t="shared" si="181"/>
        <v>3131</v>
      </c>
      <c r="BU49" s="67">
        <f t="shared" si="181"/>
        <v>2971</v>
      </c>
      <c r="BV49" s="67">
        <f t="shared" ref="BV49:BW49" si="182">BV45-BV48</f>
        <v>2717</v>
      </c>
      <c r="BW49" s="67">
        <f t="shared" si="182"/>
        <v>2770</v>
      </c>
      <c r="BX49" s="67">
        <f t="shared" ref="BX49:CB49" si="183">BX45-BX48</f>
        <v>2973</v>
      </c>
      <c r="BY49" s="67">
        <f t="shared" si="183"/>
        <v>2793</v>
      </c>
      <c r="BZ49" s="67">
        <f t="shared" si="183"/>
        <v>2621</v>
      </c>
      <c r="CA49" s="67">
        <f t="shared" si="183"/>
        <v>3176</v>
      </c>
      <c r="CB49" s="67">
        <f t="shared" si="183"/>
        <v>3247</v>
      </c>
      <c r="CC49" s="67">
        <f t="shared" ref="CC49" si="184">CC45-CC48</f>
        <v>3183</v>
      </c>
      <c r="CD49" s="67">
        <f t="shared" ref="CD49" si="185">CD45-CD48</f>
        <v>2728</v>
      </c>
      <c r="CE49" s="67">
        <f t="shared" ref="CE49:CH49" si="186">CE45-CE48</f>
        <v>2864</v>
      </c>
      <c r="CF49" s="67">
        <f t="shared" si="186"/>
        <v>3111</v>
      </c>
      <c r="CG49" s="67">
        <f t="shared" si="186"/>
        <v>3452</v>
      </c>
      <c r="CH49" s="67">
        <f t="shared" si="186"/>
        <v>2997</v>
      </c>
      <c r="CI49" s="117">
        <f>CI45-CI48</f>
        <v>3140</v>
      </c>
      <c r="CJ49" s="117">
        <f>CJ45-CJ48</f>
        <v>3335</v>
      </c>
      <c r="CK49" s="117">
        <f t="shared" ref="CK49:CP49" si="187">CK45-CK48</f>
        <v>3277</v>
      </c>
      <c r="CL49" s="117">
        <f>CL45-CL48</f>
        <v>3009</v>
      </c>
      <c r="CM49" s="117">
        <f t="shared" si="187"/>
        <v>2821</v>
      </c>
      <c r="CN49" s="117">
        <f t="shared" si="187"/>
        <v>3515</v>
      </c>
      <c r="CO49" s="117">
        <f t="shared" si="187"/>
        <v>3403</v>
      </c>
      <c r="CP49" s="117">
        <f t="shared" si="187"/>
        <v>3660</v>
      </c>
      <c r="CQ49" s="117">
        <f t="shared" ref="CQ49:CT49" si="188">CQ45-CQ48</f>
        <v>3078</v>
      </c>
      <c r="CR49" s="117">
        <f t="shared" si="188"/>
        <v>3873</v>
      </c>
      <c r="CS49" s="117">
        <f t="shared" si="188"/>
        <v>4044</v>
      </c>
      <c r="CT49" s="117">
        <f t="shared" si="188"/>
        <v>4033</v>
      </c>
      <c r="CU49" s="117">
        <f>CU45-CU48</f>
        <v>3589</v>
      </c>
      <c r="CV49" s="117">
        <f t="shared" ref="CV49:CX49" si="189">CV45-CV48</f>
        <v>3781.4110000000001</v>
      </c>
      <c r="CW49" s="117">
        <f t="shared" si="189"/>
        <v>3941.5189999999993</v>
      </c>
      <c r="CX49" s="117">
        <f t="shared" si="189"/>
        <v>3663.5789999999988</v>
      </c>
      <c r="CY49" s="117"/>
      <c r="CZ49" s="72"/>
      <c r="DA49" s="67">
        <f t="shared" ref="DA49:DF49" si="190">DA45-DA48</f>
        <v>1509.4</v>
      </c>
      <c r="DB49" s="67">
        <f t="shared" si="190"/>
        <v>1720.1</v>
      </c>
      <c r="DC49" s="67">
        <f t="shared" si="190"/>
        <v>2110.6000000000004</v>
      </c>
      <c r="DD49" s="67">
        <f t="shared" si="190"/>
        <v>3519.5</v>
      </c>
      <c r="DE49" s="67">
        <f t="shared" si="190"/>
        <v>4276</v>
      </c>
      <c r="DF49" s="67">
        <f t="shared" si="190"/>
        <v>5300.9429999999993</v>
      </c>
      <c r="DG49" s="67">
        <f t="shared" ref="DG49:DM49" si="191">DG45-DG48</f>
        <v>5763</v>
      </c>
      <c r="DH49" s="67">
        <f t="shared" si="191"/>
        <v>6070</v>
      </c>
      <c r="DI49" s="67">
        <f>DI45-DI48</f>
        <v>6192</v>
      </c>
      <c r="DJ49" s="67">
        <f>DJ45-DJ48</f>
        <v>6088</v>
      </c>
      <c r="DK49" s="67">
        <f>DK45-DK48</f>
        <v>6150</v>
      </c>
      <c r="DL49" s="67">
        <f>DL45-DL48</f>
        <v>5645.4</v>
      </c>
      <c r="DM49" s="67">
        <f t="shared" si="191"/>
        <v>3548.6234999999997</v>
      </c>
      <c r="DN49" s="67">
        <f t="shared" ref="DN49:DT49" si="192">DN45-DN48</f>
        <v>3572.6892499999994</v>
      </c>
      <c r="DO49" s="67">
        <f t="shared" si="192"/>
        <v>3221.624824999999</v>
      </c>
      <c r="DP49" s="67">
        <f t="shared" si="192"/>
        <v>2503.2976974999983</v>
      </c>
      <c r="DQ49" s="67">
        <f t="shared" si="192"/>
        <v>2301.4959624999974</v>
      </c>
      <c r="DR49" s="67">
        <f t="shared" si="192"/>
        <v>8132.35</v>
      </c>
      <c r="DS49" s="67">
        <f t="shared" si="192"/>
        <v>8408</v>
      </c>
      <c r="DT49" s="67">
        <f t="shared" si="192"/>
        <v>11157</v>
      </c>
      <c r="DU49" s="67">
        <f t="shared" ref="DU49:DV49" si="193">DU45-DU48</f>
        <v>12334</v>
      </c>
      <c r="DV49" s="67">
        <f t="shared" si="193"/>
        <v>12424</v>
      </c>
      <c r="DW49" s="67">
        <f t="shared" ref="DW49" si="194">DW45-DW48</f>
        <v>12761</v>
      </c>
      <c r="DX49" s="67">
        <f>DX45-DX48</f>
        <v>13399</v>
      </c>
      <c r="DY49" s="67">
        <f t="shared" ref="DY49:EJ49" si="195">DY45-DY48</f>
        <v>15750.399999999998</v>
      </c>
      <c r="DZ49" s="67">
        <f t="shared" si="195"/>
        <v>15467.955000000002</v>
      </c>
      <c r="EA49" s="67">
        <f t="shared" si="195"/>
        <v>21167.5815</v>
      </c>
      <c r="EB49" s="67">
        <f t="shared" si="195"/>
        <v>21489.299570000003</v>
      </c>
      <c r="EC49" s="67">
        <f t="shared" si="195"/>
        <v>21540.544626450002</v>
      </c>
      <c r="ED49" s="67">
        <f t="shared" si="195"/>
        <v>21623.656789489505</v>
      </c>
      <c r="EE49" s="67">
        <f t="shared" si="195"/>
        <v>21834.517644768399</v>
      </c>
      <c r="EF49" s="67">
        <f t="shared" si="195"/>
        <v>22353.486152267447</v>
      </c>
      <c r="EG49" s="67">
        <f t="shared" si="195"/>
        <v>22903.073426455478</v>
      </c>
      <c r="EH49" s="67">
        <f t="shared" si="195"/>
        <v>23785.970297536842</v>
      </c>
      <c r="EI49" s="67">
        <f t="shared" si="195"/>
        <v>24899.468467114355</v>
      </c>
      <c r="EJ49" s="67">
        <f t="shared" si="195"/>
        <v>19282.949786541747</v>
      </c>
    </row>
    <row r="50" spans="2:210" s="15" customFormat="1">
      <c r="B50" s="15" t="s">
        <v>448</v>
      </c>
      <c r="C50" s="67">
        <v>36.700000000000003</v>
      </c>
      <c r="D50" s="67">
        <v>32.799999999999997</v>
      </c>
      <c r="E50" s="67">
        <v>12.1</v>
      </c>
      <c r="F50" s="67"/>
      <c r="G50" s="67">
        <v>36.700000000000003</v>
      </c>
      <c r="H50" s="67">
        <v>32.799999999999997</v>
      </c>
      <c r="I50" s="67">
        <v>12.1</v>
      </c>
      <c r="J50" s="67">
        <v>18.399999999999999</v>
      </c>
      <c r="K50" s="67">
        <v>25.9</v>
      </c>
      <c r="L50" s="67">
        <v>31.6</v>
      </c>
      <c r="M50" s="67">
        <v>9.4</v>
      </c>
      <c r="N50" s="67">
        <v>15</v>
      </c>
      <c r="O50" s="67">
        <v>21.1</v>
      </c>
      <c r="P50" s="67">
        <v>10.1</v>
      </c>
      <c r="Q50" s="67">
        <v>15</v>
      </c>
      <c r="R50" s="67">
        <v>7</v>
      </c>
      <c r="S50" s="67">
        <v>10</v>
      </c>
      <c r="T50" s="67">
        <v>-14</v>
      </c>
      <c r="U50" s="67">
        <v>14</v>
      </c>
      <c r="V50" s="67">
        <v>10</v>
      </c>
      <c r="W50" s="67">
        <v>80</v>
      </c>
      <c r="X50" s="67">
        <v>21</v>
      </c>
      <c r="Y50" s="67">
        <v>39</v>
      </c>
      <c r="Z50" s="67">
        <v>40</v>
      </c>
      <c r="AA50" s="67">
        <v>45</v>
      </c>
      <c r="AB50" s="67">
        <v>7</v>
      </c>
      <c r="AC50" s="67">
        <v>-21</v>
      </c>
      <c r="AD50" s="67">
        <v>1</v>
      </c>
      <c r="AE50" s="67">
        <v>22</v>
      </c>
      <c r="AF50" s="67">
        <v>9</v>
      </c>
      <c r="AG50" s="67">
        <v>-3</v>
      </c>
      <c r="AH50" s="67">
        <v>18</v>
      </c>
      <c r="AI50" s="67">
        <v>-28</v>
      </c>
      <c r="AJ50" s="67">
        <f>-88+50</f>
        <v>-38</v>
      </c>
      <c r="AK50" s="67">
        <f>-76+74</f>
        <v>-2</v>
      </c>
      <c r="AL50" s="67">
        <f>-78+94</f>
        <v>16</v>
      </c>
      <c r="AM50" s="67">
        <f>-80+84</f>
        <v>4</v>
      </c>
      <c r="AN50" s="67">
        <f>-81+94</f>
        <v>13</v>
      </c>
      <c r="AO50" s="67">
        <f>-83+105</f>
        <v>22</v>
      </c>
      <c r="AP50" s="67">
        <v>-1</v>
      </c>
      <c r="AQ50" s="67">
        <f>148-91</f>
        <v>57</v>
      </c>
      <c r="AR50" s="67">
        <f>-90+129</f>
        <v>39</v>
      </c>
      <c r="AS50" s="67">
        <f>-158+87</f>
        <v>-71</v>
      </c>
      <c r="AT50" s="67">
        <f>-195+84</f>
        <v>-111</v>
      </c>
      <c r="AU50" s="67">
        <f>-201+124</f>
        <v>-77</v>
      </c>
      <c r="AV50" s="67">
        <f>-79-256+124</f>
        <v>-211</v>
      </c>
      <c r="AW50" s="67">
        <f>-271+111</f>
        <v>-160</v>
      </c>
      <c r="AX50" s="67">
        <f>-291+126</f>
        <v>-165</v>
      </c>
      <c r="AY50" s="67">
        <f>-263+164</f>
        <v>-99</v>
      </c>
      <c r="AZ50" s="67">
        <f>-241+96</f>
        <v>-145</v>
      </c>
      <c r="BA50" s="67">
        <f>-257+72</f>
        <v>-185</v>
      </c>
      <c r="BB50" s="67">
        <f>-261+88</f>
        <v>-173</v>
      </c>
      <c r="BC50" s="67">
        <f>-259+99</f>
        <v>-160</v>
      </c>
      <c r="BD50" s="67">
        <f>-282+138</f>
        <v>-144</v>
      </c>
      <c r="BE50" s="67">
        <f>-269+140</f>
        <v>-129</v>
      </c>
      <c r="BF50" s="67">
        <f>-261+88</f>
        <v>-173</v>
      </c>
      <c r="BG50" s="67">
        <f>-252+106</f>
        <v>-146</v>
      </c>
      <c r="BH50" s="67">
        <f>-277+198</f>
        <v>-79</v>
      </c>
      <c r="BI50" s="67">
        <f>-282+135</f>
        <v>-147</v>
      </c>
      <c r="BJ50" s="67">
        <f>-284+164</f>
        <v>-120</v>
      </c>
      <c r="BK50" s="67">
        <f>-294+150</f>
        <v>-144</v>
      </c>
      <c r="BL50" s="67">
        <f>-313+137</f>
        <v>-176</v>
      </c>
      <c r="BM50" s="67">
        <f>-325+216</f>
        <v>-109</v>
      </c>
      <c r="BN50" s="67">
        <f>-328+126</f>
        <v>-202</v>
      </c>
      <c r="BO50" s="67">
        <f>-326+195</f>
        <v>-131</v>
      </c>
      <c r="BP50" s="67">
        <f>-321+165</f>
        <v>-156</v>
      </c>
      <c r="BQ50" s="67">
        <f>-325+267</f>
        <v>-58</v>
      </c>
      <c r="BR50" s="67">
        <f>-332+301</f>
        <v>-31</v>
      </c>
      <c r="BS50" s="67">
        <f>-338+231</f>
        <v>-107</v>
      </c>
      <c r="BT50" s="67">
        <f>-347+162</f>
        <v>-185</v>
      </c>
      <c r="BU50" s="67">
        <f>-355+126</f>
        <v>-229</v>
      </c>
      <c r="BV50" s="67">
        <f>-352+155</f>
        <v>-197</v>
      </c>
      <c r="BW50" s="67">
        <f>-343+185</f>
        <v>-158</v>
      </c>
      <c r="BX50" s="67">
        <f>-332-218</f>
        <v>-550</v>
      </c>
      <c r="BY50" s="67">
        <f>-333+114</f>
        <v>-219</v>
      </c>
      <c r="BZ50" s="67">
        <f>-301+236</f>
        <v>-65</v>
      </c>
      <c r="CA50" s="67">
        <f>-346+11</f>
        <v>-335</v>
      </c>
      <c r="CB50" s="67">
        <v>-293</v>
      </c>
      <c r="CC50" s="67">
        <v>-302</v>
      </c>
      <c r="CD50" s="67">
        <v>-318</v>
      </c>
      <c r="CE50" s="67">
        <v>-285</v>
      </c>
      <c r="CF50" s="67">
        <f>-281+54</f>
        <v>-227</v>
      </c>
      <c r="CG50" s="67">
        <v>-296</v>
      </c>
      <c r="CH50" s="67">
        <v>-335</v>
      </c>
      <c r="CI50" s="117">
        <v>-295</v>
      </c>
      <c r="CJ50" s="117">
        <f>-328-82</f>
        <v>-410</v>
      </c>
      <c r="CK50" s="117">
        <f>-368+100</f>
        <v>-268</v>
      </c>
      <c r="CL50" s="117">
        <f>34-415-67-10</f>
        <v>-458</v>
      </c>
      <c r="CM50" s="117">
        <f>-148-420+205</f>
        <v>-363</v>
      </c>
      <c r="CN50" s="117">
        <f>-419+82</f>
        <v>-337</v>
      </c>
      <c r="CO50" s="117">
        <f>-427+202</f>
        <v>-225</v>
      </c>
      <c r="CP50" s="117">
        <f>-802+167</f>
        <v>-635</v>
      </c>
      <c r="CQ50" s="117">
        <f>-105-824+275</f>
        <v>-654</v>
      </c>
      <c r="CR50" s="117">
        <f>11-808</f>
        <v>-797</v>
      </c>
      <c r="CS50" s="117">
        <v>-776</v>
      </c>
      <c r="CT50" s="117">
        <f>-747-61+93</f>
        <v>-715</v>
      </c>
      <c r="CU50" s="117">
        <v>-723</v>
      </c>
      <c r="CV50" s="117">
        <f t="shared" ref="CV50:CX50" si="196">+CR50</f>
        <v>-797</v>
      </c>
      <c r="CW50" s="117">
        <f t="shared" si="196"/>
        <v>-776</v>
      </c>
      <c r="CX50" s="117">
        <f t="shared" si="196"/>
        <v>-715</v>
      </c>
      <c r="CY50" s="117"/>
      <c r="CZ50" s="72"/>
      <c r="DA50" s="72"/>
      <c r="DB50" s="72"/>
      <c r="DC50" s="72"/>
      <c r="DD50" s="67">
        <v>82</v>
      </c>
      <c r="DE50" s="67">
        <f>SUM(O50:R50)</f>
        <v>53.2</v>
      </c>
      <c r="DF50" s="67">
        <f>SUM(S50:V50)</f>
        <v>20</v>
      </c>
      <c r="DG50" s="67">
        <v>180</v>
      </c>
      <c r="DH50" s="67">
        <v>150</v>
      </c>
      <c r="DI50" s="67">
        <f>SUM(AE50:AH50)</f>
        <v>46</v>
      </c>
      <c r="DJ50" s="67">
        <f>DI74*0.08</f>
        <v>-23.6</v>
      </c>
      <c r="DK50" s="67">
        <f>SUM(AM50:AP50)</f>
        <v>38</v>
      </c>
      <c r="DL50" s="67">
        <v>0</v>
      </c>
      <c r="DM50" s="67">
        <f t="shared" ref="DM50:DR50" si="197">DL74*$EM$56</f>
        <v>139.73456999999999</v>
      </c>
      <c r="DN50" s="67">
        <f t="shared" si="197"/>
        <v>168.87259875299998</v>
      </c>
      <c r="DO50" s="67">
        <f t="shared" si="197"/>
        <v>198.4309373581487</v>
      </c>
      <c r="DP50" s="67">
        <f t="shared" si="197"/>
        <v>225.44937788077806</v>
      </c>
      <c r="DQ50" s="67">
        <f t="shared" si="197"/>
        <v>247.00647977628617</v>
      </c>
      <c r="DR50" s="67">
        <f t="shared" si="197"/>
        <v>267.13964907026883</v>
      </c>
      <c r="DS50" s="67">
        <f t="shared" ref="DS50" si="198">SUM(BS50:BV50)</f>
        <v>-718</v>
      </c>
      <c r="DT50" s="67">
        <f>SUM(BW50:BZ50)</f>
        <v>-992</v>
      </c>
      <c r="DU50" s="67">
        <v>-1262</v>
      </c>
      <c r="DV50" s="67">
        <v>-1197</v>
      </c>
      <c r="DW50" s="67">
        <f t="shared" ref="DW50:DW52" si="199">SUM(CI50:CL50)</f>
        <v>-1431</v>
      </c>
      <c r="DX50" s="67">
        <f t="shared" ref="DX50:DX52" si="200">SUM(CM50:CP50)</f>
        <v>-1560</v>
      </c>
      <c r="DY50" s="67">
        <f t="shared" ref="DY50" si="201">SUM(CQ50:CT50)</f>
        <v>-2942</v>
      </c>
      <c r="DZ50" s="67">
        <f t="shared" ref="DZ50" si="202">SUM(CU50:CX50)</f>
        <v>-3011</v>
      </c>
      <c r="EA50" s="67">
        <f>+DZ74*$EM$56</f>
        <v>0</v>
      </c>
      <c r="EB50" s="67">
        <f t="shared" ref="EB50:EJ50" si="203">+EA74*$EM$56</f>
        <v>169.34065200000001</v>
      </c>
      <c r="EC50" s="67">
        <f t="shared" si="203"/>
        <v>342.60977377600005</v>
      </c>
      <c r="ED50" s="67">
        <f t="shared" si="203"/>
        <v>517.67500897780815</v>
      </c>
      <c r="EE50" s="67">
        <f t="shared" si="203"/>
        <v>694.80566336554671</v>
      </c>
      <c r="EF50" s="67">
        <f t="shared" si="203"/>
        <v>875.04024983061834</v>
      </c>
      <c r="EG50" s="67">
        <f t="shared" si="203"/>
        <v>1060.8684610474029</v>
      </c>
      <c r="EH50" s="67">
        <f t="shared" si="203"/>
        <v>1252.5799961474258</v>
      </c>
      <c r="EI50" s="67">
        <f t="shared" si="203"/>
        <v>1452.8883984969</v>
      </c>
      <c r="EJ50" s="67">
        <f t="shared" si="203"/>
        <v>1663.70725342179</v>
      </c>
    </row>
    <row r="51" spans="2:210" s="15" customFormat="1">
      <c r="B51" s="15" t="s">
        <v>102</v>
      </c>
      <c r="C51" s="67">
        <f>C49+C50</f>
        <v>383.7999999999999</v>
      </c>
      <c r="D51" s="67">
        <f>D49+D50</f>
        <v>353.8</v>
      </c>
      <c r="E51" s="67">
        <f>SUM(E49:E50)</f>
        <v>337.1</v>
      </c>
      <c r="F51" s="67"/>
      <c r="G51" s="67">
        <f>G49+G50+1.7</f>
        <v>495.80000000000007</v>
      </c>
      <c r="H51" s="67">
        <f>SUM(H49:H50)+5.3</f>
        <v>602.69999999999993</v>
      </c>
      <c r="I51" s="67">
        <f t="shared" ref="I51:Z51" si="204">SUM(I49:I50)</f>
        <v>633.09999999999991</v>
      </c>
      <c r="J51" s="67">
        <f t="shared" si="204"/>
        <v>683.60000000000025</v>
      </c>
      <c r="K51" s="67">
        <f>K49+K50+5.2</f>
        <v>796.70000000000016</v>
      </c>
      <c r="L51" s="67">
        <f>SUM(L49:L50)+5.3</f>
        <v>931.69999999999982</v>
      </c>
      <c r="M51" s="67">
        <f t="shared" si="204"/>
        <v>1013.1999999999997</v>
      </c>
      <c r="N51" s="67">
        <f t="shared" si="204"/>
        <v>871.5</v>
      </c>
      <c r="O51" s="67">
        <f>SUM(O49:O50)+5.3</f>
        <v>1051.8999999999994</v>
      </c>
      <c r="P51" s="67">
        <f>SUM(P49:P50)+5.3</f>
        <v>1117.8999999999999</v>
      </c>
      <c r="Q51" s="67">
        <f t="shared" si="204"/>
        <v>1151</v>
      </c>
      <c r="R51" s="67">
        <f t="shared" si="204"/>
        <v>1019</v>
      </c>
      <c r="S51" s="67">
        <f t="shared" si="204"/>
        <v>1256</v>
      </c>
      <c r="T51" s="67">
        <f t="shared" si="204"/>
        <v>1418</v>
      </c>
      <c r="U51" s="67">
        <f t="shared" si="204"/>
        <v>1448</v>
      </c>
      <c r="V51" s="67">
        <f t="shared" si="204"/>
        <v>1199</v>
      </c>
      <c r="W51" s="67">
        <f t="shared" si="204"/>
        <v>1469</v>
      </c>
      <c r="X51" s="67">
        <f t="shared" si="204"/>
        <v>1605</v>
      </c>
      <c r="Y51" s="67">
        <f t="shared" si="204"/>
        <v>1549</v>
      </c>
      <c r="Z51" s="67">
        <f t="shared" si="204"/>
        <v>1320</v>
      </c>
      <c r="AA51" s="67">
        <f t="shared" ref="AA51:AJ51" si="205">SUM(AA49:AA50)</f>
        <v>1622</v>
      </c>
      <c r="AB51" s="67">
        <f t="shared" si="205"/>
        <v>1572</v>
      </c>
      <c r="AC51" s="67">
        <f t="shared" si="205"/>
        <v>1502</v>
      </c>
      <c r="AD51" s="67">
        <f t="shared" si="205"/>
        <v>1406</v>
      </c>
      <c r="AE51" s="67">
        <f t="shared" si="205"/>
        <v>1570</v>
      </c>
      <c r="AF51" s="67">
        <f t="shared" si="205"/>
        <v>1588</v>
      </c>
      <c r="AG51" s="67">
        <f t="shared" si="205"/>
        <v>1692</v>
      </c>
      <c r="AH51" s="67">
        <f t="shared" si="205"/>
        <v>1388</v>
      </c>
      <c r="AI51" s="67">
        <f t="shared" si="205"/>
        <v>1427</v>
      </c>
      <c r="AJ51" s="67">
        <f t="shared" si="205"/>
        <v>1600</v>
      </c>
      <c r="AK51" s="67">
        <f t="shared" ref="AK51:AT51" si="206">SUM(AK49:AK50)</f>
        <v>1742</v>
      </c>
      <c r="AL51" s="67">
        <f t="shared" si="206"/>
        <v>1267</v>
      </c>
      <c r="AM51" s="67">
        <f t="shared" si="206"/>
        <v>1602</v>
      </c>
      <c r="AN51" s="67">
        <f t="shared" si="206"/>
        <v>1658</v>
      </c>
      <c r="AO51" s="67">
        <f t="shared" si="206"/>
        <v>1623</v>
      </c>
      <c r="AP51" s="67">
        <f t="shared" si="206"/>
        <v>1305</v>
      </c>
      <c r="AQ51" s="67">
        <f t="shared" si="206"/>
        <v>1509</v>
      </c>
      <c r="AR51" s="67">
        <f t="shared" si="206"/>
        <v>1510</v>
      </c>
      <c r="AS51" s="67">
        <f t="shared" si="206"/>
        <v>1404</v>
      </c>
      <c r="AT51" s="67">
        <f t="shared" si="206"/>
        <v>1178</v>
      </c>
      <c r="AU51" s="67">
        <f t="shared" ref="AU51:AZ51" si="207">+AU50+AU49</f>
        <v>1525</v>
      </c>
      <c r="AV51" s="67">
        <f t="shared" si="207"/>
        <v>1592</v>
      </c>
      <c r="AW51" s="67">
        <f t="shared" si="207"/>
        <v>1526</v>
      </c>
      <c r="AX51" s="67">
        <f t="shared" si="207"/>
        <v>1261</v>
      </c>
      <c r="AY51" s="67">
        <f t="shared" si="207"/>
        <v>1473</v>
      </c>
      <c r="AZ51" s="67">
        <f t="shared" si="207"/>
        <v>1639</v>
      </c>
      <c r="BA51" s="67">
        <f t="shared" ref="BA51:BI51" si="208">+BA50+BA49</f>
        <v>1664</v>
      </c>
      <c r="BB51" s="67">
        <f t="shared" si="208"/>
        <v>1594</v>
      </c>
      <c r="BC51" s="67">
        <f t="shared" si="208"/>
        <v>1700</v>
      </c>
      <c r="BD51" s="67">
        <f t="shared" si="208"/>
        <v>2175</v>
      </c>
      <c r="BE51" s="67">
        <f t="shared" si="208"/>
        <v>2134</v>
      </c>
      <c r="BF51" s="67">
        <f t="shared" si="208"/>
        <v>1860</v>
      </c>
      <c r="BG51" s="67">
        <f t="shared" si="208"/>
        <v>2303</v>
      </c>
      <c r="BH51" s="67">
        <f t="shared" si="208"/>
        <v>2472</v>
      </c>
      <c r="BI51" s="67">
        <f t="shared" si="208"/>
        <v>2539</v>
      </c>
      <c r="BJ51" s="67">
        <f t="shared" ref="BJ51:BV51" si="209">+BJ49+BJ50</f>
        <v>2246</v>
      </c>
      <c r="BK51" s="67">
        <f t="shared" si="209"/>
        <v>2715</v>
      </c>
      <c r="BL51" s="67">
        <f t="shared" si="209"/>
        <v>2270</v>
      </c>
      <c r="BM51" s="67">
        <f t="shared" si="209"/>
        <v>2441</v>
      </c>
      <c r="BN51" s="67">
        <f t="shared" si="209"/>
        <v>2657</v>
      </c>
      <c r="BO51" s="67">
        <f t="shared" si="209"/>
        <v>2864</v>
      </c>
      <c r="BP51" s="67">
        <f t="shared" si="209"/>
        <v>2919</v>
      </c>
      <c r="BQ51" s="67">
        <f t="shared" si="209"/>
        <v>2975</v>
      </c>
      <c r="BR51" s="67">
        <f t="shared" si="209"/>
        <v>2524</v>
      </c>
      <c r="BS51" s="67">
        <f t="shared" si="209"/>
        <v>2931</v>
      </c>
      <c r="BT51" s="67">
        <f t="shared" si="209"/>
        <v>2946</v>
      </c>
      <c r="BU51" s="67">
        <f t="shared" si="209"/>
        <v>2742</v>
      </c>
      <c r="BV51" s="67">
        <f t="shared" si="209"/>
        <v>2520</v>
      </c>
      <c r="BW51" s="67">
        <f t="shared" ref="BW51:CE51" si="210">BW49+BW50</f>
        <v>2612</v>
      </c>
      <c r="BX51" s="67">
        <f t="shared" si="210"/>
        <v>2423</v>
      </c>
      <c r="BY51" s="67">
        <f t="shared" si="210"/>
        <v>2574</v>
      </c>
      <c r="BZ51" s="67">
        <f t="shared" si="210"/>
        <v>2556</v>
      </c>
      <c r="CA51" s="67">
        <f t="shared" si="210"/>
        <v>2841</v>
      </c>
      <c r="CB51" s="67">
        <f t="shared" si="210"/>
        <v>2954</v>
      </c>
      <c r="CC51" s="67">
        <f t="shared" si="210"/>
        <v>2881</v>
      </c>
      <c r="CD51" s="67">
        <f t="shared" si="210"/>
        <v>2410</v>
      </c>
      <c r="CE51" s="67">
        <f t="shared" si="210"/>
        <v>2579</v>
      </c>
      <c r="CF51" s="67">
        <f t="shared" ref="CF51:CX51" si="211">CF49+CF50</f>
        <v>2884</v>
      </c>
      <c r="CG51" s="67">
        <f t="shared" si="211"/>
        <v>3156</v>
      </c>
      <c r="CH51" s="67">
        <f t="shared" si="211"/>
        <v>2662</v>
      </c>
      <c r="CI51" s="117">
        <f t="shared" si="211"/>
        <v>2845</v>
      </c>
      <c r="CJ51" s="117">
        <f t="shared" si="211"/>
        <v>2925</v>
      </c>
      <c r="CK51" s="117">
        <f t="shared" si="211"/>
        <v>3009</v>
      </c>
      <c r="CL51" s="117">
        <f t="shared" si="211"/>
        <v>2551</v>
      </c>
      <c r="CM51" s="117">
        <f t="shared" si="211"/>
        <v>2458</v>
      </c>
      <c r="CN51" s="117">
        <f t="shared" si="211"/>
        <v>3178</v>
      </c>
      <c r="CO51" s="117">
        <f t="shared" si="211"/>
        <v>3178</v>
      </c>
      <c r="CP51" s="117">
        <f t="shared" si="211"/>
        <v>3025</v>
      </c>
      <c r="CQ51" s="117">
        <f t="shared" si="211"/>
        <v>2424</v>
      </c>
      <c r="CR51" s="117">
        <f t="shared" si="211"/>
        <v>3076</v>
      </c>
      <c r="CS51" s="117">
        <f t="shared" si="211"/>
        <v>3268</v>
      </c>
      <c r="CT51" s="117">
        <f t="shared" si="211"/>
        <v>3318</v>
      </c>
      <c r="CU51" s="117">
        <f t="shared" si="211"/>
        <v>2866</v>
      </c>
      <c r="CV51" s="117">
        <f t="shared" si="211"/>
        <v>2984.4110000000001</v>
      </c>
      <c r="CW51" s="117">
        <f t="shared" si="211"/>
        <v>3165.5189999999993</v>
      </c>
      <c r="CX51" s="117">
        <f t="shared" si="211"/>
        <v>2948.5789999999988</v>
      </c>
      <c r="CY51" s="117"/>
      <c r="CZ51" s="72"/>
      <c r="DA51" s="67">
        <f t="shared" ref="DA51:DC51" si="212">DA49+DA50</f>
        <v>1509.4</v>
      </c>
      <c r="DB51" s="67">
        <f t="shared" si="212"/>
        <v>1720.1</v>
      </c>
      <c r="DC51" s="67">
        <f t="shared" si="212"/>
        <v>2110.6000000000004</v>
      </c>
      <c r="DD51" s="67">
        <f>DD49+DD50</f>
        <v>3601.5</v>
      </c>
      <c r="DE51" s="67">
        <f>DE49+DE50</f>
        <v>4329.2</v>
      </c>
      <c r="DF51" s="67">
        <f>DF49+DF50</f>
        <v>5320.9429999999993</v>
      </c>
      <c r="DG51" s="67">
        <f>DG49+DG50</f>
        <v>5943</v>
      </c>
      <c r="DH51" s="67">
        <f>DH49+DH50</f>
        <v>6220</v>
      </c>
      <c r="DI51" s="67">
        <f t="shared" ref="DI51:DP51" si="213">DI49+DI50</f>
        <v>6238</v>
      </c>
      <c r="DJ51" s="67">
        <f t="shared" si="213"/>
        <v>6064.4</v>
      </c>
      <c r="DK51" s="67">
        <f t="shared" si="213"/>
        <v>6188</v>
      </c>
      <c r="DL51" s="67">
        <f t="shared" si="213"/>
        <v>5645.4</v>
      </c>
      <c r="DM51" s="67">
        <f t="shared" si="213"/>
        <v>3688.3580699999998</v>
      </c>
      <c r="DN51" s="67">
        <f t="shared" si="213"/>
        <v>3741.5618487529996</v>
      </c>
      <c r="DO51" s="67">
        <f t="shared" si="213"/>
        <v>3420.0557623581476</v>
      </c>
      <c r="DP51" s="67">
        <f t="shared" si="213"/>
        <v>2728.7470753807766</v>
      </c>
      <c r="DQ51" s="67">
        <f>DQ49+DQ50</f>
        <v>2548.5024422762835</v>
      </c>
      <c r="DR51" s="67">
        <f>DR49+DR50</f>
        <v>8399.4896490702686</v>
      </c>
      <c r="DS51" s="67">
        <f>DS49+DS50</f>
        <v>7690</v>
      </c>
      <c r="DT51" s="67">
        <f>DT49+DT50</f>
        <v>10165</v>
      </c>
      <c r="DU51" s="67">
        <f t="shared" ref="DU51:EJ51" si="214">DU49+DU50</f>
        <v>11072</v>
      </c>
      <c r="DV51" s="67">
        <f t="shared" si="214"/>
        <v>11227</v>
      </c>
      <c r="DW51" s="67">
        <f t="shared" si="214"/>
        <v>11330</v>
      </c>
      <c r="DX51" s="67">
        <f>DX49+DX50</f>
        <v>11839</v>
      </c>
      <c r="DY51" s="67">
        <f t="shared" si="214"/>
        <v>12808.399999999998</v>
      </c>
      <c r="DZ51" s="67">
        <f t="shared" si="214"/>
        <v>12456.955000000002</v>
      </c>
      <c r="EA51" s="67">
        <f t="shared" si="214"/>
        <v>21167.5815</v>
      </c>
      <c r="EB51" s="67">
        <f t="shared" si="214"/>
        <v>21658.640222000002</v>
      </c>
      <c r="EC51" s="67">
        <f t="shared" si="214"/>
        <v>21883.154400226002</v>
      </c>
      <c r="ED51" s="67">
        <f t="shared" si="214"/>
        <v>22141.331798467312</v>
      </c>
      <c r="EE51" s="67">
        <f t="shared" si="214"/>
        <v>22529.323308133946</v>
      </c>
      <c r="EF51" s="67">
        <f t="shared" si="214"/>
        <v>23228.526402098065</v>
      </c>
      <c r="EG51" s="67">
        <f t="shared" si="214"/>
        <v>23963.941887502879</v>
      </c>
      <c r="EH51" s="67">
        <f t="shared" si="214"/>
        <v>25038.550293684268</v>
      </c>
      <c r="EI51" s="67">
        <f t="shared" si="214"/>
        <v>26352.356865611255</v>
      </c>
      <c r="EJ51" s="67">
        <f t="shared" si="214"/>
        <v>20946.657039963538</v>
      </c>
    </row>
    <row r="52" spans="2:210" s="15" customFormat="1">
      <c r="B52" s="15" t="s">
        <v>103</v>
      </c>
      <c r="C52" s="67">
        <v>153.19999999999999</v>
      </c>
      <c r="D52" s="67">
        <v>185.2</v>
      </c>
      <c r="E52" s="67">
        <v>196.3</v>
      </c>
      <c r="F52" s="67"/>
      <c r="G52" s="67">
        <v>153.19999999999999</v>
      </c>
      <c r="H52" s="67">
        <v>185.2</v>
      </c>
      <c r="I52" s="67">
        <v>196.3</v>
      </c>
      <c r="J52" s="67">
        <v>211.9</v>
      </c>
      <c r="K52" s="67">
        <v>233.5</v>
      </c>
      <c r="L52" s="67">
        <v>273.3</v>
      </c>
      <c r="M52" s="67">
        <v>298.89999999999998</v>
      </c>
      <c r="N52" s="67">
        <v>256.7</v>
      </c>
      <c r="O52" s="67">
        <v>295</v>
      </c>
      <c r="P52" s="67">
        <v>304</v>
      </c>
      <c r="Q52" s="67">
        <v>312.2</v>
      </c>
      <c r="R52" s="67">
        <v>263.8</v>
      </c>
      <c r="S52" s="67">
        <v>332</v>
      </c>
      <c r="T52" s="67">
        <v>314</v>
      </c>
      <c r="U52" s="67">
        <v>381</v>
      </c>
      <c r="V52" s="67">
        <v>271</v>
      </c>
      <c r="W52" s="67">
        <v>368</v>
      </c>
      <c r="X52" s="67">
        <v>370</v>
      </c>
      <c r="Y52" s="67">
        <v>325</v>
      </c>
      <c r="Z52" s="67">
        <v>260</v>
      </c>
      <c r="AA52" s="67">
        <v>352</v>
      </c>
      <c r="AB52" s="67">
        <v>307</v>
      </c>
      <c r="AC52" s="67">
        <v>321</v>
      </c>
      <c r="AD52" s="67">
        <v>318</v>
      </c>
      <c r="AE52" s="67">
        <v>352</v>
      </c>
      <c r="AF52" s="67">
        <v>353</v>
      </c>
      <c r="AG52" s="67">
        <v>384</v>
      </c>
      <c r="AH52" s="67">
        <v>264</v>
      </c>
      <c r="AI52" s="67">
        <v>307</v>
      </c>
      <c r="AJ52" s="67">
        <v>289</v>
      </c>
      <c r="AK52" s="67">
        <v>224</v>
      </c>
      <c r="AL52" s="67">
        <v>202</v>
      </c>
      <c r="AM52" s="67">
        <v>320</v>
      </c>
      <c r="AN52" s="67">
        <v>332</v>
      </c>
      <c r="AO52" s="67">
        <v>310</v>
      </c>
      <c r="AP52" s="67">
        <v>202</v>
      </c>
      <c r="AQ52" s="67">
        <v>251</v>
      </c>
      <c r="AR52" s="67">
        <v>229</v>
      </c>
      <c r="AS52" s="67">
        <v>0</v>
      </c>
      <c r="AT52" s="67">
        <v>117</v>
      </c>
      <c r="AU52" s="67">
        <v>238</v>
      </c>
      <c r="AV52" s="67">
        <v>191</v>
      </c>
      <c r="AW52" s="67">
        <v>156</v>
      </c>
      <c r="AX52" s="67">
        <v>135</v>
      </c>
      <c r="AY52" s="67">
        <v>0</v>
      </c>
      <c r="AZ52" s="67">
        <v>147</v>
      </c>
      <c r="BA52" s="67">
        <v>135</v>
      </c>
      <c r="BB52" s="67">
        <v>0</v>
      </c>
      <c r="BC52" s="67">
        <v>131</v>
      </c>
      <c r="BD52" s="67">
        <v>352</v>
      </c>
      <c r="BE52" s="67">
        <v>93</v>
      </c>
      <c r="BF52" s="67">
        <v>0</v>
      </c>
      <c r="BG52" s="67">
        <v>253</v>
      </c>
      <c r="BH52" s="67">
        <v>344</v>
      </c>
      <c r="BI52" s="67">
        <v>329</v>
      </c>
      <c r="BJ52" s="67">
        <v>113</v>
      </c>
      <c r="BK52" s="67">
        <v>358</v>
      </c>
      <c r="BL52" s="67">
        <v>334</v>
      </c>
      <c r="BM52" s="67">
        <v>401</v>
      </c>
      <c r="BN52" s="67">
        <v>348</v>
      </c>
      <c r="BO52" s="67">
        <v>389</v>
      </c>
      <c r="BP52" s="67">
        <v>391</v>
      </c>
      <c r="BQ52" s="67">
        <v>360</v>
      </c>
      <c r="BR52" s="67">
        <v>0</v>
      </c>
      <c r="BS52" s="67">
        <v>308</v>
      </c>
      <c r="BT52" s="67">
        <v>351</v>
      </c>
      <c r="BU52" s="67">
        <v>235</v>
      </c>
      <c r="BV52" s="67">
        <v>257</v>
      </c>
      <c r="BW52" s="67">
        <v>382</v>
      </c>
      <c r="BX52" s="67">
        <v>385</v>
      </c>
      <c r="BY52" s="67">
        <v>309</v>
      </c>
      <c r="BZ52" s="67">
        <v>280</v>
      </c>
      <c r="CA52" s="67">
        <v>365</v>
      </c>
      <c r="CB52" s="67">
        <v>227</v>
      </c>
      <c r="CC52" s="67">
        <v>185</v>
      </c>
      <c r="CD52" s="67">
        <v>262</v>
      </c>
      <c r="CE52" s="67">
        <v>211</v>
      </c>
      <c r="CF52" s="67">
        <v>362</v>
      </c>
      <c r="CG52" s="67">
        <v>271</v>
      </c>
      <c r="CH52" s="67">
        <v>232</v>
      </c>
      <c r="CI52" s="117">
        <v>199</v>
      </c>
      <c r="CJ52" s="117">
        <v>430</v>
      </c>
      <c r="CK52" s="117">
        <v>249</v>
      </c>
      <c r="CL52" s="117">
        <v>340</v>
      </c>
      <c r="CM52" s="117">
        <v>465</v>
      </c>
      <c r="CN52" s="117">
        <v>525</v>
      </c>
      <c r="CO52" s="117">
        <v>511</v>
      </c>
      <c r="CP52" s="117">
        <v>482</v>
      </c>
      <c r="CQ52" s="117">
        <v>389</v>
      </c>
      <c r="CR52" s="117">
        <v>472</v>
      </c>
      <c r="CS52" s="117">
        <v>271</v>
      </c>
      <c r="CT52" s="118">
        <f>155+345</f>
        <v>500</v>
      </c>
      <c r="CU52" s="117">
        <v>243</v>
      </c>
      <c r="CV52" s="117">
        <f t="shared" ref="CV52:CX52" si="215">+CV51*0.1</f>
        <v>298.44110000000001</v>
      </c>
      <c r="CW52" s="117">
        <f t="shared" si="215"/>
        <v>316.55189999999993</v>
      </c>
      <c r="CX52" s="117">
        <f t="shared" si="215"/>
        <v>294.85789999999992</v>
      </c>
      <c r="CY52" s="117"/>
      <c r="CZ52" s="72"/>
      <c r="DA52" s="72"/>
      <c r="DB52" s="72"/>
      <c r="DC52" s="72"/>
      <c r="DD52" s="67">
        <v>1063</v>
      </c>
      <c r="DE52" s="67">
        <f>SUM(O52:R52)</f>
        <v>1175</v>
      </c>
      <c r="DF52" s="67">
        <f>SUM(S52:V52)</f>
        <v>1298</v>
      </c>
      <c r="DG52" s="67">
        <f>SUM(W52:Z52)</f>
        <v>1323</v>
      </c>
      <c r="DH52" s="67">
        <f>DH51*DH62</f>
        <v>1368.4</v>
      </c>
      <c r="DI52" s="67">
        <f>SUM(AE52:AH52)</f>
        <v>1353</v>
      </c>
      <c r="DJ52" s="67">
        <f>DJ51*DJ62</f>
        <v>1364.49</v>
      </c>
      <c r="DK52" s="67">
        <f>SUM(AM52:AP52)</f>
        <v>1164</v>
      </c>
      <c r="DL52" s="67">
        <f t="shared" ref="DL52:DR52" si="216">DL51*DL62</f>
        <v>1100.8530000000001</v>
      </c>
      <c r="DM52" s="67">
        <f t="shared" si="216"/>
        <v>774.5551946999999</v>
      </c>
      <c r="DN52" s="67">
        <f t="shared" si="216"/>
        <v>785.72798823812991</v>
      </c>
      <c r="DO52" s="67">
        <f t="shared" si="216"/>
        <v>718.21171009521095</v>
      </c>
      <c r="DP52" s="67">
        <f t="shared" si="216"/>
        <v>573.03688582996301</v>
      </c>
      <c r="DQ52" s="67">
        <f t="shared" si="216"/>
        <v>535.18551287801949</v>
      </c>
      <c r="DR52" s="67">
        <f t="shared" si="216"/>
        <v>1763.8928263047562</v>
      </c>
      <c r="DS52" s="67">
        <f t="shared" ref="DS52" si="217">SUM(BS52:BV52)</f>
        <v>1151</v>
      </c>
      <c r="DT52" s="67">
        <f>SUM(BW52:BZ52)</f>
        <v>1356</v>
      </c>
      <c r="DU52" s="67">
        <v>869</v>
      </c>
      <c r="DV52" s="67">
        <v>808</v>
      </c>
      <c r="DW52" s="67">
        <f t="shared" si="199"/>
        <v>1218</v>
      </c>
      <c r="DX52" s="67">
        <f t="shared" si="200"/>
        <v>1983</v>
      </c>
      <c r="DY52" s="67">
        <f t="shared" ref="DY52" si="218">SUM(CQ52:CT52)</f>
        <v>1632</v>
      </c>
      <c r="DZ52" s="67">
        <f t="shared" ref="DZ52" si="219">SUM(CU52:CX52)</f>
        <v>1152.8508999999999</v>
      </c>
      <c r="EA52" s="67">
        <f t="shared" ref="EA52:EJ52" si="220">+EA51*0.2</f>
        <v>4233.5163000000002</v>
      </c>
      <c r="EB52" s="67">
        <f t="shared" si="220"/>
        <v>4331.7280444000007</v>
      </c>
      <c r="EC52" s="67">
        <f t="shared" si="220"/>
        <v>4376.6308800452007</v>
      </c>
      <c r="ED52" s="67">
        <f t="shared" si="220"/>
        <v>4428.2663596934626</v>
      </c>
      <c r="EE52" s="67">
        <f t="shared" si="220"/>
        <v>4505.8646616267897</v>
      </c>
      <c r="EF52" s="67">
        <f t="shared" si="220"/>
        <v>4645.7052804196128</v>
      </c>
      <c r="EG52" s="67">
        <f t="shared" si="220"/>
        <v>4792.7883775005757</v>
      </c>
      <c r="EH52" s="67">
        <f t="shared" si="220"/>
        <v>5007.7100587368541</v>
      </c>
      <c r="EI52" s="67">
        <f t="shared" si="220"/>
        <v>5270.471373122251</v>
      </c>
      <c r="EJ52" s="67">
        <f t="shared" si="220"/>
        <v>4189.3314079927077</v>
      </c>
    </row>
    <row r="53" spans="2:210" s="15" customFormat="1">
      <c r="B53" s="37" t="s">
        <v>1091</v>
      </c>
      <c r="C53" s="67">
        <f>C51-C52</f>
        <v>230.59999999999991</v>
      </c>
      <c r="D53" s="67">
        <f>D51-D52</f>
        <v>168.60000000000002</v>
      </c>
      <c r="E53" s="67">
        <f>E51-E52</f>
        <v>140.80000000000001</v>
      </c>
      <c r="F53" s="67"/>
      <c r="G53" s="67">
        <f t="shared" ref="G53:N53" si="221">G51-G52</f>
        <v>342.60000000000008</v>
      </c>
      <c r="H53" s="67">
        <f t="shared" si="221"/>
        <v>417.49999999999994</v>
      </c>
      <c r="I53" s="67">
        <f t="shared" si="221"/>
        <v>436.7999999999999</v>
      </c>
      <c r="J53" s="67">
        <f t="shared" si="221"/>
        <v>471.70000000000027</v>
      </c>
      <c r="K53" s="67">
        <f t="shared" si="221"/>
        <v>563.20000000000016</v>
      </c>
      <c r="L53" s="67">
        <f t="shared" si="221"/>
        <v>658.39999999999986</v>
      </c>
      <c r="M53" s="67">
        <f t="shared" si="221"/>
        <v>714.29999999999973</v>
      </c>
      <c r="N53" s="67">
        <f t="shared" si="221"/>
        <v>614.79999999999995</v>
      </c>
      <c r="O53" s="67">
        <f t="shared" ref="O53:V53" si="222">O51-O52</f>
        <v>756.89999999999941</v>
      </c>
      <c r="P53" s="67">
        <f t="shared" si="222"/>
        <v>813.89999999999986</v>
      </c>
      <c r="Q53" s="67">
        <f t="shared" si="222"/>
        <v>838.8</v>
      </c>
      <c r="R53" s="67">
        <f t="shared" si="222"/>
        <v>755.2</v>
      </c>
      <c r="S53" s="67">
        <f>S51-S52</f>
        <v>924</v>
      </c>
      <c r="T53" s="67">
        <f t="shared" si="222"/>
        <v>1104</v>
      </c>
      <c r="U53" s="67">
        <f t="shared" si="222"/>
        <v>1067</v>
      </c>
      <c r="V53" s="67">
        <f t="shared" si="222"/>
        <v>928</v>
      </c>
      <c r="W53" s="67">
        <f t="shared" ref="W53:AD53" si="223">W51-W52</f>
        <v>1101</v>
      </c>
      <c r="X53" s="67">
        <f t="shared" si="223"/>
        <v>1235</v>
      </c>
      <c r="Y53" s="67">
        <f t="shared" si="223"/>
        <v>1224</v>
      </c>
      <c r="Z53" s="67">
        <f t="shared" si="223"/>
        <v>1060</v>
      </c>
      <c r="AA53" s="67">
        <f t="shared" si="223"/>
        <v>1270</v>
      </c>
      <c r="AB53" s="67">
        <f t="shared" si="223"/>
        <v>1265</v>
      </c>
      <c r="AC53" s="67">
        <f t="shared" si="223"/>
        <v>1181</v>
      </c>
      <c r="AD53" s="67">
        <f t="shared" si="223"/>
        <v>1088</v>
      </c>
      <c r="AE53" s="67">
        <f t="shared" ref="AE53:AL53" si="224">AE51-AE52</f>
        <v>1218</v>
      </c>
      <c r="AF53" s="67">
        <f t="shared" si="224"/>
        <v>1235</v>
      </c>
      <c r="AG53" s="67">
        <f t="shared" si="224"/>
        <v>1308</v>
      </c>
      <c r="AH53" s="67">
        <f t="shared" si="224"/>
        <v>1124</v>
      </c>
      <c r="AI53" s="67">
        <f t="shared" si="224"/>
        <v>1120</v>
      </c>
      <c r="AJ53" s="67">
        <f t="shared" si="224"/>
        <v>1311</v>
      </c>
      <c r="AK53" s="67">
        <f t="shared" si="224"/>
        <v>1518</v>
      </c>
      <c r="AL53" s="67">
        <f t="shared" si="224"/>
        <v>1065</v>
      </c>
      <c r="AM53" s="67">
        <f t="shared" ref="AM53:AT53" si="225">AM51-AM52</f>
        <v>1282</v>
      </c>
      <c r="AN53" s="67">
        <f t="shared" si="225"/>
        <v>1326</v>
      </c>
      <c r="AO53" s="67">
        <f t="shared" si="225"/>
        <v>1313</v>
      </c>
      <c r="AP53" s="67">
        <f t="shared" si="225"/>
        <v>1103</v>
      </c>
      <c r="AQ53" s="67">
        <f t="shared" si="225"/>
        <v>1258</v>
      </c>
      <c r="AR53" s="67">
        <f t="shared" si="225"/>
        <v>1281</v>
      </c>
      <c r="AS53" s="67">
        <f>AS51-AS52</f>
        <v>1404</v>
      </c>
      <c r="AT53" s="67">
        <f t="shared" si="225"/>
        <v>1061</v>
      </c>
      <c r="AU53" s="67">
        <f t="shared" ref="AU53:AZ53" si="226">+AU51-AU52</f>
        <v>1287</v>
      </c>
      <c r="AV53" s="67">
        <f t="shared" si="226"/>
        <v>1401</v>
      </c>
      <c r="AW53" s="67">
        <f t="shared" si="226"/>
        <v>1370</v>
      </c>
      <c r="AX53" s="67">
        <f t="shared" si="226"/>
        <v>1126</v>
      </c>
      <c r="AY53" s="67">
        <f t="shared" si="226"/>
        <v>1473</v>
      </c>
      <c r="AZ53" s="67">
        <f t="shared" si="226"/>
        <v>1492</v>
      </c>
      <c r="BA53" s="67">
        <f t="shared" ref="BA53:BJ53" si="227">+BA51-BA52</f>
        <v>1529</v>
      </c>
      <c r="BB53" s="67">
        <f t="shared" si="227"/>
        <v>1594</v>
      </c>
      <c r="BC53" s="67">
        <f t="shared" si="227"/>
        <v>1569</v>
      </c>
      <c r="BD53" s="67">
        <f t="shared" si="227"/>
        <v>1823</v>
      </c>
      <c r="BE53" s="67">
        <f t="shared" si="227"/>
        <v>2041</v>
      </c>
      <c r="BF53" s="67">
        <f t="shared" si="227"/>
        <v>1860</v>
      </c>
      <c r="BG53" s="67">
        <f t="shared" si="227"/>
        <v>2050</v>
      </c>
      <c r="BH53" s="67">
        <f t="shared" si="227"/>
        <v>2128</v>
      </c>
      <c r="BI53" s="67">
        <f t="shared" si="227"/>
        <v>2210</v>
      </c>
      <c r="BJ53" s="67">
        <f t="shared" si="227"/>
        <v>2133</v>
      </c>
      <c r="BK53" s="67">
        <f t="shared" ref="BK53" si="228">+BK51-BK52</f>
        <v>2357</v>
      </c>
      <c r="BL53" s="67">
        <f t="shared" ref="BL53:BV53" si="229">+BL51-BL52</f>
        <v>1936</v>
      </c>
      <c r="BM53" s="67">
        <f t="shared" si="229"/>
        <v>2040</v>
      </c>
      <c r="BN53" s="67">
        <f t="shared" si="229"/>
        <v>2309</v>
      </c>
      <c r="BO53" s="67">
        <f t="shared" si="229"/>
        <v>2475</v>
      </c>
      <c r="BP53" s="67">
        <f t="shared" si="229"/>
        <v>2528</v>
      </c>
      <c r="BQ53" s="67">
        <f t="shared" si="229"/>
        <v>2615</v>
      </c>
      <c r="BR53" s="67">
        <f t="shared" si="229"/>
        <v>2524</v>
      </c>
      <c r="BS53" s="67">
        <f t="shared" si="229"/>
        <v>2623</v>
      </c>
      <c r="BT53" s="67">
        <f t="shared" si="229"/>
        <v>2595</v>
      </c>
      <c r="BU53" s="67">
        <f t="shared" si="229"/>
        <v>2507</v>
      </c>
      <c r="BV53" s="67">
        <f t="shared" si="229"/>
        <v>2263</v>
      </c>
      <c r="BW53" s="67">
        <f t="shared" ref="BW53:CB53" si="230">BW51-BW52</f>
        <v>2230</v>
      </c>
      <c r="BX53" s="67">
        <f t="shared" si="230"/>
        <v>2038</v>
      </c>
      <c r="BY53" s="67">
        <f t="shared" si="230"/>
        <v>2265</v>
      </c>
      <c r="BZ53" s="67">
        <f t="shared" si="230"/>
        <v>2276</v>
      </c>
      <c r="CA53" s="67">
        <f t="shared" si="230"/>
        <v>2476</v>
      </c>
      <c r="CB53" s="67">
        <f t="shared" si="230"/>
        <v>2727</v>
      </c>
      <c r="CC53" s="67">
        <f t="shared" ref="CC53:CD53" si="231">CC51-CC52</f>
        <v>2696</v>
      </c>
      <c r="CD53" s="67">
        <f t="shared" si="231"/>
        <v>2148</v>
      </c>
      <c r="CE53" s="67">
        <f>CE51-CE52</f>
        <v>2368</v>
      </c>
      <c r="CF53" s="67">
        <f t="shared" ref="CF53:CX53" si="232">CF51-CF52</f>
        <v>2522</v>
      </c>
      <c r="CG53" s="67">
        <f t="shared" si="232"/>
        <v>2885</v>
      </c>
      <c r="CH53" s="67">
        <f t="shared" si="232"/>
        <v>2430</v>
      </c>
      <c r="CI53" s="117">
        <f t="shared" si="232"/>
        <v>2646</v>
      </c>
      <c r="CJ53" s="117">
        <f t="shared" si="232"/>
        <v>2495</v>
      </c>
      <c r="CK53" s="117">
        <f t="shared" si="232"/>
        <v>2760</v>
      </c>
      <c r="CL53" s="117">
        <f t="shared" si="232"/>
        <v>2211</v>
      </c>
      <c r="CM53" s="117">
        <f t="shared" si="232"/>
        <v>1993</v>
      </c>
      <c r="CN53" s="117">
        <f t="shared" si="232"/>
        <v>2653</v>
      </c>
      <c r="CO53" s="117">
        <f t="shared" si="232"/>
        <v>2667</v>
      </c>
      <c r="CP53" s="117">
        <f t="shared" si="232"/>
        <v>2543</v>
      </c>
      <c r="CQ53" s="117">
        <f t="shared" si="232"/>
        <v>2035</v>
      </c>
      <c r="CR53" s="117">
        <f t="shared" si="232"/>
        <v>2604</v>
      </c>
      <c r="CS53" s="117">
        <f t="shared" si="232"/>
        <v>2997</v>
      </c>
      <c r="CT53" s="117">
        <f t="shared" si="232"/>
        <v>2818</v>
      </c>
      <c r="CU53" s="117">
        <f t="shared" si="232"/>
        <v>2623</v>
      </c>
      <c r="CV53" s="117">
        <f t="shared" si="232"/>
        <v>2685.9699000000001</v>
      </c>
      <c r="CW53" s="117">
        <f t="shared" si="232"/>
        <v>2848.9670999999994</v>
      </c>
      <c r="CX53" s="117">
        <f t="shared" si="232"/>
        <v>2653.7210999999988</v>
      </c>
      <c r="CY53" s="117"/>
      <c r="CZ53" s="72"/>
      <c r="DA53" s="67">
        <f t="shared" ref="DA53:DM53" si="233">DA51-DA52</f>
        <v>1509.4</v>
      </c>
      <c r="DB53" s="67">
        <f t="shared" si="233"/>
        <v>1720.1</v>
      </c>
      <c r="DC53" s="67">
        <f t="shared" si="233"/>
        <v>2110.6000000000004</v>
      </c>
      <c r="DD53" s="67">
        <f t="shared" si="233"/>
        <v>2538.5</v>
      </c>
      <c r="DE53" s="67">
        <f t="shared" si="233"/>
        <v>3154.2</v>
      </c>
      <c r="DF53" s="67">
        <f t="shared" si="233"/>
        <v>4022.9429999999993</v>
      </c>
      <c r="DG53" s="67">
        <f t="shared" si="233"/>
        <v>4620</v>
      </c>
      <c r="DH53" s="67">
        <f t="shared" si="233"/>
        <v>4851.6000000000004</v>
      </c>
      <c r="DI53" s="67">
        <f>DI51-DI52</f>
        <v>4885</v>
      </c>
      <c r="DJ53" s="67">
        <f>DJ51-DJ52</f>
        <v>4699.91</v>
      </c>
      <c r="DK53" s="67">
        <f>DK51-DK52</f>
        <v>5024</v>
      </c>
      <c r="DL53" s="67">
        <f>DL51-DL52</f>
        <v>4544.5469999999996</v>
      </c>
      <c r="DM53" s="67">
        <f t="shared" si="233"/>
        <v>2913.8028752999999</v>
      </c>
      <c r="DN53" s="67">
        <f t="shared" ref="DN53:DT53" si="234">DN51-DN52</f>
        <v>2955.8338605148697</v>
      </c>
      <c r="DO53" s="67">
        <f t="shared" si="234"/>
        <v>2701.8440522629367</v>
      </c>
      <c r="DP53" s="67">
        <f t="shared" si="234"/>
        <v>2155.7101895508135</v>
      </c>
      <c r="DQ53" s="67">
        <f t="shared" si="234"/>
        <v>2013.3169293982642</v>
      </c>
      <c r="DR53" s="67">
        <f t="shared" si="234"/>
        <v>6635.5968227655121</v>
      </c>
      <c r="DS53" s="67">
        <f t="shared" si="234"/>
        <v>6539</v>
      </c>
      <c r="DT53" s="67">
        <f t="shared" si="234"/>
        <v>8809</v>
      </c>
      <c r="DU53" s="67">
        <f>DU51-DU52</f>
        <v>10203</v>
      </c>
      <c r="DV53" s="67">
        <f>DV51-DV52</f>
        <v>10419</v>
      </c>
      <c r="DW53" s="67">
        <f>DW51-DW52</f>
        <v>10112</v>
      </c>
      <c r="DX53" s="67">
        <f>DX51-DX52</f>
        <v>9856</v>
      </c>
      <c r="DY53" s="67">
        <f t="shared" ref="DY53:EJ53" si="235">DY51-DY52</f>
        <v>11176.399999999998</v>
      </c>
      <c r="DZ53" s="67">
        <f t="shared" si="235"/>
        <v>11304.104100000002</v>
      </c>
      <c r="EA53" s="67">
        <f t="shared" si="235"/>
        <v>16934.065200000001</v>
      </c>
      <c r="EB53" s="67">
        <f t="shared" si="235"/>
        <v>17326.912177600003</v>
      </c>
      <c r="EC53" s="67">
        <f t="shared" si="235"/>
        <v>17506.523520180803</v>
      </c>
      <c r="ED53" s="67">
        <f t="shared" si="235"/>
        <v>17713.06543877385</v>
      </c>
      <c r="EE53" s="67">
        <f t="shared" si="235"/>
        <v>18023.458646507155</v>
      </c>
      <c r="EF53" s="67">
        <f t="shared" si="235"/>
        <v>18582.821121678451</v>
      </c>
      <c r="EG53" s="67">
        <f t="shared" si="235"/>
        <v>19171.153510002303</v>
      </c>
      <c r="EH53" s="67">
        <f t="shared" si="235"/>
        <v>20030.840234947413</v>
      </c>
      <c r="EI53" s="67">
        <f t="shared" si="235"/>
        <v>21081.885492489004</v>
      </c>
      <c r="EJ53" s="67">
        <f t="shared" si="235"/>
        <v>16757.325631970831</v>
      </c>
      <c r="EK53" s="18">
        <f>+EJ53*(1+$EM$57)</f>
        <v>16422.179119331413</v>
      </c>
      <c r="EL53" s="18">
        <f t="shared" ref="EL53:GW53" si="236">+EK53*(1+$EM$57)</f>
        <v>16093.735536944785</v>
      </c>
      <c r="EM53" s="18">
        <f t="shared" si="236"/>
        <v>15771.86082620589</v>
      </c>
      <c r="EN53" s="18">
        <f t="shared" si="236"/>
        <v>15456.423609681771</v>
      </c>
      <c r="EO53" s="18">
        <f t="shared" si="236"/>
        <v>15147.295137488136</v>
      </c>
      <c r="EP53" s="18">
        <f t="shared" si="236"/>
        <v>14844.349234738373</v>
      </c>
      <c r="EQ53" s="18">
        <f t="shared" si="236"/>
        <v>14547.462250043605</v>
      </c>
      <c r="ER53" s="18">
        <f t="shared" si="236"/>
        <v>14256.513005042732</v>
      </c>
      <c r="ES53" s="18">
        <f t="shared" si="236"/>
        <v>13971.382744941877</v>
      </c>
      <c r="ET53" s="18">
        <f t="shared" si="236"/>
        <v>13691.955090043039</v>
      </c>
      <c r="EU53" s="18">
        <f t="shared" si="236"/>
        <v>13418.115988242178</v>
      </c>
      <c r="EV53" s="18">
        <f t="shared" si="236"/>
        <v>13149.753668477335</v>
      </c>
      <c r="EW53" s="18">
        <f t="shared" si="236"/>
        <v>12886.758595107787</v>
      </c>
      <c r="EX53" s="18">
        <f t="shared" si="236"/>
        <v>12629.023423205632</v>
      </c>
      <c r="EY53" s="18">
        <f t="shared" si="236"/>
        <v>12376.442954741518</v>
      </c>
      <c r="EZ53" s="18">
        <f t="shared" si="236"/>
        <v>12128.914095646687</v>
      </c>
      <c r="FA53" s="18">
        <f t="shared" si="236"/>
        <v>11886.335813733753</v>
      </c>
      <c r="FB53" s="18">
        <f t="shared" si="236"/>
        <v>11648.609097459077</v>
      </c>
      <c r="FC53" s="18">
        <f t="shared" si="236"/>
        <v>11415.636915509895</v>
      </c>
      <c r="FD53" s="18">
        <f t="shared" si="236"/>
        <v>11187.324177199696</v>
      </c>
      <c r="FE53" s="18">
        <f t="shared" si="236"/>
        <v>10963.577693655703</v>
      </c>
      <c r="FF53" s="18">
        <f t="shared" si="236"/>
        <v>10744.30613978259</v>
      </c>
      <c r="FG53" s="18">
        <f t="shared" si="236"/>
        <v>10529.420016986938</v>
      </c>
      <c r="FH53" s="18">
        <f t="shared" si="236"/>
        <v>10318.8316166472</v>
      </c>
      <c r="FI53" s="18">
        <f t="shared" si="236"/>
        <v>10112.454984314256</v>
      </c>
      <c r="FJ53" s="18">
        <f t="shared" si="236"/>
        <v>9910.2058846279706</v>
      </c>
      <c r="FK53" s="18">
        <f t="shared" si="236"/>
        <v>9712.0017669354111</v>
      </c>
      <c r="FL53" s="18">
        <f t="shared" si="236"/>
        <v>9517.7617315967018</v>
      </c>
      <c r="FM53" s="18">
        <f t="shared" si="236"/>
        <v>9327.4064969647679</v>
      </c>
      <c r="FN53" s="18">
        <f t="shared" si="236"/>
        <v>9140.858367025472</v>
      </c>
      <c r="FO53" s="18">
        <f t="shared" si="236"/>
        <v>8958.0411996849616</v>
      </c>
      <c r="FP53" s="18">
        <f t="shared" si="236"/>
        <v>8778.8803756912621</v>
      </c>
      <c r="FQ53" s="18">
        <f t="shared" si="236"/>
        <v>8603.3027681774365</v>
      </c>
      <c r="FR53" s="18">
        <f t="shared" si="236"/>
        <v>8431.2367128138885</v>
      </c>
      <c r="FS53" s="18">
        <f t="shared" si="236"/>
        <v>8262.6119785576102</v>
      </c>
      <c r="FT53" s="18">
        <f t="shared" si="236"/>
        <v>8097.3597389864581</v>
      </c>
      <c r="FU53" s="18">
        <f t="shared" si="236"/>
        <v>7935.4125442067289</v>
      </c>
      <c r="FV53" s="18">
        <f t="shared" si="236"/>
        <v>7776.7042933225939</v>
      </c>
      <c r="FW53" s="18">
        <f t="shared" si="236"/>
        <v>7621.1702074561417</v>
      </c>
      <c r="FX53" s="18">
        <f t="shared" si="236"/>
        <v>7468.746803307019</v>
      </c>
      <c r="FY53" s="18">
        <f t="shared" si="236"/>
        <v>7319.3718672408786</v>
      </c>
      <c r="FZ53" s="18">
        <f t="shared" si="236"/>
        <v>7172.9844298960606</v>
      </c>
      <c r="GA53" s="18">
        <f t="shared" si="236"/>
        <v>7029.5247412981389</v>
      </c>
      <c r="GB53" s="18">
        <f t="shared" si="236"/>
        <v>6888.9342464721758</v>
      </c>
      <c r="GC53" s="18">
        <f t="shared" si="236"/>
        <v>6751.1555615427324</v>
      </c>
      <c r="GD53" s="18">
        <f t="shared" si="236"/>
        <v>6616.1324503118776</v>
      </c>
      <c r="GE53" s="18">
        <f t="shared" si="236"/>
        <v>6483.8098013056397</v>
      </c>
      <c r="GF53" s="18">
        <f t="shared" si="236"/>
        <v>6354.1336052795268</v>
      </c>
      <c r="GG53" s="18">
        <f t="shared" si="236"/>
        <v>6227.0509331739358</v>
      </c>
      <c r="GH53" s="18">
        <f t="shared" si="236"/>
        <v>6102.5099145104568</v>
      </c>
      <c r="GI53" s="18">
        <f t="shared" si="236"/>
        <v>5980.4597162202472</v>
      </c>
      <c r="GJ53" s="18">
        <f t="shared" si="236"/>
        <v>5860.8505218958426</v>
      </c>
      <c r="GK53" s="18">
        <f t="shared" si="236"/>
        <v>5743.633511457926</v>
      </c>
      <c r="GL53" s="18">
        <f t="shared" si="236"/>
        <v>5628.7608412287673</v>
      </c>
      <c r="GM53" s="18">
        <f t="shared" si="236"/>
        <v>5516.1856244041919</v>
      </c>
      <c r="GN53" s="18">
        <f t="shared" si="236"/>
        <v>5405.8619119161076</v>
      </c>
      <c r="GO53" s="18">
        <f t="shared" si="236"/>
        <v>5297.7446736777856</v>
      </c>
      <c r="GP53" s="18">
        <f t="shared" si="236"/>
        <v>5191.7897802042298</v>
      </c>
      <c r="GQ53" s="18">
        <f t="shared" si="236"/>
        <v>5087.9539846001453</v>
      </c>
      <c r="GR53" s="18">
        <f t="shared" si="236"/>
        <v>4986.1949049081422</v>
      </c>
      <c r="GS53" s="18">
        <f t="shared" si="236"/>
        <v>4886.4710068099794</v>
      </c>
      <c r="GT53" s="18">
        <f t="shared" si="236"/>
        <v>4788.7415866737801</v>
      </c>
      <c r="GU53" s="18">
        <f t="shared" si="236"/>
        <v>4692.9667549403048</v>
      </c>
      <c r="GV53" s="18">
        <f t="shared" si="236"/>
        <v>4599.107419841499</v>
      </c>
      <c r="GW53" s="18">
        <f t="shared" si="236"/>
        <v>4507.1252714446691</v>
      </c>
      <c r="GX53" s="18">
        <f t="shared" ref="GX53:HB53" si="237">+GW53*(1+$EM$57)</f>
        <v>4416.9827660157753</v>
      </c>
      <c r="GY53" s="18">
        <f t="shared" si="237"/>
        <v>4328.6431106954597</v>
      </c>
      <c r="GZ53" s="18">
        <f t="shared" si="237"/>
        <v>4242.0702484815502</v>
      </c>
      <c r="HA53" s="18">
        <f t="shared" si="237"/>
        <v>4157.228843511919</v>
      </c>
      <c r="HB53" s="18">
        <f t="shared" si="237"/>
        <v>4074.0842666416806</v>
      </c>
    </row>
    <row r="54" spans="2:210" s="61" customFormat="1">
      <c r="B54" s="91" t="s">
        <v>447</v>
      </c>
      <c r="C54" s="76">
        <f>C53/C55</f>
        <v>0.21241709653647745</v>
      </c>
      <c r="D54" s="76">
        <f>D53/D55</f>
        <v>0.15344011649071718</v>
      </c>
      <c r="E54" s="76">
        <f>E53/E55</f>
        <v>0.12981744421906696</v>
      </c>
      <c r="F54" s="76"/>
      <c r="G54" s="76">
        <f t="shared" ref="G54:AN54" si="238">G53/G55</f>
        <v>0.31558585114222559</v>
      </c>
      <c r="H54" s="76">
        <f t="shared" si="238"/>
        <v>0.37995995631598101</v>
      </c>
      <c r="I54" s="76">
        <f t="shared" si="238"/>
        <v>0.3353036002149381</v>
      </c>
      <c r="J54" s="76">
        <f t="shared" si="238"/>
        <v>0.35008163871159287</v>
      </c>
      <c r="K54" s="76">
        <f t="shared" si="238"/>
        <v>0.41721609008074684</v>
      </c>
      <c r="L54" s="76">
        <f t="shared" si="238"/>
        <v>0.48878990348923523</v>
      </c>
      <c r="M54" s="76">
        <f t="shared" si="238"/>
        <v>0.52989614243323424</v>
      </c>
      <c r="N54" s="76">
        <f t="shared" si="238"/>
        <v>0.45880597014925367</v>
      </c>
      <c r="O54" s="76">
        <f t="shared" si="238"/>
        <v>0.56803001876172565</v>
      </c>
      <c r="P54" s="76">
        <f t="shared" si="238"/>
        <v>0.61766714730211725</v>
      </c>
      <c r="Q54" s="76">
        <f t="shared" si="238"/>
        <v>0.63545454545454538</v>
      </c>
      <c r="R54" s="76">
        <f t="shared" si="238"/>
        <v>0.57648854961832063</v>
      </c>
      <c r="S54" s="76">
        <f t="shared" si="238"/>
        <v>0.71627906976744182</v>
      </c>
      <c r="T54" s="76">
        <f t="shared" si="238"/>
        <v>0.88319999999999999</v>
      </c>
      <c r="U54" s="76">
        <f t="shared" si="238"/>
        <v>0.85428342674139313</v>
      </c>
      <c r="V54" s="76">
        <f t="shared" si="238"/>
        <v>0.74658085277554309</v>
      </c>
      <c r="W54" s="76">
        <f t="shared" si="238"/>
        <v>0.90691927512355852</v>
      </c>
      <c r="X54" s="76">
        <f t="shared" si="238"/>
        <v>1.0457239627434378</v>
      </c>
      <c r="Y54" s="76">
        <f t="shared" si="238"/>
        <v>1.0425894378194207</v>
      </c>
      <c r="Z54" s="76">
        <f t="shared" si="238"/>
        <v>0.90212765957446805</v>
      </c>
      <c r="AA54" s="76">
        <f t="shared" si="238"/>
        <v>1.0836177474402731</v>
      </c>
      <c r="AB54" s="76">
        <f t="shared" si="238"/>
        <v>1.1174911660777385</v>
      </c>
      <c r="AC54" s="76">
        <f t="shared" si="238"/>
        <v>1.0844811753902663</v>
      </c>
      <c r="AD54" s="76">
        <f t="shared" si="238"/>
        <v>0.997250229147571</v>
      </c>
      <c r="AE54" s="76">
        <f t="shared" si="238"/>
        <v>1.1164069660861595</v>
      </c>
      <c r="AF54" s="76">
        <f t="shared" si="238"/>
        <v>1.1435185185185186</v>
      </c>
      <c r="AG54" s="76">
        <f t="shared" si="238"/>
        <v>1.2304797742238947</v>
      </c>
      <c r="AH54" s="76">
        <f t="shared" si="238"/>
        <v>1.05937794533459</v>
      </c>
      <c r="AI54" s="76">
        <f t="shared" si="238"/>
        <v>1.0800385728061717</v>
      </c>
      <c r="AJ54" s="76">
        <f t="shared" si="238"/>
        <v>1.2903543307086613</v>
      </c>
      <c r="AK54" s="76">
        <f t="shared" si="238"/>
        <v>1.4867776689520078</v>
      </c>
      <c r="AL54" s="76">
        <f t="shared" si="238"/>
        <v>1.0523715415019763</v>
      </c>
      <c r="AM54" s="76">
        <f t="shared" si="238"/>
        <v>1.2975708502024292</v>
      </c>
      <c r="AN54" s="76">
        <f t="shared" si="238"/>
        <v>1.3755186721991701</v>
      </c>
      <c r="AO54" s="76">
        <f t="shared" ref="AO54:AT54" si="239">AO53/AO55</f>
        <v>1.3648648648648649</v>
      </c>
      <c r="AP54" s="76">
        <f t="shared" si="239"/>
        <v>1.1659619450317125</v>
      </c>
      <c r="AQ54" s="76">
        <f t="shared" si="239"/>
        <v>1.3382978723404255</v>
      </c>
      <c r="AR54" s="76">
        <f t="shared" si="239"/>
        <v>1.3700534759358289</v>
      </c>
      <c r="AS54" s="76">
        <f>AS53/AS55</f>
        <v>1.536105032822757</v>
      </c>
      <c r="AT54" s="76">
        <f t="shared" si="239"/>
        <v>1.2337209302325582</v>
      </c>
      <c r="AU54" s="76">
        <f t="shared" ref="AU54:AZ54" si="240">+AU53/AU55</f>
        <v>1.6107634543178975</v>
      </c>
      <c r="AV54" s="76">
        <f t="shared" si="240"/>
        <v>1.7847133757961784</v>
      </c>
      <c r="AW54" s="76">
        <f t="shared" si="240"/>
        <v>1.7496807151979565</v>
      </c>
      <c r="AX54" s="76">
        <f t="shared" si="240"/>
        <v>1.4473007712082262</v>
      </c>
      <c r="AY54" s="76">
        <f t="shared" si="240"/>
        <v>1.9280104712041886</v>
      </c>
      <c r="AZ54" s="76">
        <f t="shared" si="240"/>
        <v>1.9528795811518325</v>
      </c>
      <c r="BA54" s="76">
        <f t="shared" ref="BA54:BJ54" si="241">+BA53/BA55</f>
        <v>1.9960835509138382</v>
      </c>
      <c r="BB54" s="76">
        <f t="shared" si="241"/>
        <v>2.0809399477806787</v>
      </c>
      <c r="BC54" s="76">
        <f t="shared" si="241"/>
        <v>2.04296875</v>
      </c>
      <c r="BD54" s="76">
        <f t="shared" si="241"/>
        <v>2.3736979166666665</v>
      </c>
      <c r="BE54" s="76">
        <f t="shared" si="241"/>
        <v>2.6472114137483787</v>
      </c>
      <c r="BF54" s="76">
        <f t="shared" si="241"/>
        <v>2.4093264248704664</v>
      </c>
      <c r="BG54" s="76">
        <f t="shared" si="241"/>
        <v>2.6623376623376624</v>
      </c>
      <c r="BH54" s="76">
        <f t="shared" si="241"/>
        <v>2.7708333333333335</v>
      </c>
      <c r="BI54" s="76">
        <f t="shared" si="241"/>
        <v>2.8926701570680629</v>
      </c>
      <c r="BJ54" s="76">
        <f t="shared" si="241"/>
        <v>2.8028909329829172</v>
      </c>
      <c r="BK54" s="76">
        <f t="shared" ref="BK54" si="242">+BK53/BK55</f>
        <v>3.1013157894736842</v>
      </c>
      <c r="BL54" s="76">
        <f t="shared" ref="BL54:BV54" si="243">+BL53/BL55</f>
        <v>2.577896138482024</v>
      </c>
      <c r="BM54" s="76">
        <f t="shared" si="243"/>
        <v>2.7309236947791167</v>
      </c>
      <c r="BN54" s="76">
        <f t="shared" si="243"/>
        <v>3.0868983957219251</v>
      </c>
      <c r="BO54" s="76">
        <f t="shared" si="243"/>
        <v>3.3400809716599191</v>
      </c>
      <c r="BP54" s="76">
        <f t="shared" si="243"/>
        <v>3.4441416893732968</v>
      </c>
      <c r="BQ54" s="76">
        <f t="shared" si="243"/>
        <v>3.5920329670329672</v>
      </c>
      <c r="BR54" s="76">
        <f t="shared" si="243"/>
        <v>3.4861878453038675</v>
      </c>
      <c r="BS54" s="76">
        <f t="shared" si="243"/>
        <v>3.6891701828410688</v>
      </c>
      <c r="BT54" s="76">
        <f t="shared" si="243"/>
        <v>3.9318181818181817</v>
      </c>
      <c r="BU54" s="76">
        <f t="shared" si="243"/>
        <v>3.8628659476117102</v>
      </c>
      <c r="BV54" s="76">
        <f t="shared" si="243"/>
        <v>3.5359375000000002</v>
      </c>
      <c r="BW54" s="96">
        <f t="shared" ref="BW54:CB54" si="244">BW53/BW55</f>
        <v>3.5623003194888181</v>
      </c>
      <c r="BX54" s="96">
        <f t="shared" si="244"/>
        <v>3.3409836065573773</v>
      </c>
      <c r="BY54" s="96">
        <f t="shared" si="244"/>
        <v>3.7624584717607972</v>
      </c>
      <c r="BZ54" s="96">
        <f t="shared" si="244"/>
        <v>3.8060200668896322</v>
      </c>
      <c r="CA54" s="96">
        <f t="shared" si="244"/>
        <v>4.1683501683501687</v>
      </c>
      <c r="CB54" s="96">
        <f t="shared" si="244"/>
        <v>4.6064189189189193</v>
      </c>
      <c r="CC54" s="96">
        <f t="shared" ref="CC54:CD54" si="245">CC53/CC55</f>
        <v>4.5772495755517824</v>
      </c>
      <c r="CD54" s="96">
        <f t="shared" si="245"/>
        <v>3.6717948717948716</v>
      </c>
      <c r="CE54" s="96">
        <f>CE53/CE55</f>
        <v>4.0757314974182446</v>
      </c>
      <c r="CF54" s="96">
        <f t="shared" ref="CF54:CU54" si="246">CF53/CF55</f>
        <v>4.3784722222222223</v>
      </c>
      <c r="CG54" s="96">
        <f t="shared" si="246"/>
        <v>5.0614035087719298</v>
      </c>
      <c r="CH54" s="96">
        <f t="shared" si="246"/>
        <v>4.3008849557522124</v>
      </c>
      <c r="CI54" s="120">
        <f t="shared" si="246"/>
        <v>4.8021778584392019</v>
      </c>
      <c r="CJ54" s="120">
        <f t="shared" si="246"/>
        <v>4.6461824953445063</v>
      </c>
      <c r="CK54" s="120">
        <f t="shared" si="246"/>
        <v>5.1301115241635689</v>
      </c>
      <c r="CL54" s="120">
        <f t="shared" si="246"/>
        <v>4.1020408163265305</v>
      </c>
      <c r="CM54" s="120">
        <f t="shared" si="246"/>
        <v>3.7044609665427508</v>
      </c>
      <c r="CN54" s="120">
        <f t="shared" si="246"/>
        <v>4.9404096834264433</v>
      </c>
      <c r="CO54" s="120">
        <f t="shared" si="246"/>
        <v>4.9572490706319705</v>
      </c>
      <c r="CP54" s="120">
        <f t="shared" si="246"/>
        <v>4.7451209413492954</v>
      </c>
      <c r="CQ54" s="120">
        <f t="shared" si="246"/>
        <v>3.7966417910447761</v>
      </c>
      <c r="CR54" s="120">
        <f t="shared" si="246"/>
        <v>4.8133086876155264</v>
      </c>
      <c r="CS54" s="120">
        <f t="shared" si="246"/>
        <v>5.5295202952029516</v>
      </c>
      <c r="CT54" s="120">
        <f t="shared" si="246"/>
        <v>5.1992619926199266</v>
      </c>
      <c r="CU54" s="120">
        <f t="shared" si="246"/>
        <v>4.8484288354898339</v>
      </c>
      <c r="CV54" s="120"/>
      <c r="CW54" s="120"/>
      <c r="CX54" s="129"/>
      <c r="CY54" s="129"/>
      <c r="CZ54" s="77"/>
      <c r="DA54" s="76"/>
      <c r="DB54" s="76"/>
      <c r="DC54" s="76"/>
      <c r="DD54" s="76">
        <f t="shared" ref="DD54:EJ54" si="247">DD53/DD55</f>
        <v>1.8859583952451708</v>
      </c>
      <c r="DE54" s="76">
        <f t="shared" si="247"/>
        <v>2.3895454545454542</v>
      </c>
      <c r="DF54" s="76">
        <f t="shared" si="247"/>
        <v>3.1978879173290933</v>
      </c>
      <c r="DG54" s="76">
        <f t="shared" si="247"/>
        <v>3.8954468802698146</v>
      </c>
      <c r="DH54" s="76">
        <f t="shared" si="247"/>
        <v>4.327921498661909</v>
      </c>
      <c r="DI54" s="76">
        <f t="shared" si="247"/>
        <v>4.5494761350407451</v>
      </c>
      <c r="DJ54" s="76">
        <f t="shared" si="247"/>
        <v>4.6009887420460105</v>
      </c>
      <c r="DK54" s="76">
        <f>DK53/DK55</f>
        <v>5.2062176165803109</v>
      </c>
      <c r="DL54" s="76">
        <f>DL53/DL55</f>
        <v>4.9816903261167438</v>
      </c>
      <c r="DM54" s="76">
        <f t="shared" si="247"/>
        <v>3.7059496029252781</v>
      </c>
      <c r="DN54" s="76">
        <f t="shared" si="247"/>
        <v>3.8638351117841432</v>
      </c>
      <c r="DO54" s="76">
        <f t="shared" si="247"/>
        <v>3.5100279990424639</v>
      </c>
      <c r="DP54" s="76">
        <f t="shared" si="247"/>
        <v>2.8151618538045229</v>
      </c>
      <c r="DQ54" s="76">
        <f t="shared" si="247"/>
        <v>2.6790644436437314</v>
      </c>
      <c r="DR54" s="76">
        <f t="shared" si="247"/>
        <v>9.0681200174451817</v>
      </c>
      <c r="DS54" s="76">
        <f t="shared" si="247"/>
        <v>9.833082706766918</v>
      </c>
      <c r="DT54" s="76">
        <f t="shared" si="247"/>
        <v>14.464696223316913</v>
      </c>
      <c r="DU54" s="76">
        <f t="shared" si="247"/>
        <v>17.293220338983051</v>
      </c>
      <c r="DV54" s="76">
        <f t="shared" si="247"/>
        <v>18.183246073298431</v>
      </c>
      <c r="DW54" s="76">
        <f t="shared" si="247"/>
        <v>18.682678983833718</v>
      </c>
      <c r="DX54" s="76">
        <f t="shared" si="247"/>
        <v>18.319702602230482</v>
      </c>
      <c r="DY54" s="76">
        <f t="shared" si="247"/>
        <v>20.687459509486345</v>
      </c>
      <c r="DZ54" s="76">
        <f t="shared" si="247"/>
        <v>20.923839148542346</v>
      </c>
      <c r="EA54" s="76">
        <f t="shared" si="247"/>
        <v>31.344868486811663</v>
      </c>
      <c r="EB54" s="76">
        <f t="shared" si="247"/>
        <v>32.072026242665437</v>
      </c>
      <c r="EC54" s="76">
        <f t="shared" si="247"/>
        <v>32.404485923518379</v>
      </c>
      <c r="ED54" s="76">
        <f t="shared" si="247"/>
        <v>32.786793963487</v>
      </c>
      <c r="EE54" s="76">
        <f t="shared" si="247"/>
        <v>33.361330211026662</v>
      </c>
      <c r="EF54" s="76">
        <f t="shared" si="247"/>
        <v>34.396707305281723</v>
      </c>
      <c r="EG54" s="76">
        <f t="shared" si="247"/>
        <v>35.48570756131847</v>
      </c>
      <c r="EH54" s="76">
        <f t="shared" si="247"/>
        <v>37.076983313183547</v>
      </c>
      <c r="EI54" s="76">
        <f t="shared" si="247"/>
        <v>39.022462734824629</v>
      </c>
      <c r="EJ54" s="76">
        <f t="shared" si="247"/>
        <v>31.017724446035782</v>
      </c>
    </row>
    <row r="55" spans="2:210" s="26" customFormat="1">
      <c r="B55" s="26" t="s">
        <v>446</v>
      </c>
      <c r="C55" s="67">
        <v>1085.5999999999999</v>
      </c>
      <c r="D55" s="67">
        <v>1098.8</v>
      </c>
      <c r="E55" s="67">
        <v>1084.5999999999999</v>
      </c>
      <c r="F55" s="67"/>
      <c r="G55" s="67">
        <v>1085.5999999999999</v>
      </c>
      <c r="H55" s="67">
        <v>1098.8</v>
      </c>
      <c r="I55" s="67">
        <v>1302.7</v>
      </c>
      <c r="J55" s="67">
        <v>1347.4</v>
      </c>
      <c r="K55" s="67">
        <v>1349.9</v>
      </c>
      <c r="L55" s="67">
        <v>1347</v>
      </c>
      <c r="M55" s="67">
        <v>1348</v>
      </c>
      <c r="N55" s="67">
        <v>1340</v>
      </c>
      <c r="O55" s="67">
        <v>1332.5</v>
      </c>
      <c r="P55" s="67">
        <v>1317.7</v>
      </c>
      <c r="Q55" s="67">
        <v>1320</v>
      </c>
      <c r="R55" s="67">
        <v>1310</v>
      </c>
      <c r="S55" s="67">
        <v>1290</v>
      </c>
      <c r="T55" s="67">
        <v>1250</v>
      </c>
      <c r="U55" s="67">
        <v>1249</v>
      </c>
      <c r="V55" s="67">
        <v>1243</v>
      </c>
      <c r="W55" s="67">
        <v>1214</v>
      </c>
      <c r="X55" s="67">
        <v>1181</v>
      </c>
      <c r="Y55" s="67">
        <v>1174</v>
      </c>
      <c r="Z55" s="67">
        <v>1175</v>
      </c>
      <c r="AA55" s="67">
        <v>1172</v>
      </c>
      <c r="AB55" s="67">
        <v>1132</v>
      </c>
      <c r="AC55" s="67">
        <v>1089</v>
      </c>
      <c r="AD55" s="67">
        <v>1091</v>
      </c>
      <c r="AE55" s="67">
        <v>1091</v>
      </c>
      <c r="AF55" s="67">
        <v>1080</v>
      </c>
      <c r="AG55" s="67">
        <v>1063</v>
      </c>
      <c r="AH55" s="67">
        <v>1061</v>
      </c>
      <c r="AI55" s="67">
        <v>1037</v>
      </c>
      <c r="AJ55" s="67">
        <v>1016</v>
      </c>
      <c r="AK55" s="67">
        <v>1021</v>
      </c>
      <c r="AL55" s="67">
        <v>1012</v>
      </c>
      <c r="AM55" s="67">
        <v>988</v>
      </c>
      <c r="AN55" s="67">
        <v>964</v>
      </c>
      <c r="AO55" s="67">
        <v>962</v>
      </c>
      <c r="AP55" s="67">
        <v>946</v>
      </c>
      <c r="AQ55" s="67">
        <v>940</v>
      </c>
      <c r="AR55" s="67">
        <v>935</v>
      </c>
      <c r="AS55" s="67">
        <v>914</v>
      </c>
      <c r="AT55" s="67">
        <v>860</v>
      </c>
      <c r="AU55" s="67">
        <v>799</v>
      </c>
      <c r="AV55" s="67">
        <v>785</v>
      </c>
      <c r="AW55" s="67">
        <v>783</v>
      </c>
      <c r="AX55" s="67">
        <v>778</v>
      </c>
      <c r="AY55" s="67">
        <v>764</v>
      </c>
      <c r="AZ55" s="67">
        <v>764</v>
      </c>
      <c r="BA55" s="67">
        <v>766</v>
      </c>
      <c r="BB55" s="67">
        <v>766</v>
      </c>
      <c r="BC55" s="67">
        <v>768</v>
      </c>
      <c r="BD55" s="67">
        <v>768</v>
      </c>
      <c r="BE55" s="67">
        <v>771</v>
      </c>
      <c r="BF55" s="67">
        <v>772</v>
      </c>
      <c r="BG55" s="67">
        <v>770</v>
      </c>
      <c r="BH55" s="67">
        <v>768</v>
      </c>
      <c r="BI55" s="67">
        <v>764</v>
      </c>
      <c r="BJ55" s="67">
        <v>761</v>
      </c>
      <c r="BK55" s="67">
        <v>760</v>
      </c>
      <c r="BL55" s="67">
        <v>751</v>
      </c>
      <c r="BM55" s="67">
        <v>747</v>
      </c>
      <c r="BN55" s="67">
        <v>748</v>
      </c>
      <c r="BO55" s="67">
        <v>741</v>
      </c>
      <c r="BP55" s="67">
        <v>734</v>
      </c>
      <c r="BQ55" s="67">
        <v>728</v>
      </c>
      <c r="BR55" s="67">
        <v>724</v>
      </c>
      <c r="BS55" s="67">
        <v>711</v>
      </c>
      <c r="BT55" s="67">
        <v>660</v>
      </c>
      <c r="BU55" s="67">
        <v>649</v>
      </c>
      <c r="BV55" s="67">
        <v>640</v>
      </c>
      <c r="BW55" s="67">
        <v>626</v>
      </c>
      <c r="BX55" s="67">
        <v>610</v>
      </c>
      <c r="BY55" s="67">
        <v>602</v>
      </c>
      <c r="BZ55" s="67">
        <v>598</v>
      </c>
      <c r="CA55" s="67">
        <v>594</v>
      </c>
      <c r="CB55" s="67">
        <v>592</v>
      </c>
      <c r="CC55" s="67">
        <v>589</v>
      </c>
      <c r="CD55" s="67">
        <v>585</v>
      </c>
      <c r="CE55" s="67">
        <v>581</v>
      </c>
      <c r="CF55" s="67">
        <v>576</v>
      </c>
      <c r="CG55" s="67">
        <v>570</v>
      </c>
      <c r="CH55" s="67">
        <v>565</v>
      </c>
      <c r="CI55" s="117">
        <v>551</v>
      </c>
      <c r="CJ55" s="117">
        <v>537</v>
      </c>
      <c r="CK55" s="117">
        <v>538</v>
      </c>
      <c r="CL55" s="117">
        <v>539</v>
      </c>
      <c r="CM55" s="117">
        <v>538</v>
      </c>
      <c r="CN55" s="117">
        <v>537</v>
      </c>
      <c r="CO55" s="117">
        <v>538</v>
      </c>
      <c r="CP55" s="117">
        <v>535.91890100000001</v>
      </c>
      <c r="CQ55" s="117">
        <v>536</v>
      </c>
      <c r="CR55" s="117">
        <v>541</v>
      </c>
      <c r="CS55" s="117">
        <v>542</v>
      </c>
      <c r="CT55" s="117">
        <v>542</v>
      </c>
      <c r="CU55" s="117">
        <v>541</v>
      </c>
      <c r="CV55" s="117"/>
      <c r="CW55" s="117"/>
      <c r="CX55" s="117"/>
      <c r="CY55" s="117"/>
      <c r="CZ55" s="67"/>
      <c r="DA55" s="67"/>
      <c r="DB55" s="67"/>
      <c r="DC55" s="67"/>
      <c r="DD55" s="67">
        <v>1346</v>
      </c>
      <c r="DE55" s="67">
        <v>1320</v>
      </c>
      <c r="DF55" s="67">
        <f>AVERAGE(S55:V55)</f>
        <v>1258</v>
      </c>
      <c r="DG55" s="67">
        <f>AVERAGE(W55:Z55)</f>
        <v>1186</v>
      </c>
      <c r="DH55" s="67">
        <f>AVERAGE(AA55:AD55)</f>
        <v>1121</v>
      </c>
      <c r="DI55" s="67">
        <f>AVERAGE(AE55:AH55)</f>
        <v>1073.75</v>
      </c>
      <c r="DJ55" s="67">
        <f>AVERAGE(AI55:AL55)</f>
        <v>1021.5</v>
      </c>
      <c r="DK55" s="67">
        <f>AVERAGE(AM55:AP55)</f>
        <v>965</v>
      </c>
      <c r="DL55" s="67">
        <f>AVERAGE(AQ55:AT55)</f>
        <v>912.25</v>
      </c>
      <c r="DM55" s="67">
        <f>AVERAGE(AU55:AX55)</f>
        <v>786.25</v>
      </c>
      <c r="DN55" s="67">
        <f>AVERAGE(AY55:BB55)</f>
        <v>765</v>
      </c>
      <c r="DO55" s="67">
        <f>AVERAGE(BC55:BF55)</f>
        <v>769.75</v>
      </c>
      <c r="DP55" s="67">
        <f>AVERAGE(BG55:BJ55)</f>
        <v>765.75</v>
      </c>
      <c r="DQ55" s="67">
        <f>AVERAGE(BK55:BN55)</f>
        <v>751.5</v>
      </c>
      <c r="DR55" s="67">
        <f>AVERAGE(BO55:BR55)</f>
        <v>731.75</v>
      </c>
      <c r="DS55" s="67">
        <f>AVERAGE(BS55:BV55)</f>
        <v>665</v>
      </c>
      <c r="DT55" s="67">
        <f>AVERAGE(BW55:BZ55)</f>
        <v>609</v>
      </c>
      <c r="DU55" s="67">
        <v>590</v>
      </c>
      <c r="DV55" s="67">
        <v>573</v>
      </c>
      <c r="DW55" s="67">
        <f>AVERAGE(CI55:CL55)</f>
        <v>541.25</v>
      </c>
      <c r="DX55" s="67">
        <v>538</v>
      </c>
      <c r="DY55" s="67">
        <f>AVERAGE(CQ55:CT55)</f>
        <v>540.25</v>
      </c>
      <c r="DZ55" s="67">
        <f t="shared" ref="DZ55:EJ55" si="248">+DY55</f>
        <v>540.25</v>
      </c>
      <c r="EA55" s="67">
        <f t="shared" si="248"/>
        <v>540.25</v>
      </c>
      <c r="EB55" s="67">
        <f t="shared" si="248"/>
        <v>540.25</v>
      </c>
      <c r="EC55" s="67">
        <f t="shared" si="248"/>
        <v>540.25</v>
      </c>
      <c r="ED55" s="67">
        <f t="shared" si="248"/>
        <v>540.25</v>
      </c>
      <c r="EE55" s="67">
        <f t="shared" si="248"/>
        <v>540.25</v>
      </c>
      <c r="EF55" s="67">
        <f t="shared" si="248"/>
        <v>540.25</v>
      </c>
      <c r="EG55" s="67">
        <f t="shared" si="248"/>
        <v>540.25</v>
      </c>
      <c r="EH55" s="67">
        <f t="shared" si="248"/>
        <v>540.25</v>
      </c>
      <c r="EI55" s="67">
        <f t="shared" si="248"/>
        <v>540.25</v>
      </c>
      <c r="EJ55" s="67">
        <f t="shared" si="248"/>
        <v>540.25</v>
      </c>
    </row>
    <row r="56" spans="2:210">
      <c r="CI56" s="114"/>
      <c r="CJ56" s="114"/>
      <c r="CK56" s="114"/>
      <c r="CL56" s="114"/>
      <c r="DB56" s="70"/>
      <c r="DC56" s="70"/>
      <c r="DD56" s="70"/>
      <c r="DE56" s="70"/>
      <c r="DF56" s="70"/>
      <c r="DG56" s="70"/>
      <c r="DH56" s="70"/>
      <c r="DI56" s="70"/>
      <c r="DJ56" s="70"/>
      <c r="DK56" s="70"/>
      <c r="DL56" s="70"/>
      <c r="DM56" s="78"/>
      <c r="DN56" s="70"/>
      <c r="DO56" s="70"/>
      <c r="DP56" s="70"/>
      <c r="EL56" s="70" t="s">
        <v>1121</v>
      </c>
      <c r="EM56" s="62">
        <v>0.01</v>
      </c>
    </row>
    <row r="57" spans="2:210" s="19" customFormat="1">
      <c r="B57" s="38" t="s">
        <v>101</v>
      </c>
      <c r="C57" s="79"/>
      <c r="D57" s="79"/>
      <c r="E57" s="79"/>
      <c r="F57" s="79"/>
      <c r="G57" s="79"/>
      <c r="H57" s="79"/>
      <c r="I57" s="79"/>
      <c r="J57" s="79"/>
      <c r="K57" s="79">
        <f t="shared" ref="K57:AR57" si="249">K45/K43</f>
        <v>0.84193493442343725</v>
      </c>
      <c r="L57" s="79">
        <f t="shared" si="249"/>
        <v>0.8411640781931311</v>
      </c>
      <c r="M57" s="79">
        <f t="shared" si="249"/>
        <v>0.84783986957703106</v>
      </c>
      <c r="N57" s="79">
        <f t="shared" si="249"/>
        <v>0.8365720617062985</v>
      </c>
      <c r="O57" s="79">
        <f t="shared" si="249"/>
        <v>0.84143582739340128</v>
      </c>
      <c r="P57" s="79">
        <f t="shared" si="249"/>
        <v>0.83169542675849262</v>
      </c>
      <c r="Q57" s="79">
        <f t="shared" si="249"/>
        <v>0.83523774419461849</v>
      </c>
      <c r="R57" s="79">
        <f t="shared" si="249"/>
        <v>0.83636988655895494</v>
      </c>
      <c r="S57" s="79">
        <f t="shared" si="249"/>
        <v>0.82739145781856693</v>
      </c>
      <c r="T57" s="79">
        <f t="shared" si="249"/>
        <v>0.83291298865069352</v>
      </c>
      <c r="U57" s="79">
        <f t="shared" si="249"/>
        <v>0.83988585922637915</v>
      </c>
      <c r="V57" s="79">
        <f t="shared" si="249"/>
        <v>0.84377866095995113</v>
      </c>
      <c r="W57" s="79">
        <f t="shared" si="249"/>
        <v>0.82841156356854218</v>
      </c>
      <c r="X57" s="79">
        <f t="shared" si="249"/>
        <v>0.86348501664816868</v>
      </c>
      <c r="Y57" s="79">
        <f t="shared" si="249"/>
        <v>0.86572535991140642</v>
      </c>
      <c r="Z57" s="79">
        <f t="shared" si="249"/>
        <v>0.85632333767926994</v>
      </c>
      <c r="AA57" s="79">
        <f t="shared" si="249"/>
        <v>0.84838622186059132</v>
      </c>
      <c r="AB57" s="79">
        <f t="shared" si="249"/>
        <v>0.85354077253218885</v>
      </c>
      <c r="AC57" s="79">
        <f t="shared" si="249"/>
        <v>0.83799501523123787</v>
      </c>
      <c r="AD57" s="79">
        <f t="shared" si="249"/>
        <v>0.84913217623497994</v>
      </c>
      <c r="AE57" s="79">
        <f t="shared" si="249"/>
        <v>0.84998616108497094</v>
      </c>
      <c r="AF57" s="79">
        <f t="shared" si="249"/>
        <v>0.8639744952178533</v>
      </c>
      <c r="AG57" s="79">
        <f t="shared" si="249"/>
        <v>0.847741935483871</v>
      </c>
      <c r="AH57" s="79">
        <f t="shared" si="249"/>
        <v>0.8536390295921088</v>
      </c>
      <c r="AI57" s="79">
        <f t="shared" si="249"/>
        <v>0.85671100362756958</v>
      </c>
      <c r="AJ57" s="79">
        <f t="shared" si="249"/>
        <v>0.858066253703205</v>
      </c>
      <c r="AK57" s="79">
        <f t="shared" si="249"/>
        <v>0.85781741867785943</v>
      </c>
      <c r="AL57" s="79">
        <f t="shared" si="249"/>
        <v>0.85954318718823841</v>
      </c>
      <c r="AM57" s="79">
        <f t="shared" si="249"/>
        <v>0.85968819599109136</v>
      </c>
      <c r="AN57" s="79">
        <f t="shared" si="249"/>
        <v>0.85567823343848581</v>
      </c>
      <c r="AO57" s="79">
        <f t="shared" si="249"/>
        <v>0.84696016771488469</v>
      </c>
      <c r="AP57" s="79">
        <f t="shared" si="249"/>
        <v>0.85212184326998175</v>
      </c>
      <c r="AQ57" s="93">
        <f t="shared" si="249"/>
        <v>0.85429033998920667</v>
      </c>
      <c r="AR57" s="93">
        <f t="shared" si="249"/>
        <v>0.85627683758524875</v>
      </c>
      <c r="AS57" s="79">
        <v>0.85</v>
      </c>
      <c r="AT57" s="79">
        <v>0.85</v>
      </c>
      <c r="AU57" s="79">
        <f t="shared" ref="AU57" si="250">AU45/AU43</f>
        <v>0.83547430830039526</v>
      </c>
      <c r="AV57" s="93">
        <f>AV45/AV43</f>
        <v>0.85079294170203257</v>
      </c>
      <c r="AW57" s="93">
        <f>AW45/AW43</f>
        <v>0.84394535772169488</v>
      </c>
      <c r="AX57" s="79">
        <f t="shared" ref="AX57" si="251">AX45/AX43</f>
        <v>0.8355575661615019</v>
      </c>
      <c r="AY57" s="79">
        <f t="shared" ref="AY57:AZ57" si="252">AY45/AY43</f>
        <v>0.84167059933931099</v>
      </c>
      <c r="AZ57" s="79">
        <f t="shared" si="252"/>
        <v>0.84740329130156011</v>
      </c>
      <c r="BA57" s="79">
        <f t="shared" ref="BA57:BB57" si="253">BA45/BA43</f>
        <v>0.84941027801179447</v>
      </c>
      <c r="BB57" s="79">
        <f t="shared" si="253"/>
        <v>0.84633805627619241</v>
      </c>
      <c r="BC57" s="79">
        <f t="shared" ref="BC57" si="254">BC45/BC43</f>
        <v>0.84870603848706039</v>
      </c>
      <c r="BD57" s="79">
        <f t="shared" ref="BD57" si="255">BD45/BD43</f>
        <v>0.84768339768339773</v>
      </c>
      <c r="BE57" s="79">
        <f t="shared" ref="BE57" si="256">BE45/BE43</f>
        <v>0.84873782548201149</v>
      </c>
      <c r="BF57" s="79">
        <f t="shared" ref="BF57:BG57" si="257">BF45/BF43</f>
        <v>0.84524479459763646</v>
      </c>
      <c r="BG57" s="79">
        <f t="shared" si="257"/>
        <v>0.85396383866481229</v>
      </c>
      <c r="BH57" s="79">
        <f t="shared" ref="BH57:BI57" si="258">BH45/BH43</f>
        <v>0.85307262569832398</v>
      </c>
      <c r="BI57" s="79">
        <f t="shared" si="258"/>
        <v>0.86982351913332168</v>
      </c>
      <c r="BJ57" s="79">
        <f t="shared" ref="BJ57:BK57" si="259">BJ45/BJ43</f>
        <v>0.86199421965317924</v>
      </c>
      <c r="BK57" s="79">
        <f t="shared" si="259"/>
        <v>0.87208250407092458</v>
      </c>
      <c r="BL57" s="79">
        <f t="shared" ref="BL57:BN57" si="260">BL45/BL43</f>
        <v>0.81540084388185652</v>
      </c>
      <c r="BM57" s="79">
        <f t="shared" si="260"/>
        <v>0.8232662192393736</v>
      </c>
      <c r="BN57" s="79">
        <f t="shared" si="260"/>
        <v>0.87376362112321881</v>
      </c>
      <c r="BO57" s="79">
        <f t="shared" ref="BO57:BP57" si="261">BO45/BO43</f>
        <v>0.87518301610541727</v>
      </c>
      <c r="BP57" s="79">
        <f t="shared" si="261"/>
        <v>0.87779690189328741</v>
      </c>
      <c r="BQ57" s="79">
        <f t="shared" ref="BQ57:BR57" si="262">BQ45/BQ43</f>
        <v>0.8726831803221895</v>
      </c>
      <c r="BR57" s="79">
        <f t="shared" si="262"/>
        <v>0.85935884177869704</v>
      </c>
      <c r="BS57" s="79">
        <f t="shared" ref="BS57:BT57" si="263">BS45/BS43</f>
        <v>0.87792581922938417</v>
      </c>
      <c r="BT57" s="79">
        <f t="shared" si="263"/>
        <v>0.87704241624030366</v>
      </c>
      <c r="BU57" s="79">
        <f t="shared" ref="BU57" si="264">BU45/BU43</f>
        <v>0.87144308943089432</v>
      </c>
      <c r="BV57" s="79">
        <f t="shared" ref="BV57" si="265">BV45/BV43</f>
        <v>0.86853932584269666</v>
      </c>
      <c r="BW57" s="79">
        <f t="shared" ref="BW57" si="266">BW45/BW43</f>
        <v>0.85981644772359189</v>
      </c>
      <c r="BX57" s="79">
        <f t="shared" ref="BX57:BY57" si="267">BX45/BX43</f>
        <v>0.87463805143927775</v>
      </c>
      <c r="BY57" s="79">
        <f t="shared" si="267"/>
        <v>0.86752658183719711</v>
      </c>
      <c r="BZ57" s="79">
        <f t="shared" ref="BZ57:CA57" si="268">BZ45/BZ43</f>
        <v>0.87251896078747782</v>
      </c>
      <c r="CA57" s="79">
        <f t="shared" si="268"/>
        <v>0.87485797760103878</v>
      </c>
      <c r="CB57" s="79">
        <f t="shared" ref="CB57:CC57" si="269">CB45/CB43</f>
        <v>0.87786013535288432</v>
      </c>
      <c r="CC57" s="79">
        <f t="shared" si="269"/>
        <v>0.86392651408998911</v>
      </c>
      <c r="CD57" s="79">
        <f t="shared" ref="CD57:CH57" si="270">CD45/CD43</f>
        <v>0.8554416641543563</v>
      </c>
      <c r="CE57" s="79">
        <f t="shared" si="270"/>
        <v>0.85307574987290291</v>
      </c>
      <c r="CF57" s="79">
        <f t="shared" si="270"/>
        <v>0.841556849524977</v>
      </c>
      <c r="CG57" s="79">
        <f t="shared" si="270"/>
        <v>0.8513271696987772</v>
      </c>
      <c r="CH57" s="79">
        <f t="shared" si="270"/>
        <v>0.83990651475314049</v>
      </c>
      <c r="CI57" s="121">
        <f>CI45/CI43</f>
        <v>0.8475472907983328</v>
      </c>
      <c r="CJ57" s="121">
        <f t="shared" ref="CJ57:CP57" si="271">CJ45/CJ43</f>
        <v>0.85956930542917809</v>
      </c>
      <c r="CK57" s="121">
        <f t="shared" si="271"/>
        <v>0.84921828021647627</v>
      </c>
      <c r="CL57" s="121">
        <f t="shared" si="271"/>
        <v>0.84339815762538384</v>
      </c>
      <c r="CM57" s="121">
        <f t="shared" si="271"/>
        <v>0.83357903357903362</v>
      </c>
      <c r="CN57" s="121">
        <f t="shared" si="271"/>
        <v>0.83653020326367022</v>
      </c>
      <c r="CO57" s="121">
        <f t="shared" si="271"/>
        <v>0.83528900478053025</v>
      </c>
      <c r="CP57" s="121">
        <f t="shared" si="271"/>
        <v>0.84407027818448022</v>
      </c>
      <c r="CQ57" s="121">
        <f t="shared" ref="CQ57:CS57" si="272">CQ45/CQ43</f>
        <v>0.82006176984020407</v>
      </c>
      <c r="CR57" s="121">
        <f t="shared" si="272"/>
        <v>0.83237958989031946</v>
      </c>
      <c r="CS57" s="121">
        <f t="shared" si="272"/>
        <v>0.82900152887216272</v>
      </c>
      <c r="CT57" s="121">
        <f t="shared" ref="CT57:CX57" si="273">CT45/CT43</f>
        <v>0.83094871230464451</v>
      </c>
      <c r="CU57" s="121">
        <f t="shared" si="273"/>
        <v>0.82574549024420174</v>
      </c>
      <c r="CV57" s="121">
        <f t="shared" si="273"/>
        <v>0.83</v>
      </c>
      <c r="CW57" s="121">
        <f t="shared" si="273"/>
        <v>0.83</v>
      </c>
      <c r="CX57" s="121">
        <f t="shared" si="273"/>
        <v>0.83</v>
      </c>
      <c r="CY57" s="121"/>
      <c r="CZ57" s="80"/>
      <c r="DA57" s="79">
        <f t="shared" ref="DA57:DD57" si="274">DA45/DA43</f>
        <v>0.88708695411523775</v>
      </c>
      <c r="DB57" s="79">
        <f t="shared" si="274"/>
        <v>0.8893081132405487</v>
      </c>
      <c r="DC57" s="79">
        <f t="shared" si="274"/>
        <v>0.8640209880648857</v>
      </c>
      <c r="DD57" s="79">
        <f t="shared" si="274"/>
        <v>0.84178086290467358</v>
      </c>
      <c r="DE57" s="79">
        <f>DE45/DE43</f>
        <v>0.83599090608713233</v>
      </c>
      <c r="DF57" s="79">
        <f>DF45/DF43</f>
        <v>0.83627860016090094</v>
      </c>
      <c r="DG57" s="79">
        <f>DG45/DG43</f>
        <v>0.85421923184749093</v>
      </c>
      <c r="DH57" s="79">
        <f>DH45/DH43</f>
        <v>0.84733599620878752</v>
      </c>
      <c r="DI57" s="79">
        <f>DI45/DI43</f>
        <v>0.85382923415316936</v>
      </c>
      <c r="DJ57" s="79">
        <v>0.85499999999999998</v>
      </c>
      <c r="DK57" s="79">
        <v>0.85</v>
      </c>
      <c r="DL57" s="79">
        <v>0.85</v>
      </c>
      <c r="DM57" s="79">
        <v>0.85</v>
      </c>
      <c r="DN57" s="79">
        <v>0.85</v>
      </c>
      <c r="DO57" s="79">
        <v>0.85</v>
      </c>
      <c r="DP57" s="79">
        <v>0.85</v>
      </c>
      <c r="DQ57" s="79">
        <v>0.85</v>
      </c>
      <c r="DR57" s="79">
        <v>0.85</v>
      </c>
      <c r="DS57" s="79">
        <v>0.85</v>
      </c>
      <c r="DT57" s="79"/>
      <c r="DU57" s="79">
        <f t="shared" ref="DU57:DY57" si="275">DU45/DU43</f>
        <v>0.86776274386406549</v>
      </c>
      <c r="DV57" s="79">
        <f t="shared" si="275"/>
        <v>0.84626044112552445</v>
      </c>
      <c r="DW57" s="79">
        <f t="shared" si="275"/>
        <v>0.84990312654332711</v>
      </c>
      <c r="DX57" s="79">
        <f t="shared" si="275"/>
        <v>0.83777935438098616</v>
      </c>
      <c r="DY57" s="79">
        <f t="shared" si="275"/>
        <v>0.85</v>
      </c>
      <c r="DZ57" s="79">
        <f>DZ45/DZ43</f>
        <v>0.85</v>
      </c>
      <c r="EA57" s="79">
        <f t="shared" ref="EA57:EJ57" si="276">EA45/EA43</f>
        <v>0.85</v>
      </c>
      <c r="EB57" s="79">
        <f t="shared" si="276"/>
        <v>0.85</v>
      </c>
      <c r="EC57" s="79">
        <f t="shared" si="276"/>
        <v>0.85</v>
      </c>
      <c r="ED57" s="79">
        <f t="shared" si="276"/>
        <v>0.85</v>
      </c>
      <c r="EE57" s="79">
        <f t="shared" si="276"/>
        <v>0.85</v>
      </c>
      <c r="EF57" s="79">
        <f t="shared" si="276"/>
        <v>0.85</v>
      </c>
      <c r="EG57" s="79">
        <f t="shared" si="276"/>
        <v>0.85</v>
      </c>
      <c r="EH57" s="79">
        <f t="shared" si="276"/>
        <v>0.85</v>
      </c>
      <c r="EI57" s="79">
        <f t="shared" si="276"/>
        <v>0.85</v>
      </c>
      <c r="EJ57" s="79">
        <f t="shared" si="276"/>
        <v>0.85</v>
      </c>
      <c r="EL57" s="71" t="s">
        <v>793</v>
      </c>
      <c r="EM57" s="62">
        <v>-0.02</v>
      </c>
    </row>
    <row r="58" spans="2:210" s="30" customFormat="1">
      <c r="B58" s="30" t="s">
        <v>282</v>
      </c>
      <c r="C58" s="81"/>
      <c r="D58" s="82"/>
      <c r="E58" s="82"/>
      <c r="F58" s="82"/>
      <c r="G58" s="82"/>
      <c r="H58" s="82"/>
      <c r="I58" s="82"/>
      <c r="J58" s="82"/>
      <c r="K58" s="79">
        <f t="shared" ref="K58:AU58" si="277">K46/K43</f>
        <v>0.19394765230227676</v>
      </c>
      <c r="L58" s="79">
        <f t="shared" si="277"/>
        <v>0.18842780853461372</v>
      </c>
      <c r="M58" s="79">
        <f t="shared" si="277"/>
        <v>0.18114301240829636</v>
      </c>
      <c r="N58" s="79">
        <f t="shared" si="277"/>
        <v>0.21085826301883578</v>
      </c>
      <c r="O58" s="79">
        <f t="shared" si="277"/>
        <v>0.18477101028639722</v>
      </c>
      <c r="P58" s="79">
        <f t="shared" si="277"/>
        <v>0.17813201269055173</v>
      </c>
      <c r="Q58" s="79">
        <f t="shared" si="277"/>
        <v>0.18245484703280501</v>
      </c>
      <c r="R58" s="79">
        <f t="shared" si="277"/>
        <v>0.20900653145410794</v>
      </c>
      <c r="S58" s="79">
        <f t="shared" si="277"/>
        <v>0.18390398870455349</v>
      </c>
      <c r="T58" s="79">
        <f t="shared" si="277"/>
        <v>0.17780580075662042</v>
      </c>
      <c r="U58" s="79">
        <f t="shared" si="277"/>
        <v>0.17723525681674066</v>
      </c>
      <c r="V58" s="79">
        <f t="shared" si="277"/>
        <v>0.20116172424335066</v>
      </c>
      <c r="W58" s="79">
        <f t="shared" si="277"/>
        <v>0.19396953683556109</v>
      </c>
      <c r="X58" s="79">
        <f t="shared" si="277"/>
        <v>0.20227524972253053</v>
      </c>
      <c r="Y58" s="79">
        <f t="shared" si="277"/>
        <v>0.23117386489479513</v>
      </c>
      <c r="Z58" s="79">
        <f t="shared" si="277"/>
        <v>0.26153846153846155</v>
      </c>
      <c r="AA58" s="79">
        <f t="shared" si="277"/>
        <v>0.21779224301600217</v>
      </c>
      <c r="AB58" s="79">
        <f t="shared" si="277"/>
        <v>0.20842274678111589</v>
      </c>
      <c r="AC58" s="79">
        <f t="shared" si="277"/>
        <v>0.19357518692882858</v>
      </c>
      <c r="AD58" s="79">
        <f t="shared" si="277"/>
        <v>0.20961281708945259</v>
      </c>
      <c r="AE58" s="79">
        <f t="shared" si="277"/>
        <v>0.18295045668419596</v>
      </c>
      <c r="AF58" s="79">
        <f t="shared" si="277"/>
        <v>0.20696068012752392</v>
      </c>
      <c r="AG58" s="79">
        <f t="shared" si="277"/>
        <v>0.18064516129032257</v>
      </c>
      <c r="AH58" s="79">
        <f t="shared" si="277"/>
        <v>0.20527859237536658</v>
      </c>
      <c r="AI58" s="79">
        <f t="shared" si="277"/>
        <v>0.18288996372430472</v>
      </c>
      <c r="AJ58" s="79">
        <f t="shared" si="277"/>
        <v>0.17694586587664962</v>
      </c>
      <c r="AK58" s="79">
        <f t="shared" si="277"/>
        <v>0.16080797481636935</v>
      </c>
      <c r="AL58" s="79">
        <f t="shared" si="277"/>
        <v>0.22683118928852716</v>
      </c>
      <c r="AM58" s="79">
        <f t="shared" si="277"/>
        <v>0.1717706013363029</v>
      </c>
      <c r="AN58" s="79">
        <f t="shared" si="277"/>
        <v>0.16876971608832808</v>
      </c>
      <c r="AO58" s="79">
        <f t="shared" si="277"/>
        <v>0.18055555555555555</v>
      </c>
      <c r="AP58" s="79">
        <f t="shared" si="277"/>
        <v>0.21478781567300181</v>
      </c>
      <c r="AQ58" s="93">
        <f t="shared" si="277"/>
        <v>0.18969239071775498</v>
      </c>
      <c r="AR58" s="93">
        <f t="shared" si="277"/>
        <v>0.20409194240969941</v>
      </c>
      <c r="AS58" s="79">
        <f t="shared" si="277"/>
        <v>0.19345841784989859</v>
      </c>
      <c r="AT58" s="79">
        <f t="shared" si="277"/>
        <v>0.21193053108482254</v>
      </c>
      <c r="AU58" s="79">
        <f t="shared" si="277"/>
        <v>0.17860671936758893</v>
      </c>
      <c r="AV58" s="93">
        <f>AV46/AV43</f>
        <v>0.18025463480008935</v>
      </c>
      <c r="AW58" s="93">
        <f>AW46/AW43</f>
        <v>0.19657328085204909</v>
      </c>
      <c r="AX58" s="79">
        <f t="shared" ref="AX58" si="278">AX46/AX43</f>
        <v>0.20741913594209455</v>
      </c>
      <c r="AY58" s="79">
        <f t="shared" ref="AY58:AZ58" si="279">AY46/AY43</f>
        <v>0.20080226521944314</v>
      </c>
      <c r="AZ58" s="79">
        <f t="shared" si="279"/>
        <v>0.20175251122034624</v>
      </c>
      <c r="BA58" s="79">
        <f t="shared" ref="BA58:BB58" si="280">BA46/BA43</f>
        <v>0.20345408593091829</v>
      </c>
      <c r="BB58" s="79">
        <f t="shared" si="280"/>
        <v>0.23308720814208742</v>
      </c>
      <c r="BC58" s="79">
        <f t="shared" ref="BC58" si="281">BC46/BC43</f>
        <v>0.21986286219862863</v>
      </c>
      <c r="BD58" s="79">
        <f t="shared" ref="BD58" si="282">BD46/BD43</f>
        <v>0.18899613899613898</v>
      </c>
      <c r="BE58" s="79">
        <f t="shared" ref="BE58" si="283">BE46/BE43</f>
        <v>0.19479228781554364</v>
      </c>
      <c r="BF58" s="79">
        <f t="shared" ref="BF58:BG58" si="284">BF46/BF43</f>
        <v>0.21909585443631588</v>
      </c>
      <c r="BG58" s="79">
        <f t="shared" si="284"/>
        <v>0.17007748857540234</v>
      </c>
      <c r="BH58" s="79">
        <f t="shared" ref="BH58:BI58" si="285">BH46/BH43</f>
        <v>0.17094972067039105</v>
      </c>
      <c r="BI58" s="79">
        <f t="shared" si="285"/>
        <v>0.1897606150620304</v>
      </c>
      <c r="BJ58" s="79">
        <f t="shared" ref="BJ58:BK58" si="286">BJ46/BJ43</f>
        <v>0.1909320809248555</v>
      </c>
      <c r="BK58" s="79">
        <f t="shared" si="286"/>
        <v>0.15523792292382849</v>
      </c>
      <c r="BL58" s="79">
        <f t="shared" ref="BL58:BN58" si="287">BL46/BL43</f>
        <v>0.15822784810126583</v>
      </c>
      <c r="BM58" s="79">
        <f t="shared" si="287"/>
        <v>0.17036654620547237</v>
      </c>
      <c r="BN58" s="79">
        <f t="shared" si="287"/>
        <v>0.17703269069572505</v>
      </c>
      <c r="BO58" s="79">
        <f t="shared" ref="BO58:BP58" si="288">BO46/BO43</f>
        <v>0.13689604685212298</v>
      </c>
      <c r="BP58" s="79">
        <f t="shared" si="288"/>
        <v>0.14647160068846815</v>
      </c>
      <c r="BQ58" s="79">
        <f t="shared" ref="BQ58:BR58" si="289">BQ46/BQ43</f>
        <v>0.14862289970552572</v>
      </c>
      <c r="BR58" s="79">
        <f t="shared" si="289"/>
        <v>0.17666321957945536</v>
      </c>
      <c r="BS58" s="79">
        <f t="shared" ref="BS58:BT58" si="290">BS46/BS43</f>
        <v>0.13305725603168889</v>
      </c>
      <c r="BT58" s="79">
        <f t="shared" si="290"/>
        <v>0.14028717610166694</v>
      </c>
      <c r="BU58" s="79">
        <f t="shared" ref="BU58" si="291">BU46/BU43</f>
        <v>0.15345528455284552</v>
      </c>
      <c r="BV58" s="79">
        <f t="shared" ref="BV58" si="292">BV46/BV43</f>
        <v>0.18651685393258427</v>
      </c>
      <c r="BW58" s="79">
        <f t="shared" ref="BW58" si="293">BW46/BW43</f>
        <v>0.15457980924959511</v>
      </c>
      <c r="BX58" s="79">
        <f t="shared" ref="BX58:BY58" si="294">BX46/BX43</f>
        <v>0.1543178334184977</v>
      </c>
      <c r="BY58" s="79">
        <f t="shared" si="294"/>
        <v>0.17029806519086629</v>
      </c>
      <c r="BZ58" s="79">
        <f t="shared" ref="BZ58:CA58" si="295">BZ46/BZ43</f>
        <v>0.20735839922543167</v>
      </c>
      <c r="CA58" s="79">
        <f t="shared" si="295"/>
        <v>0.1504625872423308</v>
      </c>
      <c r="CB58" s="79">
        <f t="shared" ref="CB58:CC58" si="296">CB46/CB43</f>
        <v>0.15082178536899774</v>
      </c>
      <c r="CC58" s="79">
        <f t="shared" si="296"/>
        <v>0.16145103534174063</v>
      </c>
      <c r="CD58" s="79">
        <f t="shared" ref="CD58:CH58" si="297">CD46/CD43</f>
        <v>0.17862526379258367</v>
      </c>
      <c r="CE58" s="79">
        <f t="shared" si="297"/>
        <v>0.15997288595153364</v>
      </c>
      <c r="CF58" s="79">
        <f t="shared" si="297"/>
        <v>0.15874961691694758</v>
      </c>
      <c r="CG58" s="79">
        <f t="shared" si="297"/>
        <v>0.14867283030122277</v>
      </c>
      <c r="CH58" s="79">
        <f t="shared" si="297"/>
        <v>0.19266725094945955</v>
      </c>
      <c r="CI58" s="121">
        <f>CI46/CI43</f>
        <v>0.14972747675537032</v>
      </c>
      <c r="CJ58" s="121">
        <f t="shared" ref="CJ58:CP58" si="298">CJ46/CJ43</f>
        <v>0.15468607825295724</v>
      </c>
      <c r="CK58" s="121">
        <f t="shared" si="298"/>
        <v>0.16476247745039085</v>
      </c>
      <c r="CL58" s="121">
        <f t="shared" si="298"/>
        <v>0.18877028805380905</v>
      </c>
      <c r="CM58" s="121">
        <f t="shared" si="298"/>
        <v>0.17100737100737101</v>
      </c>
      <c r="CN58" s="121">
        <f t="shared" si="298"/>
        <v>0.15631262525050099</v>
      </c>
      <c r="CO58" s="121">
        <f t="shared" si="298"/>
        <v>0.15500507025930754</v>
      </c>
      <c r="CP58" s="121">
        <f t="shared" si="298"/>
        <v>0.1822840409956076</v>
      </c>
      <c r="CQ58" s="121">
        <f t="shared" ref="CQ58:CS58" si="299">CQ46/CQ43</f>
        <v>0.17684973814959043</v>
      </c>
      <c r="CR58" s="121">
        <f t="shared" si="299"/>
        <v>0.16964711492608489</v>
      </c>
      <c r="CS58" s="121">
        <f t="shared" si="299"/>
        <v>0.16935199341408916</v>
      </c>
      <c r="CT58" s="121">
        <f t="shared" ref="CT58:CX58" si="300">CT46/CT43</f>
        <v>0.18688091569447501</v>
      </c>
      <c r="CU58" s="121">
        <f t="shared" si="300"/>
        <v>0.18100380414774819</v>
      </c>
      <c r="CV58" s="121">
        <f t="shared" si="300"/>
        <v>0.1714106749220039</v>
      </c>
      <c r="CW58" s="121">
        <f t="shared" si="300"/>
        <v>0.17205740026047581</v>
      </c>
      <c r="CX58" s="121">
        <f t="shared" si="300"/>
        <v>0.19627108064683921</v>
      </c>
      <c r="CY58" s="121"/>
      <c r="CZ58" s="82"/>
      <c r="DA58" s="79">
        <f t="shared" ref="DA58:DD58" si="301">DA46/DA43</f>
        <v>0.23385177395251008</v>
      </c>
      <c r="DB58" s="79">
        <f t="shared" si="301"/>
        <v>0.21613652832263061</v>
      </c>
      <c r="DC58" s="79">
        <f t="shared" si="301"/>
        <v>0.20637032110261241</v>
      </c>
      <c r="DD58" s="79">
        <f t="shared" si="301"/>
        <v>0.19400394949434505</v>
      </c>
      <c r="DE58" s="79">
        <f>DE46/DE43</f>
        <v>0.18921639975303198</v>
      </c>
      <c r="DF58" s="79">
        <f>DF46/DF43</f>
        <v>0.18519710378117457</v>
      </c>
      <c r="DG58" s="79">
        <f>DG46/DG43</f>
        <v>0.22364732268012336</v>
      </c>
      <c r="DH58" s="79">
        <f>DH46/DH43</f>
        <v>0.20743348453049895</v>
      </c>
      <c r="DI58" s="79">
        <f>DI46/DI43</f>
        <v>0.1939612077584483</v>
      </c>
      <c r="DJ58" s="79">
        <v>0.19</v>
      </c>
      <c r="DK58" s="79">
        <f>DJ58-1%</f>
        <v>0.18</v>
      </c>
      <c r="DL58" s="79">
        <f t="shared" ref="DL58:DS58" si="302">DK58-0.5%</f>
        <v>0.17499999999999999</v>
      </c>
      <c r="DM58" s="79">
        <f t="shared" si="302"/>
        <v>0.16999999999999998</v>
      </c>
      <c r="DN58" s="79">
        <f t="shared" si="302"/>
        <v>0.16499999999999998</v>
      </c>
      <c r="DO58" s="79">
        <f t="shared" si="302"/>
        <v>0.15999999999999998</v>
      </c>
      <c r="DP58" s="79">
        <f t="shared" si="302"/>
        <v>0.15499999999999997</v>
      </c>
      <c r="DQ58" s="79">
        <f t="shared" si="302"/>
        <v>0.14999999999999997</v>
      </c>
      <c r="DR58" s="79">
        <f t="shared" si="302"/>
        <v>0.14499999999999996</v>
      </c>
      <c r="DS58" s="79">
        <f t="shared" si="302"/>
        <v>0.13999999999999996</v>
      </c>
      <c r="DT58" s="79"/>
      <c r="DU58" s="79">
        <f t="shared" ref="DU58:DW58" si="303">+DU46/DU43</f>
        <v>0.16067495280050345</v>
      </c>
      <c r="DV58" s="79">
        <f t="shared" si="303"/>
        <v>0.16536433273028214</v>
      </c>
      <c r="DW58" s="79">
        <f t="shared" si="303"/>
        <v>0.16491281388899443</v>
      </c>
      <c r="DX58" s="79">
        <f>+DX46/DX43</f>
        <v>0.1667257892869812</v>
      </c>
      <c r="DY58" s="79">
        <f>+DY46/DY43</f>
        <v>0.17586165629487793</v>
      </c>
      <c r="DZ58" s="79">
        <f>DZ46/DZ43</f>
        <v>0.18168519337914593</v>
      </c>
      <c r="EA58" s="79">
        <f t="shared" ref="EA58:EJ58" si="304">EA46/EA43</f>
        <v>0</v>
      </c>
      <c r="EB58" s="79">
        <f t="shared" si="304"/>
        <v>0</v>
      </c>
      <c r="EC58" s="79">
        <f t="shared" si="304"/>
        <v>0</v>
      </c>
      <c r="ED58" s="79">
        <f t="shared" si="304"/>
        <v>0</v>
      </c>
      <c r="EE58" s="79">
        <f t="shared" si="304"/>
        <v>0</v>
      </c>
      <c r="EF58" s="79">
        <f t="shared" si="304"/>
        <v>0</v>
      </c>
      <c r="EG58" s="79">
        <f t="shared" si="304"/>
        <v>0</v>
      </c>
      <c r="EH58" s="79">
        <f t="shared" si="304"/>
        <v>0</v>
      </c>
      <c r="EI58" s="79">
        <f t="shared" si="304"/>
        <v>0</v>
      </c>
      <c r="EJ58" s="79">
        <f t="shared" si="304"/>
        <v>0</v>
      </c>
      <c r="EL58" s="71" t="s">
        <v>794</v>
      </c>
      <c r="EM58" s="62">
        <v>0.08</v>
      </c>
    </row>
    <row r="59" spans="2:210" s="30" customFormat="1">
      <c r="B59" s="30" t="s">
        <v>283</v>
      </c>
      <c r="C59" s="82"/>
      <c r="D59" s="82"/>
      <c r="E59" s="82"/>
      <c r="F59" s="82"/>
      <c r="G59" s="82"/>
      <c r="H59" s="82"/>
      <c r="I59" s="82"/>
      <c r="J59" s="82"/>
      <c r="K59" s="79">
        <f t="shared" ref="K59:AU59" si="305">K47/K43</f>
        <v>0.21330835178561289</v>
      </c>
      <c r="L59" s="79">
        <f t="shared" si="305"/>
        <v>0.21434520601636373</v>
      </c>
      <c r="M59" s="79">
        <f t="shared" si="305"/>
        <v>0.21211846753011507</v>
      </c>
      <c r="N59" s="79">
        <f t="shared" si="305"/>
        <v>0.26071763402369386</v>
      </c>
      <c r="O59" s="79">
        <f t="shared" si="305"/>
        <v>0.2189594092790986</v>
      </c>
      <c r="P59" s="79">
        <f t="shared" si="305"/>
        <v>0.22699837499032735</v>
      </c>
      <c r="Q59" s="79">
        <f t="shared" si="305"/>
        <v>0.23405823811279028</v>
      </c>
      <c r="R59" s="79">
        <f t="shared" si="305"/>
        <v>0.27947748367136471</v>
      </c>
      <c r="S59" s="79">
        <f t="shared" si="305"/>
        <v>0.20367102012001412</v>
      </c>
      <c r="T59" s="79">
        <f t="shared" si="305"/>
        <v>0.20365699873896595</v>
      </c>
      <c r="U59" s="79">
        <f t="shared" si="305"/>
        <v>0.20798985415345592</v>
      </c>
      <c r="V59" s="79">
        <f t="shared" si="305"/>
        <v>0.27911953531030265</v>
      </c>
      <c r="W59" s="79">
        <f t="shared" si="305"/>
        <v>0.20267329810382345</v>
      </c>
      <c r="X59" s="79">
        <f t="shared" si="305"/>
        <v>0.22169811320754718</v>
      </c>
      <c r="Y59" s="79">
        <f t="shared" si="305"/>
        <v>0.21650055370985605</v>
      </c>
      <c r="Z59" s="79">
        <f t="shared" si="305"/>
        <v>0.26101694915254237</v>
      </c>
      <c r="AA59" s="79">
        <f t="shared" si="305"/>
        <v>0.2028749660970979</v>
      </c>
      <c r="AB59" s="79">
        <f t="shared" si="305"/>
        <v>0.22532188841201717</v>
      </c>
      <c r="AC59" s="79">
        <f t="shared" si="305"/>
        <v>0.22265300470783717</v>
      </c>
      <c r="AD59" s="79">
        <f t="shared" si="305"/>
        <v>0.2643524699599466</v>
      </c>
      <c r="AE59" s="79">
        <f t="shared" si="305"/>
        <v>0.23858289510102407</v>
      </c>
      <c r="AF59" s="79">
        <f t="shared" si="305"/>
        <v>0.23751328374070138</v>
      </c>
      <c r="AG59" s="79">
        <f t="shared" si="305"/>
        <v>0.22967741935483871</v>
      </c>
      <c r="AH59" s="79">
        <f t="shared" si="305"/>
        <v>0.28312450013329776</v>
      </c>
      <c r="AI59" s="79">
        <f t="shared" si="305"/>
        <v>0.23397823458282951</v>
      </c>
      <c r="AJ59" s="79">
        <f t="shared" si="305"/>
        <v>0.23996768112038783</v>
      </c>
      <c r="AK59" s="79">
        <f t="shared" si="305"/>
        <v>0.2395068205666317</v>
      </c>
      <c r="AL59" s="79">
        <f t="shared" si="305"/>
        <v>0.30427933840903126</v>
      </c>
      <c r="AM59" s="79">
        <f t="shared" si="305"/>
        <v>0.2430400890868597</v>
      </c>
      <c r="AN59" s="79">
        <f t="shared" si="305"/>
        <v>0.25446898002103052</v>
      </c>
      <c r="AO59" s="79">
        <f t="shared" si="305"/>
        <v>0.24685534591194969</v>
      </c>
      <c r="AP59" s="79">
        <f t="shared" si="305"/>
        <v>0.29731840666493103</v>
      </c>
      <c r="AQ59" s="93">
        <f t="shared" si="305"/>
        <v>0.27280086346465193</v>
      </c>
      <c r="AR59" s="93">
        <f t="shared" si="305"/>
        <v>0.28062642081333672</v>
      </c>
      <c r="AS59" s="79">
        <f t="shared" si="305"/>
        <v>0.28220081135902636</v>
      </c>
      <c r="AT59" s="79">
        <f t="shared" si="305"/>
        <v>0.30178706267304306</v>
      </c>
      <c r="AU59" s="79">
        <f t="shared" si="305"/>
        <v>0.26111660079051385</v>
      </c>
      <c r="AV59" s="93">
        <f>AV47/AV43</f>
        <v>0.26781326781326781</v>
      </c>
      <c r="AW59" s="93">
        <f>AW47/AW43</f>
        <v>0.25700393609631861</v>
      </c>
      <c r="AX59" s="79">
        <f t="shared" ref="AX59" si="306">AX47/AX43</f>
        <v>0.30558697127346757</v>
      </c>
      <c r="AY59" s="79">
        <f t="shared" ref="AY59:AZ59" si="307">AY47/AY43</f>
        <v>0.26993865030674846</v>
      </c>
      <c r="AZ59" s="79">
        <f t="shared" si="307"/>
        <v>0.26437272921564436</v>
      </c>
      <c r="BA59" s="79">
        <f t="shared" ref="BA59:BB59" si="308">BA47/BA43</f>
        <v>0.25652906486941868</v>
      </c>
      <c r="BB59" s="79">
        <f t="shared" si="308"/>
        <v>0.26062662143284776</v>
      </c>
      <c r="BC59" s="79">
        <f t="shared" ref="BC59" si="309">BC47/BC43</f>
        <v>0.21742977217429771</v>
      </c>
      <c r="BD59" s="79">
        <f t="shared" ref="BD59" si="310">BD47/BD43</f>
        <v>0.21100386100386101</v>
      </c>
      <c r="BE59" s="79">
        <f t="shared" ref="BE59" si="311">BE47/BE43</f>
        <v>0.20413436692506459</v>
      </c>
      <c r="BF59" s="79">
        <f t="shared" ref="BF59:BG59" si="312">BF47/BF43</f>
        <v>0.24479459763646597</v>
      </c>
      <c r="BG59" s="79">
        <f t="shared" si="312"/>
        <v>0.19729783429366182</v>
      </c>
      <c r="BH59" s="79">
        <f t="shared" ref="BH59:BI59" si="313">BH47/BH43</f>
        <v>0.20707635009310987</v>
      </c>
      <c r="BI59" s="79">
        <f t="shared" si="313"/>
        <v>0.21072863882579068</v>
      </c>
      <c r="BJ59" s="79">
        <f t="shared" ref="BJ59:BK59" si="314">BJ47/BJ43</f>
        <v>0.24367774566473988</v>
      </c>
      <c r="BK59" s="79">
        <f t="shared" si="314"/>
        <v>0.19956576804776552</v>
      </c>
      <c r="BL59" s="79">
        <f t="shared" ref="BL59:BN59" si="315">BL47/BL43</f>
        <v>0.22714486638537271</v>
      </c>
      <c r="BM59" s="79">
        <f t="shared" si="315"/>
        <v>0.21407675098950266</v>
      </c>
      <c r="BN59" s="79">
        <f t="shared" si="315"/>
        <v>0.21743503772003353</v>
      </c>
      <c r="BO59" s="79">
        <f t="shared" ref="BO59:BP59" si="316">BO47/BO43</f>
        <v>0.1901537335285505</v>
      </c>
      <c r="BP59" s="79">
        <f t="shared" si="316"/>
        <v>0.20206540447504304</v>
      </c>
      <c r="BQ59" s="79">
        <f t="shared" ref="BQ59:BR59" si="317">BQ47/BQ43</f>
        <v>0.19868352676251516</v>
      </c>
      <c r="BR59" s="79">
        <f t="shared" si="317"/>
        <v>0.24233023095484316</v>
      </c>
      <c r="BS59" s="79">
        <f t="shared" ref="BS59:BT59" si="318">BS47/BS43</f>
        <v>0.19787540511343177</v>
      </c>
      <c r="BT59" s="79">
        <f t="shared" si="318"/>
        <v>0.2200033008747318</v>
      </c>
      <c r="BU59" s="79">
        <f t="shared" ref="BU59" si="319">BU47/BU43</f>
        <v>0.21476964769647697</v>
      </c>
      <c r="BV59" s="79">
        <f t="shared" ref="BV59" si="320">BV47/BV43</f>
        <v>0.24590690208667737</v>
      </c>
      <c r="BW59" s="79">
        <f t="shared" ref="BW59" si="321">BW47/BW43</f>
        <v>0.20676624077739789</v>
      </c>
      <c r="BX59" s="79">
        <f t="shared" ref="BX59:BY59" si="322">BX47/BX43</f>
        <v>0.21393289047862374</v>
      </c>
      <c r="BY59" s="79">
        <f t="shared" si="322"/>
        <v>0.21038870489803033</v>
      </c>
      <c r="BZ59" s="79">
        <f t="shared" ref="BZ59:CA59" si="323">BZ47/BZ43</f>
        <v>0.24221397450379215</v>
      </c>
      <c r="CA59" s="79">
        <f t="shared" si="323"/>
        <v>0.20889465995779904</v>
      </c>
      <c r="CB59" s="79">
        <f t="shared" ref="CB59:CC59" si="324">CB47/CB43</f>
        <v>0.20383499838865615</v>
      </c>
      <c r="CC59" s="79">
        <f t="shared" si="324"/>
        <v>0.2069126576366184</v>
      </c>
      <c r="CD59" s="79">
        <f t="shared" ref="CD59:CH59" si="325">CD47/CD43</f>
        <v>0.26560144709074462</v>
      </c>
      <c r="CE59" s="79">
        <f t="shared" si="325"/>
        <v>0.20776139637349603</v>
      </c>
      <c r="CF59" s="79">
        <f t="shared" si="325"/>
        <v>0.20609868219429972</v>
      </c>
      <c r="CG59" s="79">
        <f t="shared" si="325"/>
        <v>0.18789144050104384</v>
      </c>
      <c r="CH59" s="79">
        <f t="shared" si="325"/>
        <v>0.20946538124452235</v>
      </c>
      <c r="CI59" s="121">
        <f>CI47/CI43</f>
        <v>0.19445335043283105</v>
      </c>
      <c r="CJ59" s="121">
        <f t="shared" ref="CJ59:CP59" si="326">CJ47/CJ43</f>
        <v>0.19912041249620868</v>
      </c>
      <c r="CK59" s="121">
        <f t="shared" si="326"/>
        <v>0.19182200841852073</v>
      </c>
      <c r="CL59" s="121">
        <f t="shared" si="326"/>
        <v>0.21465126480479602</v>
      </c>
      <c r="CM59" s="121">
        <f t="shared" si="326"/>
        <v>0.20049140049140049</v>
      </c>
      <c r="CN59" s="121">
        <f t="shared" si="326"/>
        <v>0.17706842255940453</v>
      </c>
      <c r="CO59" s="121">
        <f t="shared" si="326"/>
        <v>0.18730986527596696</v>
      </c>
      <c r="CP59" s="121">
        <f t="shared" si="326"/>
        <v>0.21522693997071743</v>
      </c>
      <c r="CQ59" s="121">
        <f t="shared" ref="CQ59:CS59" si="327">CQ47/CQ43</f>
        <v>0.22989123136833625</v>
      </c>
      <c r="CR59" s="121">
        <f t="shared" si="327"/>
        <v>0.20100143061516451</v>
      </c>
      <c r="CS59" s="121">
        <f t="shared" si="327"/>
        <v>0.18405268728683993</v>
      </c>
      <c r="CT59" s="121">
        <f t="shared" ref="CT59:CX59" si="328">CT47/CT43</f>
        <v>0.20019810697776799</v>
      </c>
      <c r="CU59" s="121">
        <f t="shared" si="328"/>
        <v>0.20431954841084796</v>
      </c>
      <c r="CV59" s="121">
        <f t="shared" si="328"/>
        <v>0.20309093318236021</v>
      </c>
      <c r="CW59" s="121">
        <f t="shared" si="328"/>
        <v>0.18699293847753098</v>
      </c>
      <c r="CX59" s="121">
        <f t="shared" si="328"/>
        <v>0.21025741796030656</v>
      </c>
      <c r="CY59" s="121"/>
      <c r="CZ59" s="82"/>
      <c r="DA59" s="79">
        <f t="shared" ref="DA59:DD59" si="329">DA47/DA43</f>
        <v>0.23551225992140365</v>
      </c>
      <c r="DB59" s="79">
        <f t="shared" si="329"/>
        <v>0.24337222957947077</v>
      </c>
      <c r="DC59" s="79">
        <f t="shared" si="329"/>
        <v>0.26770867974725637</v>
      </c>
      <c r="DD59" s="79">
        <f t="shared" si="329"/>
        <v>0.22655735742923822</v>
      </c>
      <c r="DE59" s="79">
        <f>DE47/DE43</f>
        <v>0.2414800489158942</v>
      </c>
      <c r="DF59" s="79">
        <f>DF47/DF43</f>
        <v>0.2246178600160901</v>
      </c>
      <c r="DG59" s="79">
        <f>DG47/DG43</f>
        <v>0.2266610597140454</v>
      </c>
      <c r="DH59" s="79">
        <f>DH47/DH43</f>
        <v>0.2289621555751134</v>
      </c>
      <c r="DI59" s="79">
        <f>DI47/DI43</f>
        <v>0.2471505698860228</v>
      </c>
      <c r="DJ59" s="79">
        <v>0.24</v>
      </c>
      <c r="DK59" s="79">
        <v>0.19500000000000001</v>
      </c>
      <c r="DL59" s="79">
        <v>0.2</v>
      </c>
      <c r="DM59" s="79">
        <v>0.20499999999999999</v>
      </c>
      <c r="DN59" s="79">
        <v>0.21</v>
      </c>
      <c r="DO59" s="79">
        <v>0.22</v>
      </c>
      <c r="DP59" s="79">
        <v>0.23</v>
      </c>
      <c r="DQ59" s="79">
        <v>0.23</v>
      </c>
      <c r="DR59" s="79">
        <v>0.23</v>
      </c>
      <c r="DS59" s="79">
        <v>0.23</v>
      </c>
      <c r="DT59" s="79"/>
      <c r="DU59" s="79">
        <f t="shared" ref="DU59:DW59" si="330">DU47/DU43</f>
        <v>0.22195563247325362</v>
      </c>
      <c r="DV59" s="79">
        <f t="shared" si="330"/>
        <v>0.20266368990338351</v>
      </c>
      <c r="DW59" s="79">
        <f t="shared" si="330"/>
        <v>0.20020514379060136</v>
      </c>
      <c r="DX59" s="79">
        <f>DX47/DX43</f>
        <v>0.19574317133735367</v>
      </c>
      <c r="DY59" s="79">
        <f>DY47/DY43</f>
        <v>0.20290808999521301</v>
      </c>
      <c r="DZ59" s="79">
        <f>DZ47/DZ43</f>
        <v>0.20272527790068717</v>
      </c>
      <c r="EA59" s="79">
        <f t="shared" ref="EA59:EJ59" si="331">EA47/EA43</f>
        <v>0.19729179945107042</v>
      </c>
      <c r="EB59" s="79">
        <f t="shared" si="331"/>
        <v>0.18741493374571616</v>
      </c>
      <c r="EC59" s="79">
        <f t="shared" si="331"/>
        <v>0.17969115047618256</v>
      </c>
      <c r="ED59" s="79">
        <f t="shared" si="331"/>
        <v>0.17200130422758125</v>
      </c>
      <c r="EE59" s="79">
        <f t="shared" si="331"/>
        <v>0.1637844234600847</v>
      </c>
      <c r="EF59" s="79">
        <f t="shared" si="331"/>
        <v>0.15412270857276358</v>
      </c>
      <c r="EG59" s="79">
        <f t="shared" si="331"/>
        <v>0.14481460963510553</v>
      </c>
      <c r="EH59" s="79">
        <f t="shared" si="331"/>
        <v>0.13441996687982746</v>
      </c>
      <c r="EI59" s="79">
        <f t="shared" si="331"/>
        <v>0.12379892143231901</v>
      </c>
      <c r="EJ59" s="79">
        <f t="shared" si="331"/>
        <v>0.14701068653399543</v>
      </c>
      <c r="EL59" s="71" t="s">
        <v>795</v>
      </c>
      <c r="EM59" s="67">
        <f>NPV($EM$58,EA53:GT53)+Main!J5-Main!J6+DZ53</f>
        <v>157544.20873609462</v>
      </c>
    </row>
    <row r="60" spans="2:210" s="30" customFormat="1">
      <c r="B60" s="30" t="s">
        <v>974</v>
      </c>
      <c r="C60" s="82"/>
      <c r="D60" s="82"/>
      <c r="E60" s="82"/>
      <c r="F60" s="82"/>
      <c r="G60" s="82"/>
      <c r="H60" s="82"/>
      <c r="I60" s="82"/>
      <c r="J60" s="82"/>
      <c r="K60" s="79">
        <f t="shared" ref="K60:AU60" si="332">K49/K43</f>
        <v>0.43467893033554772</v>
      </c>
      <c r="L60" s="79">
        <f t="shared" si="332"/>
        <v>0.43839106364215369</v>
      </c>
      <c r="M60" s="79">
        <f t="shared" si="332"/>
        <v>0.45457838963861963</v>
      </c>
      <c r="N60" s="79">
        <f t="shared" si="332"/>
        <v>0.36499616466376889</v>
      </c>
      <c r="O60" s="79">
        <f t="shared" si="332"/>
        <v>0.43770540782790546</v>
      </c>
      <c r="P60" s="79">
        <f t="shared" si="332"/>
        <v>0.42656503907761356</v>
      </c>
      <c r="Q60" s="79">
        <f t="shared" si="332"/>
        <v>0.41872465904902323</v>
      </c>
      <c r="R60" s="79">
        <f t="shared" si="332"/>
        <v>0.34788587143348232</v>
      </c>
      <c r="S60" s="79">
        <f t="shared" si="332"/>
        <v>0.4398164489939993</v>
      </c>
      <c r="T60" s="79">
        <f t="shared" si="332"/>
        <v>0.45145018915510721</v>
      </c>
      <c r="U60" s="79">
        <f t="shared" si="332"/>
        <v>0.45466074825618263</v>
      </c>
      <c r="V60" s="79">
        <f t="shared" si="332"/>
        <v>0.36349740140629777</v>
      </c>
      <c r="W60" s="79">
        <f t="shared" si="332"/>
        <v>0.43176872862915761</v>
      </c>
      <c r="X60" s="79">
        <f t="shared" si="332"/>
        <v>0.43951165371809103</v>
      </c>
      <c r="Y60" s="79">
        <f t="shared" si="332"/>
        <v>0.41805094130675524</v>
      </c>
      <c r="Z60" s="79">
        <f t="shared" si="332"/>
        <v>0.33376792698826596</v>
      </c>
      <c r="AA60" s="79">
        <f t="shared" si="332"/>
        <v>0.42771901274749119</v>
      </c>
      <c r="AB60" s="79">
        <f t="shared" si="332"/>
        <v>0.4197961373390558</v>
      </c>
      <c r="AC60" s="79">
        <f t="shared" si="332"/>
        <v>0.42176682359457213</v>
      </c>
      <c r="AD60" s="79">
        <f t="shared" si="332"/>
        <v>0.37516688918558078</v>
      </c>
      <c r="AE60" s="79">
        <f t="shared" si="332"/>
        <v>0.42845280929975088</v>
      </c>
      <c r="AF60" s="79">
        <f t="shared" si="332"/>
        <v>0.41950053134962806</v>
      </c>
      <c r="AG60" s="79">
        <f t="shared" si="332"/>
        <v>0.4374193548387097</v>
      </c>
      <c r="AH60" s="79">
        <f t="shared" si="332"/>
        <v>0.36523593708344443</v>
      </c>
      <c r="AI60" s="79">
        <f t="shared" si="332"/>
        <v>0.43984280532043529</v>
      </c>
      <c r="AJ60" s="79">
        <f t="shared" si="332"/>
        <v>0.44115270670616752</v>
      </c>
      <c r="AK60" s="79">
        <f t="shared" si="332"/>
        <v>0.45750262329485836</v>
      </c>
      <c r="AL60" s="79">
        <f t="shared" si="332"/>
        <v>0.32843265949067996</v>
      </c>
      <c r="AM60" s="79">
        <f t="shared" si="332"/>
        <v>0.44487750556792871</v>
      </c>
      <c r="AN60" s="79">
        <f t="shared" si="332"/>
        <v>0.43243953732912721</v>
      </c>
      <c r="AO60" s="79">
        <f t="shared" si="332"/>
        <v>0.41954926624737948</v>
      </c>
      <c r="AP60" s="79">
        <f t="shared" si="332"/>
        <v>0.34001562093204896</v>
      </c>
      <c r="AQ60" s="93">
        <f t="shared" si="332"/>
        <v>0.39179708580679978</v>
      </c>
      <c r="AR60" s="93">
        <f t="shared" si="332"/>
        <v>0.37155847436221268</v>
      </c>
      <c r="AS60" s="79">
        <f t="shared" si="332"/>
        <v>0.37398580121703856</v>
      </c>
      <c r="AT60" s="79">
        <f t="shared" si="332"/>
        <v>0.32443996979612383</v>
      </c>
      <c r="AU60" s="79">
        <f t="shared" si="332"/>
        <v>0.39575098814229248</v>
      </c>
      <c r="AV60" s="93">
        <f>AV49/AV43</f>
        <v>0.40272503908867546</v>
      </c>
      <c r="AW60" s="93">
        <f>AW49/AW43</f>
        <v>0.39036814077332715</v>
      </c>
      <c r="AX60" s="79">
        <f t="shared" ref="AX60" si="333">AX49/AX43</f>
        <v>0.32255145894593984</v>
      </c>
      <c r="AY60" s="79">
        <f t="shared" ref="AY60:AZ60" si="334">AY49/AY43</f>
        <v>0.37092968381311942</v>
      </c>
      <c r="AZ60" s="79">
        <f t="shared" si="334"/>
        <v>0.38127805086556954</v>
      </c>
      <c r="BA60" s="79">
        <f t="shared" ref="BA60:BB60" si="335">BA49/BA43</f>
        <v>0.38942712721145745</v>
      </c>
      <c r="BB60" s="79">
        <f t="shared" si="335"/>
        <v>0.35262422670125726</v>
      </c>
      <c r="BC60" s="79">
        <f t="shared" ref="BC60" si="336">BC49/BC43</f>
        <v>0.41141340411413402</v>
      </c>
      <c r="BD60" s="79">
        <f t="shared" ref="BD60" si="337">BD49/BD43</f>
        <v>0.44768339768339771</v>
      </c>
      <c r="BE60" s="79">
        <f t="shared" ref="BE60" si="338">BE49/BE43</f>
        <v>0.44981117074140331</v>
      </c>
      <c r="BF60" s="79">
        <f t="shared" ref="BF60:BG60" si="339">BF49/BF43</f>
        <v>0.38135434252485462</v>
      </c>
      <c r="BG60" s="79">
        <f t="shared" si="339"/>
        <v>0.48658851579574808</v>
      </c>
      <c r="BH60" s="79">
        <f t="shared" ref="BH60:BI60" si="340">BH49/BH43</f>
        <v>0.47504655493482312</v>
      </c>
      <c r="BI60" s="79">
        <f t="shared" si="340"/>
        <v>0.46933426524550059</v>
      </c>
      <c r="BJ60" s="79">
        <f t="shared" ref="BJ60:BK60" si="341">BJ49/BJ43</f>
        <v>0.42738439306358383</v>
      </c>
      <c r="BK60" s="79">
        <f t="shared" si="341"/>
        <v>0.51727881309933055</v>
      </c>
      <c r="BL60" s="79">
        <f t="shared" ref="BL60:BN60" si="342">BL49/BL43</f>
        <v>0.43002812939521801</v>
      </c>
      <c r="BM60" s="79">
        <f t="shared" si="342"/>
        <v>0.43882292204439854</v>
      </c>
      <c r="BN60" s="79">
        <f t="shared" si="342"/>
        <v>0.4792958927074602</v>
      </c>
      <c r="BO60" s="79">
        <f t="shared" ref="BO60:BP60" si="343">BO49/BO43</f>
        <v>0.54813323572474382</v>
      </c>
      <c r="BP60" s="79">
        <f t="shared" si="343"/>
        <v>0.52925989672977625</v>
      </c>
      <c r="BQ60" s="79">
        <f t="shared" ref="BQ60:BR60" si="344">BQ49/BQ43</f>
        <v>0.52537675385414861</v>
      </c>
      <c r="BR60" s="79">
        <f t="shared" si="344"/>
        <v>0.4403653912443985</v>
      </c>
      <c r="BS60" s="79">
        <f t="shared" ref="BS60:BT60" si="345">BS49/BS43</f>
        <v>0.54699315808426363</v>
      </c>
      <c r="BT60" s="79">
        <f t="shared" si="345"/>
        <v>0.51675193926390495</v>
      </c>
      <c r="BU60" s="79">
        <f t="shared" ref="BU60" si="346">BU49/BU43</f>
        <v>0.50321815718157181</v>
      </c>
      <c r="BV60" s="79">
        <f t="shared" ref="BV60" si="347">BV49/BV43</f>
        <v>0.43611556982343497</v>
      </c>
      <c r="BW60" s="79">
        <f t="shared" ref="BW60" si="348">BW49/BW43</f>
        <v>0.4984703976965989</v>
      </c>
      <c r="BX60" s="79">
        <f t="shared" ref="BX60:BY60" si="349">BX49/BX43</f>
        <v>0.50638732754215632</v>
      </c>
      <c r="BY60" s="79">
        <f t="shared" si="349"/>
        <v>0.48683981174830049</v>
      </c>
      <c r="BZ60" s="79">
        <f t="shared" ref="BZ60:CA60" si="350">BZ49/BZ43</f>
        <v>0.422946587058254</v>
      </c>
      <c r="CA60" s="79">
        <f t="shared" si="350"/>
        <v>0.51550073040090894</v>
      </c>
      <c r="CB60" s="79">
        <f t="shared" ref="CB60:CC60" si="351">CB49/CB43</f>
        <v>0.52320335159523046</v>
      </c>
      <c r="CC60" s="79">
        <f t="shared" si="351"/>
        <v>0.49556282111163008</v>
      </c>
      <c r="CD60" s="79">
        <f t="shared" ref="CD60:CH60" si="352">CD49/CD43</f>
        <v>0.41121495327102803</v>
      </c>
      <c r="CE60" s="79">
        <f t="shared" si="352"/>
        <v>0.48534146754787322</v>
      </c>
      <c r="CF60" s="79">
        <f t="shared" si="352"/>
        <v>0.47670855041372967</v>
      </c>
      <c r="CG60" s="79">
        <f t="shared" si="352"/>
        <v>0.51476289889651061</v>
      </c>
      <c r="CH60" s="79">
        <f t="shared" si="352"/>
        <v>0.43777388255915861</v>
      </c>
      <c r="CI60" s="121">
        <f>CI49/CI43</f>
        <v>0.50336646361013149</v>
      </c>
      <c r="CJ60" s="121">
        <f t="shared" ref="CJ60:CP60" si="353">CJ49/CJ43</f>
        <v>0.50576281468001216</v>
      </c>
      <c r="CK60" s="121">
        <f t="shared" si="353"/>
        <v>0.49263379434756466</v>
      </c>
      <c r="CL60" s="121">
        <f t="shared" si="353"/>
        <v>0.43997660476677874</v>
      </c>
      <c r="CM60" s="121">
        <f t="shared" si="353"/>
        <v>0.46208026208026209</v>
      </c>
      <c r="CN60" s="121">
        <f t="shared" si="353"/>
        <v>0.50314915545376471</v>
      </c>
      <c r="CO60" s="121">
        <f t="shared" si="353"/>
        <v>0.49297406924525566</v>
      </c>
      <c r="CP60" s="121">
        <f t="shared" si="353"/>
        <v>0.44655929721815518</v>
      </c>
      <c r="CQ60" s="121">
        <f t="shared" ref="CQ60:CS60" si="354">CQ49/CQ43</f>
        <v>0.41332080032227742</v>
      </c>
      <c r="CR60" s="121">
        <f t="shared" si="354"/>
        <v>0.46173104434907009</v>
      </c>
      <c r="CS60" s="121">
        <f t="shared" si="354"/>
        <v>0.47559684817123365</v>
      </c>
      <c r="CT60" s="121">
        <f t="shared" ref="CT60:CX60" si="355">CT49/CT43</f>
        <v>0.44386968963240148</v>
      </c>
      <c r="CU60" s="121">
        <f t="shared" si="355"/>
        <v>0.44042213768560562</v>
      </c>
      <c r="CV60" s="121">
        <f t="shared" si="355"/>
        <v>0.45549839189563579</v>
      </c>
      <c r="CW60" s="121">
        <f t="shared" si="355"/>
        <v>0.47094966126199322</v>
      </c>
      <c r="CX60" s="121">
        <f t="shared" si="355"/>
        <v>0.42347150139285417</v>
      </c>
      <c r="CY60" s="121"/>
      <c r="CZ60" s="82"/>
      <c r="DA60" s="79">
        <f t="shared" ref="DA60:DD60" si="356">DA49/DA43</f>
        <v>0.41772292024132396</v>
      </c>
      <c r="DB60" s="79">
        <f t="shared" si="356"/>
        <v>0.42979935533844732</v>
      </c>
      <c r="DC60" s="79">
        <f t="shared" si="356"/>
        <v>0.38994198721501683</v>
      </c>
      <c r="DD60" s="79">
        <f t="shared" si="356"/>
        <v>0.42121955598109029</v>
      </c>
      <c r="DE60" s="79">
        <f t="shared" ref="DE60:DT60" si="357">DE49/DE43</f>
        <v>0.40529445741820608</v>
      </c>
      <c r="DF60" s="79">
        <f t="shared" si="357"/>
        <v>0.42646363636363632</v>
      </c>
      <c r="DG60" s="79">
        <f t="shared" si="357"/>
        <v>0.40391084945332212</v>
      </c>
      <c r="DH60" s="79">
        <f t="shared" si="357"/>
        <v>0.41094035610317514</v>
      </c>
      <c r="DI60" s="79">
        <f t="shared" si="357"/>
        <v>0.41271745650869823</v>
      </c>
      <c r="DJ60" s="79">
        <f t="shared" si="357"/>
        <v>0.4157901925966398</v>
      </c>
      <c r="DK60" s="79">
        <f t="shared" si="357"/>
        <v>0.40855643393343521</v>
      </c>
      <c r="DL60" s="79">
        <f t="shared" si="357"/>
        <v>0.36365627415614532</v>
      </c>
      <c r="DM60" s="79">
        <f t="shared" si="357"/>
        <v>0.26089155861198904</v>
      </c>
      <c r="DN60" s="79">
        <f t="shared" si="357"/>
        <v>0.24477004310396502</v>
      </c>
      <c r="DO60" s="79">
        <f t="shared" si="357"/>
        <v>0.23304131840070039</v>
      </c>
      <c r="DP60" s="79">
        <f t="shared" si="357"/>
        <v>0.19203482622629225</v>
      </c>
      <c r="DQ60" s="79">
        <f t="shared" si="357"/>
        <v>0.17717450377820559</v>
      </c>
      <c r="DR60" s="79">
        <f t="shared" si="357"/>
        <v>0.42199937730268283</v>
      </c>
      <c r="DS60" s="79">
        <f t="shared" si="357"/>
        <v>0.41422800275889249</v>
      </c>
      <c r="DT60" s="79">
        <f t="shared" si="357"/>
        <v>0.47757041349199553</v>
      </c>
      <c r="DU60" s="79">
        <f t="shared" ref="DU60:DX60" si="358">DU49/DU43</f>
        <v>0.48513215859030839</v>
      </c>
      <c r="DV60" s="79">
        <f t="shared" si="358"/>
        <v>0.47823241849185882</v>
      </c>
      <c r="DW60" s="79">
        <f t="shared" si="358"/>
        <v>0.48478516886373135</v>
      </c>
      <c r="DX60" s="79">
        <f t="shared" si="358"/>
        <v>0.47531039375665129</v>
      </c>
      <c r="DY60" s="79">
        <f t="shared" ref="DY60:DZ60" si="359">DY49/DY43</f>
        <v>0.47123025370990901</v>
      </c>
      <c r="DZ60" s="79">
        <f t="shared" si="359"/>
        <v>0.4655895287201669</v>
      </c>
      <c r="EA60" s="79">
        <f t="shared" ref="EA60:EJ60" si="360">EA49/EA43</f>
        <v>0.65270820054892953</v>
      </c>
      <c r="EB60" s="79">
        <f t="shared" si="360"/>
        <v>0.66258506625428382</v>
      </c>
      <c r="EC60" s="79">
        <f t="shared" si="360"/>
        <v>0.67030884952381753</v>
      </c>
      <c r="ED60" s="79">
        <f t="shared" si="360"/>
        <v>0.67799869577241878</v>
      </c>
      <c r="EE60" s="79">
        <f t="shared" si="360"/>
        <v>0.68621557653991538</v>
      </c>
      <c r="EF60" s="79">
        <f t="shared" si="360"/>
        <v>0.69587729142723642</v>
      </c>
      <c r="EG60" s="79">
        <f t="shared" si="360"/>
        <v>0.70518539036489447</v>
      </c>
      <c r="EH60" s="79">
        <f t="shared" si="360"/>
        <v>0.7155800331201726</v>
      </c>
      <c r="EI60" s="79">
        <f t="shared" si="360"/>
        <v>0.72620107856768101</v>
      </c>
      <c r="EJ60" s="79">
        <f t="shared" si="360"/>
        <v>0.70298931346600457</v>
      </c>
      <c r="EL60" s="82"/>
      <c r="EM60" s="63">
        <f>EM59/Main!J3</f>
        <v>290.67197183781292</v>
      </c>
    </row>
    <row r="61" spans="2:210" s="30" customFormat="1">
      <c r="B61" s="30" t="s">
        <v>975</v>
      </c>
      <c r="C61" s="82"/>
      <c r="D61" s="82"/>
      <c r="E61" s="82"/>
      <c r="F61" s="82"/>
      <c r="G61" s="82"/>
      <c r="H61" s="82"/>
      <c r="I61" s="82"/>
      <c r="J61" s="82"/>
      <c r="K61" s="79">
        <f t="shared" ref="K61:AU61" si="361">K53/K43</f>
        <v>0.31976381082155236</v>
      </c>
      <c r="L61" s="79">
        <f t="shared" si="361"/>
        <v>0.32257116260839735</v>
      </c>
      <c r="M61" s="79">
        <f t="shared" si="361"/>
        <v>0.32347613440811512</v>
      </c>
      <c r="N61" s="79">
        <f t="shared" si="361"/>
        <v>0.26199607943407482</v>
      </c>
      <c r="O61" s="79">
        <f t="shared" si="361"/>
        <v>0.32306116351530134</v>
      </c>
      <c r="P61" s="79">
        <f t="shared" si="361"/>
        <v>0.31490366014083415</v>
      </c>
      <c r="Q61" s="79">
        <f t="shared" si="361"/>
        <v>0.30917803169922592</v>
      </c>
      <c r="R61" s="79">
        <f t="shared" si="361"/>
        <v>0.25960811275352358</v>
      </c>
      <c r="S61" s="79">
        <f t="shared" si="361"/>
        <v>0.32615601835510061</v>
      </c>
      <c r="T61" s="79">
        <f t="shared" si="361"/>
        <v>0.34804539722572508</v>
      </c>
      <c r="U61" s="79">
        <f t="shared" si="361"/>
        <v>0.3383005707038681</v>
      </c>
      <c r="V61" s="79">
        <f t="shared" si="361"/>
        <v>0.28370528890247632</v>
      </c>
      <c r="W61" s="79">
        <f t="shared" si="361"/>
        <v>0.34224432701274482</v>
      </c>
      <c r="X61" s="79">
        <f t="shared" si="361"/>
        <v>0.34267480577136517</v>
      </c>
      <c r="Y61" s="79">
        <f t="shared" si="361"/>
        <v>0.33887043189368771</v>
      </c>
      <c r="Z61" s="79">
        <f t="shared" si="361"/>
        <v>0.27640156453715775</v>
      </c>
      <c r="AA61" s="79">
        <f t="shared" si="361"/>
        <v>0.34445348521833469</v>
      </c>
      <c r="AB61" s="79">
        <f t="shared" si="361"/>
        <v>0.33932403433476394</v>
      </c>
      <c r="AC61" s="79">
        <f t="shared" si="361"/>
        <v>0.32705621711437277</v>
      </c>
      <c r="AD61" s="79">
        <f t="shared" si="361"/>
        <v>0.290520694259012</v>
      </c>
      <c r="AE61" s="79">
        <f t="shared" si="361"/>
        <v>0.33711597010794353</v>
      </c>
      <c r="AF61" s="79">
        <f t="shared" si="361"/>
        <v>0.32810839532412328</v>
      </c>
      <c r="AG61" s="79">
        <f t="shared" si="361"/>
        <v>0.33754838709677421</v>
      </c>
      <c r="AH61" s="79">
        <f t="shared" si="361"/>
        <v>0.29965342575313247</v>
      </c>
      <c r="AI61" s="79">
        <f t="shared" si="361"/>
        <v>0.3385731559854897</v>
      </c>
      <c r="AJ61" s="79">
        <f t="shared" si="361"/>
        <v>0.35308375976299489</v>
      </c>
      <c r="AK61" s="79">
        <f t="shared" si="361"/>
        <v>0.39821615949632738</v>
      </c>
      <c r="AL61" s="79">
        <f t="shared" si="361"/>
        <v>0.27960094512995537</v>
      </c>
      <c r="AM61" s="79">
        <f t="shared" si="361"/>
        <v>0.35690423162583518</v>
      </c>
      <c r="AN61" s="79">
        <f t="shared" si="361"/>
        <v>0.34858044164037855</v>
      </c>
      <c r="AO61" s="79">
        <f t="shared" si="361"/>
        <v>0.3440775681341719</v>
      </c>
      <c r="AP61" s="79">
        <f t="shared" si="361"/>
        <v>0.28716480083311635</v>
      </c>
      <c r="AQ61" s="93">
        <f t="shared" si="361"/>
        <v>0.33944954128440369</v>
      </c>
      <c r="AR61" s="93">
        <f t="shared" si="361"/>
        <v>0.32356655721141703</v>
      </c>
      <c r="AS61" s="79">
        <f t="shared" si="361"/>
        <v>0.35598377281947263</v>
      </c>
      <c r="AT61" s="79">
        <f t="shared" si="361"/>
        <v>0.26705260508431916</v>
      </c>
      <c r="AU61" s="79">
        <f t="shared" si="361"/>
        <v>0.31793478260869568</v>
      </c>
      <c r="AV61" s="93">
        <f>AV53/AV43</f>
        <v>0.31293276747822202</v>
      </c>
      <c r="AW61" s="93">
        <f>AW53/AW43</f>
        <v>0.31720305626302386</v>
      </c>
      <c r="AX61" s="79">
        <f t="shared" ref="AX61" si="362">AX53/AX43</f>
        <v>0.25469350825605069</v>
      </c>
      <c r="AY61" s="79">
        <f t="shared" ref="AY61:AZ61" si="363">AY53/AY43</f>
        <v>0.34756960830580463</v>
      </c>
      <c r="AZ61" s="79">
        <f t="shared" si="363"/>
        <v>0.31887155375080145</v>
      </c>
      <c r="BA61" s="79">
        <f t="shared" ref="BA61:BB61" si="364">BA53/BA43</f>
        <v>0.32203032855939345</v>
      </c>
      <c r="BB61" s="79">
        <f t="shared" si="364"/>
        <v>0.3181001796048693</v>
      </c>
      <c r="BC61" s="79">
        <f t="shared" ref="BC61" si="365">BC53/BC43</f>
        <v>0.34704711347047112</v>
      </c>
      <c r="BD61" s="79">
        <f t="shared" ref="BD61" si="366">BD53/BD43</f>
        <v>0.3519305019305019</v>
      </c>
      <c r="BE61" s="79">
        <f t="shared" ref="BE61" si="367">BE53/BE43</f>
        <v>0.40568475452196384</v>
      </c>
      <c r="BF61" s="79">
        <f t="shared" ref="BF61:BG61" si="368">BF53/BF43</f>
        <v>0.3489026449071469</v>
      </c>
      <c r="BG61" s="79">
        <f t="shared" si="368"/>
        <v>0.4073117424995033</v>
      </c>
      <c r="BH61" s="79">
        <f t="shared" ref="BH61:BI61" si="369">BH53/BH43</f>
        <v>0.39627560521415273</v>
      </c>
      <c r="BI61" s="79">
        <f t="shared" si="369"/>
        <v>0.38616110431591821</v>
      </c>
      <c r="BJ61" s="79">
        <f t="shared" ref="BJ61:BK61" si="370">BJ53/BJ43</f>
        <v>0.38529624277456648</v>
      </c>
      <c r="BK61" s="79">
        <f t="shared" si="370"/>
        <v>0.42645196309028405</v>
      </c>
      <c r="BL61" s="79">
        <f t="shared" ref="BL61:BN61" si="371">BL53/BL43</f>
        <v>0.34036568213783402</v>
      </c>
      <c r="BM61" s="79">
        <f t="shared" si="371"/>
        <v>0.35105833763551886</v>
      </c>
      <c r="BN61" s="79">
        <f t="shared" si="371"/>
        <v>0.38709136630343671</v>
      </c>
      <c r="BO61" s="79">
        <f t="shared" ref="BO61:BP61" si="372">BO53/BO43</f>
        <v>0.45296486090775989</v>
      </c>
      <c r="BP61" s="79">
        <f t="shared" si="372"/>
        <v>0.43511187607573149</v>
      </c>
      <c r="BQ61" s="79">
        <f t="shared" ref="BQ61:BR61" si="373">BQ53/BQ43</f>
        <v>0.45297072579248226</v>
      </c>
      <c r="BR61" s="79">
        <f t="shared" si="373"/>
        <v>0.43502240606687348</v>
      </c>
      <c r="BS61" s="79">
        <f t="shared" ref="BS61:BT61" si="374">BS53/BS43</f>
        <v>0.47227223622614334</v>
      </c>
      <c r="BT61" s="79">
        <f t="shared" si="374"/>
        <v>0.42828849645155964</v>
      </c>
      <c r="BU61" s="79">
        <f t="shared" ref="BU61" si="375">BU53/BU43</f>
        <v>0.42462737127371275</v>
      </c>
      <c r="BV61" s="79">
        <f t="shared" ref="BV61" si="376">BV53/BV43</f>
        <v>0.36324237560192618</v>
      </c>
      <c r="BW61" s="79">
        <f t="shared" ref="BW61" si="377">BW53/BW43</f>
        <v>0.40129566312758685</v>
      </c>
      <c r="BX61" s="79">
        <f t="shared" ref="BX61:BY61" si="378">BX53/BX43</f>
        <v>0.34712996082439107</v>
      </c>
      <c r="BY61" s="79">
        <f t="shared" si="378"/>
        <v>0.39480564755098485</v>
      </c>
      <c r="BZ61" s="79">
        <f t="shared" ref="BZ61:CA61" si="379">BZ53/BZ43</f>
        <v>0.36727448765531706</v>
      </c>
      <c r="CA61" s="79">
        <f t="shared" si="379"/>
        <v>0.40188281123194286</v>
      </c>
      <c r="CB61" s="79">
        <f t="shared" ref="CB61:CC61" si="380">CB53/CB43</f>
        <v>0.43941347083467613</v>
      </c>
      <c r="CC61" s="79">
        <f t="shared" si="380"/>
        <v>0.41974155379106337</v>
      </c>
      <c r="CD61" s="79">
        <f t="shared" ref="CD61:CH61" si="381">CD53/CD43</f>
        <v>0.32378655411516433</v>
      </c>
      <c r="CE61" s="79">
        <f t="shared" si="381"/>
        <v>0.40128791730215219</v>
      </c>
      <c r="CF61" s="79">
        <f t="shared" si="381"/>
        <v>0.38645418326693226</v>
      </c>
      <c r="CG61" s="79">
        <f t="shared" si="381"/>
        <v>0.43021175067104084</v>
      </c>
      <c r="CH61" s="79">
        <f t="shared" si="381"/>
        <v>0.35495179666958809</v>
      </c>
      <c r="CI61" s="121">
        <f>CI53/CI43</f>
        <v>0.42417441487656299</v>
      </c>
      <c r="CJ61" s="121">
        <f t="shared" ref="CJ61:CP61" si="382">CJ53/CJ43</f>
        <v>0.378374279648165</v>
      </c>
      <c r="CK61" s="121">
        <f t="shared" si="382"/>
        <v>0.41491280817799159</v>
      </c>
      <c r="CL61" s="121">
        <f t="shared" si="382"/>
        <v>0.32329287907588827</v>
      </c>
      <c r="CM61" s="121">
        <f t="shared" si="382"/>
        <v>0.32645372645372644</v>
      </c>
      <c r="CN61" s="121">
        <f t="shared" si="382"/>
        <v>0.37975951903807614</v>
      </c>
      <c r="CO61" s="121">
        <f t="shared" si="382"/>
        <v>0.38635375923511517</v>
      </c>
      <c r="CP61" s="121">
        <f t="shared" si="382"/>
        <v>0.31027330405075648</v>
      </c>
      <c r="CQ61" s="121">
        <f t="shared" ref="CQ61:CS61" si="383">CQ53/CQ43</f>
        <v>0.27326440177252587</v>
      </c>
      <c r="CR61" s="121">
        <f t="shared" si="383"/>
        <v>0.31044349070100141</v>
      </c>
      <c r="CS61" s="121">
        <f t="shared" si="383"/>
        <v>0.35246383629307304</v>
      </c>
      <c r="CT61" s="121">
        <f t="shared" ref="CT61:CX61" si="384">CT53/CT43</f>
        <v>0.31014747963900507</v>
      </c>
      <c r="CU61" s="121">
        <f t="shared" si="384"/>
        <v>0.32187998527426676</v>
      </c>
      <c r="CV61" s="121">
        <f t="shared" si="384"/>
        <v>0.323544563161762</v>
      </c>
      <c r="CW61" s="121">
        <f t="shared" si="384"/>
        <v>0.34040685600946313</v>
      </c>
      <c r="CX61" s="121">
        <f t="shared" si="384"/>
        <v>0.30674246645012876</v>
      </c>
      <c r="CY61" s="121"/>
      <c r="CZ61" s="82"/>
      <c r="DA61" s="79">
        <f t="shared" ref="DA61:DD61" si="385">DA53/DA43</f>
        <v>0.41772292024132396</v>
      </c>
      <c r="DB61" s="79">
        <f t="shared" si="385"/>
        <v>0.42979935533844732</v>
      </c>
      <c r="DC61" s="79">
        <f t="shared" si="385"/>
        <v>0.38994198721501683</v>
      </c>
      <c r="DD61" s="79">
        <f t="shared" si="385"/>
        <v>0.30381186045119979</v>
      </c>
      <c r="DE61" s="79">
        <f t="shared" ref="DE61:DT61" si="386">DE53/DE43</f>
        <v>0.29896627165306489</v>
      </c>
      <c r="DF61" s="79">
        <f t="shared" si="386"/>
        <v>0.32364786806114232</v>
      </c>
      <c r="DG61" s="79">
        <f t="shared" si="386"/>
        <v>0.32380151387720774</v>
      </c>
      <c r="DH61" s="79">
        <f t="shared" si="386"/>
        <v>0.3284544038995329</v>
      </c>
      <c r="DI61" s="79">
        <f t="shared" si="386"/>
        <v>0.32560154635739519</v>
      </c>
      <c r="DJ61" s="79">
        <f t="shared" si="386"/>
        <v>0.32098825297090561</v>
      </c>
      <c r="DK61" s="79">
        <f t="shared" si="386"/>
        <v>0.33375406895635423</v>
      </c>
      <c r="DL61" s="79">
        <f t="shared" si="386"/>
        <v>0.29274330069569698</v>
      </c>
      <c r="DM61" s="79">
        <f t="shared" si="386"/>
        <v>0.21422012609258551</v>
      </c>
      <c r="DN61" s="79">
        <f t="shared" si="386"/>
        <v>0.20250839936509568</v>
      </c>
      <c r="DO61" s="79">
        <f t="shared" si="386"/>
        <v>0.19544215551307897</v>
      </c>
      <c r="DP61" s="79">
        <f t="shared" si="386"/>
        <v>0.16537043598852202</v>
      </c>
      <c r="DQ61" s="79">
        <f t="shared" si="386"/>
        <v>0.15498981259429362</v>
      </c>
      <c r="DR61" s="79">
        <f t="shared" si="386"/>
        <v>0.34433069496992952</v>
      </c>
      <c r="DS61" s="79">
        <f t="shared" si="386"/>
        <v>0.32214996551384373</v>
      </c>
      <c r="DT61" s="79">
        <f t="shared" si="386"/>
        <v>0.37706531975002139</v>
      </c>
      <c r="DU61" s="79">
        <f t="shared" ref="DU61:DX61" si="387">DU53/DU43</f>
        <v>0.40131371932032722</v>
      </c>
      <c r="DV61" s="79">
        <f t="shared" si="387"/>
        <v>0.40105469802532817</v>
      </c>
      <c r="DW61" s="79">
        <f t="shared" si="387"/>
        <v>0.38415074269650118</v>
      </c>
      <c r="DX61" s="79">
        <f t="shared" si="387"/>
        <v>0.34962752749201842</v>
      </c>
      <c r="DY61" s="79">
        <f t="shared" ref="DY61:DZ61" si="388">DY53/DY43</f>
        <v>0.33438247965533741</v>
      </c>
      <c r="DZ61" s="79">
        <f t="shared" si="388"/>
        <v>0.34025651745965818</v>
      </c>
      <c r="EA61" s="79">
        <f t="shared" ref="EA61:EJ61" si="389">EA53/EA43</f>
        <v>0.52216656043914367</v>
      </c>
      <c r="EB61" s="79">
        <f t="shared" si="389"/>
        <v>0.53424511188836543</v>
      </c>
      <c r="EC61" s="79">
        <f t="shared" si="389"/>
        <v>0.54477627392785188</v>
      </c>
      <c r="ED61" s="79">
        <f t="shared" si="389"/>
        <v>0.55538410466529131</v>
      </c>
      <c r="EE61" s="79">
        <f t="shared" si="389"/>
        <v>0.56644155220528203</v>
      </c>
      <c r="EF61" s="79">
        <f t="shared" si="389"/>
        <v>0.57849425101501384</v>
      </c>
      <c r="EG61" s="79">
        <f t="shared" si="389"/>
        <v>0.59027961531486695</v>
      </c>
      <c r="EH61" s="79">
        <f t="shared" si="389"/>
        <v>0.60261024206495706</v>
      </c>
      <c r="EI61" s="79">
        <f t="shared" si="389"/>
        <v>0.61486003217723018</v>
      </c>
      <c r="EJ61" s="79">
        <f t="shared" si="389"/>
        <v>0.61091383693626</v>
      </c>
    </row>
    <row r="62" spans="2:210" s="38" customFormat="1">
      <c r="B62" s="38" t="s">
        <v>445</v>
      </c>
      <c r="C62" s="79"/>
      <c r="D62" s="79"/>
      <c r="E62" s="79">
        <f>E52/E51</f>
        <v>0.58231978641352711</v>
      </c>
      <c r="F62" s="79"/>
      <c r="G62" s="79">
        <f t="shared" ref="G62:AU62" si="390">G52/G51</f>
        <v>0.30899556272690593</v>
      </c>
      <c r="H62" s="79">
        <f t="shared" si="390"/>
        <v>0.30728388916542226</v>
      </c>
      <c r="I62" s="79">
        <f t="shared" si="390"/>
        <v>0.31006160164271052</v>
      </c>
      <c r="J62" s="79">
        <f t="shared" si="390"/>
        <v>0.30997659449970733</v>
      </c>
      <c r="K62" s="79">
        <f t="shared" si="390"/>
        <v>0.29308397138195047</v>
      </c>
      <c r="L62" s="79">
        <f t="shared" si="390"/>
        <v>0.29333476440914463</v>
      </c>
      <c r="M62" s="79">
        <f t="shared" si="390"/>
        <v>0.29500592183182006</v>
      </c>
      <c r="N62" s="79">
        <f t="shared" si="390"/>
        <v>0.29454962707974752</v>
      </c>
      <c r="O62" s="79">
        <f t="shared" si="390"/>
        <v>0.2804449092119024</v>
      </c>
      <c r="P62" s="79">
        <f t="shared" si="390"/>
        <v>0.27193845603363453</v>
      </c>
      <c r="Q62" s="79">
        <f t="shared" si="390"/>
        <v>0.27124239791485666</v>
      </c>
      <c r="R62" s="79">
        <f t="shared" si="390"/>
        <v>0.25888125613346419</v>
      </c>
      <c r="S62" s="79">
        <f t="shared" si="390"/>
        <v>0.2643312101910828</v>
      </c>
      <c r="T62" s="79">
        <f t="shared" si="390"/>
        <v>0.22143864598025387</v>
      </c>
      <c r="U62" s="79">
        <f t="shared" si="390"/>
        <v>0.26312154696132595</v>
      </c>
      <c r="V62" s="79">
        <f t="shared" si="390"/>
        <v>0.22602168473728107</v>
      </c>
      <c r="W62" s="79">
        <f t="shared" si="390"/>
        <v>0.25051055139550715</v>
      </c>
      <c r="X62" s="79">
        <f t="shared" si="390"/>
        <v>0.23052959501557632</v>
      </c>
      <c r="Y62" s="79">
        <f t="shared" si="390"/>
        <v>0.20981278244028406</v>
      </c>
      <c r="Z62" s="79">
        <f t="shared" si="390"/>
        <v>0.19696969696969696</v>
      </c>
      <c r="AA62" s="79">
        <f t="shared" si="390"/>
        <v>0.21701602959309493</v>
      </c>
      <c r="AB62" s="79">
        <f t="shared" si="390"/>
        <v>0.19529262086513996</v>
      </c>
      <c r="AC62" s="79">
        <f t="shared" si="390"/>
        <v>0.21371504660452731</v>
      </c>
      <c r="AD62" s="79">
        <f t="shared" si="390"/>
        <v>0.22617354196301565</v>
      </c>
      <c r="AE62" s="79">
        <f t="shared" si="390"/>
        <v>0.22420382165605096</v>
      </c>
      <c r="AF62" s="79">
        <f t="shared" si="390"/>
        <v>0.22229219143576825</v>
      </c>
      <c r="AG62" s="79">
        <f t="shared" si="390"/>
        <v>0.22695035460992907</v>
      </c>
      <c r="AH62" s="79">
        <f t="shared" si="390"/>
        <v>0.19020172910662825</v>
      </c>
      <c r="AI62" s="79">
        <f t="shared" si="390"/>
        <v>0.21513665031534687</v>
      </c>
      <c r="AJ62" s="79">
        <f t="shared" si="390"/>
        <v>0.18062500000000001</v>
      </c>
      <c r="AK62" s="79">
        <f t="shared" si="390"/>
        <v>0.12858783008036739</v>
      </c>
      <c r="AL62" s="79">
        <f t="shared" si="390"/>
        <v>0.15943172849250198</v>
      </c>
      <c r="AM62" s="79">
        <f t="shared" si="390"/>
        <v>0.19975031210986266</v>
      </c>
      <c r="AN62" s="79">
        <f t="shared" si="390"/>
        <v>0.20024125452352232</v>
      </c>
      <c r="AO62" s="79">
        <f t="shared" si="390"/>
        <v>0.19100431300061615</v>
      </c>
      <c r="AP62" s="79">
        <f t="shared" si="390"/>
        <v>0.15478927203065135</v>
      </c>
      <c r="AQ62" s="93">
        <f t="shared" si="390"/>
        <v>0.1663353214049039</v>
      </c>
      <c r="AR62" s="93">
        <f t="shared" si="390"/>
        <v>0.15165562913907285</v>
      </c>
      <c r="AS62" s="79">
        <f t="shared" si="390"/>
        <v>0</v>
      </c>
      <c r="AT62" s="79">
        <f t="shared" si="390"/>
        <v>9.9320882852292014E-2</v>
      </c>
      <c r="AU62" s="79">
        <f t="shared" si="390"/>
        <v>0.15606557377049179</v>
      </c>
      <c r="AV62" s="93">
        <f>AV52/AV51</f>
        <v>0.1199748743718593</v>
      </c>
      <c r="AW62" s="93">
        <f>AW52/AW51</f>
        <v>0.10222804718217562</v>
      </c>
      <c r="AX62" s="79">
        <f t="shared" ref="AX62" si="391">AX52/AX51</f>
        <v>0.1070578905630452</v>
      </c>
      <c r="AY62" s="79">
        <f t="shared" ref="AY62:AZ62" si="392">AY52/AY51</f>
        <v>0</v>
      </c>
      <c r="AZ62" s="79">
        <f t="shared" si="392"/>
        <v>8.9688834655277605E-2</v>
      </c>
      <c r="BA62" s="79">
        <f t="shared" ref="BA62:BB62" si="393">BA52/BA51</f>
        <v>8.1129807692307696E-2</v>
      </c>
      <c r="BB62" s="79">
        <f t="shared" si="393"/>
        <v>0</v>
      </c>
      <c r="BC62" s="79">
        <f t="shared" ref="BC62" si="394">BC52/BC51</f>
        <v>7.7058823529411763E-2</v>
      </c>
      <c r="BD62" s="79">
        <f t="shared" ref="BD62" si="395">BD52/BD51</f>
        <v>0.16183908045977011</v>
      </c>
      <c r="BE62" s="79">
        <f t="shared" ref="BE62" si="396">BE52/BE51</f>
        <v>4.3580131208997189E-2</v>
      </c>
      <c r="BF62" s="79">
        <f t="shared" ref="BF62:BG62" si="397">BF52/BF51</f>
        <v>0</v>
      </c>
      <c r="BG62" s="79">
        <f t="shared" si="397"/>
        <v>0.10985670864090318</v>
      </c>
      <c r="BH62" s="79">
        <f t="shared" ref="BH62:BI62" si="398">BH52/BH51</f>
        <v>0.13915857605177995</v>
      </c>
      <c r="BI62" s="79">
        <f t="shared" si="398"/>
        <v>0.1295785742418275</v>
      </c>
      <c r="BJ62" s="79">
        <f t="shared" ref="BJ62:BK62" si="399">BJ52/BJ51</f>
        <v>5.0311665182546747E-2</v>
      </c>
      <c r="BK62" s="79">
        <f t="shared" si="399"/>
        <v>0.13186003683241251</v>
      </c>
      <c r="BL62" s="79">
        <f t="shared" ref="BL62:BN62" si="400">BL52/BL51</f>
        <v>0.14713656387665197</v>
      </c>
      <c r="BM62" s="79">
        <f t="shared" si="400"/>
        <v>0.1642769356820975</v>
      </c>
      <c r="BN62" s="79">
        <f t="shared" si="400"/>
        <v>0.13097478359051562</v>
      </c>
      <c r="BO62" s="79">
        <f t="shared" ref="BO62:BP62" si="401">BO52/BO51</f>
        <v>0.13582402234636873</v>
      </c>
      <c r="BP62" s="79">
        <f t="shared" si="401"/>
        <v>0.13394998287084617</v>
      </c>
      <c r="BQ62" s="79">
        <f t="shared" ref="BQ62:BR62" si="402">BQ52/BQ51</f>
        <v>0.12100840336134454</v>
      </c>
      <c r="BR62" s="79">
        <f t="shared" si="402"/>
        <v>0</v>
      </c>
      <c r="BS62" s="79">
        <f t="shared" ref="BS62:BT62" si="403">BS52/BS51</f>
        <v>0.10508358921869669</v>
      </c>
      <c r="BT62" s="79">
        <f t="shared" si="403"/>
        <v>0.11914460285132383</v>
      </c>
      <c r="BU62" s="79">
        <f t="shared" ref="BU62" si="404">BU52/BU51</f>
        <v>8.570386579139315E-2</v>
      </c>
      <c r="BV62" s="79">
        <f t="shared" ref="BV62" si="405">BV52/BV51</f>
        <v>0.10198412698412698</v>
      </c>
      <c r="BW62" s="79">
        <f t="shared" ref="BW62" si="406">BW52/BW51</f>
        <v>0.14624808575803983</v>
      </c>
      <c r="BX62" s="79">
        <f t="shared" ref="BX62:BY62" si="407">BX52/BX51</f>
        <v>0.15889393314073463</v>
      </c>
      <c r="BY62" s="79">
        <f t="shared" si="407"/>
        <v>0.12004662004662005</v>
      </c>
      <c r="BZ62" s="79">
        <f t="shared" ref="BZ62:CA62" si="408">BZ52/BZ51</f>
        <v>0.10954616588419405</v>
      </c>
      <c r="CA62" s="79">
        <f t="shared" si="408"/>
        <v>0.1284758887715593</v>
      </c>
      <c r="CB62" s="79">
        <f t="shared" ref="CB62:CC62" si="409">CB52/CB51</f>
        <v>7.6844955991875422E-2</v>
      </c>
      <c r="CC62" s="79">
        <f t="shared" si="409"/>
        <v>6.4213814647691769E-2</v>
      </c>
      <c r="CD62" s="79">
        <f t="shared" ref="CD62:CH62" si="410">CD52/CD51</f>
        <v>0.10871369294605809</v>
      </c>
      <c r="CE62" s="79">
        <f t="shared" si="410"/>
        <v>8.1814656843737885E-2</v>
      </c>
      <c r="CF62" s="79">
        <f t="shared" si="410"/>
        <v>0.12552011095700416</v>
      </c>
      <c r="CG62" s="79">
        <f t="shared" si="410"/>
        <v>8.5868187579214189E-2</v>
      </c>
      <c r="CH62" s="79">
        <f t="shared" si="410"/>
        <v>8.7152516904583019E-2</v>
      </c>
      <c r="CI62" s="121">
        <f>CI52/CI51</f>
        <v>6.9947275922671359E-2</v>
      </c>
      <c r="CJ62" s="121">
        <f t="shared" ref="CJ62:CP62" si="411">CJ52/CJ51</f>
        <v>0.14700854700854701</v>
      </c>
      <c r="CK62" s="121">
        <f t="shared" si="411"/>
        <v>8.2751744765702892E-2</v>
      </c>
      <c r="CL62" s="121">
        <f t="shared" si="411"/>
        <v>0.13328106624852998</v>
      </c>
      <c r="CM62" s="121">
        <f t="shared" si="411"/>
        <v>0.18917819365337674</v>
      </c>
      <c r="CN62" s="121">
        <f t="shared" si="411"/>
        <v>0.16519823788546256</v>
      </c>
      <c r="CO62" s="121">
        <f t="shared" si="411"/>
        <v>0.16079295154185022</v>
      </c>
      <c r="CP62" s="121">
        <f t="shared" si="411"/>
        <v>0.15933884297520662</v>
      </c>
      <c r="CQ62" s="121">
        <f t="shared" ref="CQ62:CS62" si="412">CQ52/CQ51</f>
        <v>0.16047854785478549</v>
      </c>
      <c r="CR62" s="121">
        <f t="shared" si="412"/>
        <v>0.15344603381014305</v>
      </c>
      <c r="CS62" s="121">
        <f t="shared" si="412"/>
        <v>8.292533659730722E-2</v>
      </c>
      <c r="CT62" s="121">
        <f t="shared" ref="CT62:CX62" si="413">CT52/CT51</f>
        <v>0.15069318866787221</v>
      </c>
      <c r="CU62" s="121">
        <f t="shared" si="413"/>
        <v>8.4787159804605716E-2</v>
      </c>
      <c r="CV62" s="121">
        <f t="shared" si="413"/>
        <v>0.1</v>
      </c>
      <c r="CW62" s="121">
        <f t="shared" si="413"/>
        <v>0.1</v>
      </c>
      <c r="CX62" s="121">
        <f t="shared" si="413"/>
        <v>0.1</v>
      </c>
      <c r="CY62" s="121"/>
      <c r="CZ62" s="79"/>
      <c r="DA62" s="79">
        <f t="shared" ref="DA62:DD62" si="414">DA52/DA51</f>
        <v>0</v>
      </c>
      <c r="DB62" s="79">
        <f t="shared" si="414"/>
        <v>0</v>
      </c>
      <c r="DC62" s="79">
        <f t="shared" si="414"/>
        <v>0</v>
      </c>
      <c r="DD62" s="79">
        <f t="shared" si="414"/>
        <v>0.29515479661252259</v>
      </c>
      <c r="DE62" s="79">
        <f>DE52/DE51</f>
        <v>0.27141273214450706</v>
      </c>
      <c r="DF62" s="79">
        <f>DF52/DF51</f>
        <v>0.24394172236011552</v>
      </c>
      <c r="DG62" s="79">
        <f>DG52/DG51</f>
        <v>0.22261484098939929</v>
      </c>
      <c r="DH62" s="79">
        <v>0.22</v>
      </c>
      <c r="DI62" s="79">
        <v>0.22500000000000001</v>
      </c>
      <c r="DJ62" s="79">
        <v>0.22500000000000001</v>
      </c>
      <c r="DK62" s="79">
        <f>DK52/DK51</f>
        <v>0.1881060116354234</v>
      </c>
      <c r="DL62" s="79">
        <v>0.19500000000000001</v>
      </c>
      <c r="DM62" s="79">
        <v>0.21</v>
      </c>
      <c r="DN62" s="79">
        <v>0.21</v>
      </c>
      <c r="DO62" s="79">
        <v>0.21</v>
      </c>
      <c r="DP62" s="79">
        <v>0.21</v>
      </c>
      <c r="DQ62" s="79">
        <v>0.21</v>
      </c>
      <c r="DR62" s="79">
        <v>0.21</v>
      </c>
      <c r="DS62" s="79"/>
      <c r="DT62" s="79"/>
      <c r="DU62" s="79">
        <f>+DU52/DU51</f>
        <v>7.8486271676300581E-2</v>
      </c>
      <c r="DV62" s="79">
        <f t="shared" ref="DV62:DY62" si="415">+DV52/DV51</f>
        <v>7.1969359579584932E-2</v>
      </c>
      <c r="DW62" s="79">
        <f t="shared" si="415"/>
        <v>0.10750220653133274</v>
      </c>
      <c r="DX62" s="79">
        <f t="shared" si="415"/>
        <v>0.16749725483571248</v>
      </c>
      <c r="DY62" s="79">
        <f t="shared" si="415"/>
        <v>0.12741638299865715</v>
      </c>
      <c r="DZ62" s="79">
        <f>DZ52/DZ51</f>
        <v>9.2546766043547543E-2</v>
      </c>
      <c r="EA62" s="79">
        <f t="shared" ref="EA62:EJ62" si="416">EA52/EA51</f>
        <v>0.2</v>
      </c>
      <c r="EB62" s="79">
        <f t="shared" si="416"/>
        <v>0.2</v>
      </c>
      <c r="EC62" s="79">
        <f t="shared" si="416"/>
        <v>0.2</v>
      </c>
      <c r="ED62" s="79">
        <f t="shared" si="416"/>
        <v>0.2</v>
      </c>
      <c r="EE62" s="79">
        <f t="shared" si="416"/>
        <v>0.2</v>
      </c>
      <c r="EF62" s="79">
        <f t="shared" si="416"/>
        <v>0.19999999999999998</v>
      </c>
      <c r="EG62" s="79">
        <f t="shared" si="416"/>
        <v>0.2</v>
      </c>
      <c r="EH62" s="79">
        <f t="shared" si="416"/>
        <v>0.2</v>
      </c>
      <c r="EI62" s="79">
        <f t="shared" si="416"/>
        <v>0.2</v>
      </c>
      <c r="EJ62" s="79">
        <f t="shared" si="416"/>
        <v>0.2</v>
      </c>
    </row>
    <row r="63" spans="2:210" s="30" customFormat="1">
      <c r="C63" s="82"/>
      <c r="D63" s="82"/>
      <c r="E63" s="82"/>
      <c r="F63" s="82"/>
      <c r="G63" s="82"/>
      <c r="H63" s="82"/>
      <c r="I63" s="82"/>
      <c r="J63" s="82"/>
      <c r="K63" s="79"/>
      <c r="L63" s="79"/>
      <c r="M63" s="79"/>
      <c r="N63" s="79"/>
      <c r="O63" s="79"/>
      <c r="P63" s="79"/>
      <c r="Q63" s="79"/>
      <c r="R63" s="79"/>
      <c r="S63" s="79"/>
      <c r="T63" s="79"/>
      <c r="U63" s="79"/>
      <c r="V63" s="79"/>
      <c r="W63" s="79"/>
      <c r="X63" s="79"/>
      <c r="Y63" s="79"/>
      <c r="Z63" s="79"/>
      <c r="AA63" s="79"/>
      <c r="AB63" s="79"/>
      <c r="AC63" s="79"/>
      <c r="AD63" s="79"/>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c r="BL63" s="82"/>
      <c r="BM63" s="82"/>
      <c r="BN63" s="82"/>
      <c r="BO63" s="82"/>
      <c r="BP63" s="82"/>
      <c r="BQ63" s="82"/>
      <c r="BR63" s="82"/>
      <c r="BS63" s="82"/>
      <c r="BT63" s="82"/>
      <c r="BU63" s="82"/>
      <c r="BV63" s="82"/>
      <c r="BW63" s="82"/>
      <c r="BX63" s="82"/>
      <c r="BY63" s="82"/>
      <c r="BZ63" s="82"/>
      <c r="CA63" s="82"/>
      <c r="CB63" s="82"/>
      <c r="CC63" s="82"/>
      <c r="CD63" s="82"/>
      <c r="CE63" s="82"/>
      <c r="CF63" s="82"/>
      <c r="CG63" s="82"/>
      <c r="CH63" s="82"/>
      <c r="CI63" s="122"/>
      <c r="CJ63" s="122"/>
      <c r="CK63" s="122"/>
      <c r="CL63" s="122"/>
      <c r="CM63" s="122"/>
      <c r="CN63" s="122"/>
      <c r="CO63" s="122"/>
      <c r="CP63" s="122"/>
      <c r="CQ63" s="122"/>
      <c r="CR63" s="122"/>
      <c r="CS63" s="122"/>
      <c r="CT63" s="122"/>
      <c r="CU63" s="122"/>
      <c r="CV63" s="122"/>
      <c r="CW63" s="122"/>
      <c r="CX63" s="122"/>
      <c r="CY63" s="122"/>
      <c r="CZ63" s="82"/>
      <c r="DA63" s="79"/>
      <c r="DB63" s="79"/>
      <c r="DC63" s="79"/>
      <c r="DD63" s="79"/>
      <c r="DE63" s="79"/>
      <c r="DF63" s="79"/>
      <c r="DG63" s="79"/>
      <c r="DH63" s="79"/>
      <c r="DI63" s="79"/>
      <c r="DJ63" s="79"/>
      <c r="DK63" s="79"/>
      <c r="DL63" s="79"/>
      <c r="DM63" s="79"/>
      <c r="DN63" s="79"/>
      <c r="DO63" s="79"/>
      <c r="DP63" s="79"/>
      <c r="DQ63" s="82"/>
      <c r="DR63" s="82"/>
      <c r="DS63" s="82"/>
      <c r="DT63" s="82"/>
      <c r="DU63" s="82"/>
      <c r="DV63" s="82"/>
      <c r="DW63" s="82"/>
      <c r="DX63" s="82"/>
      <c r="DY63" s="82"/>
      <c r="DZ63" s="82"/>
      <c r="EA63" s="82"/>
      <c r="EB63" s="82"/>
      <c r="EC63" s="82"/>
      <c r="ED63" s="82"/>
      <c r="EE63" s="82"/>
    </row>
    <row r="64" spans="2:210" s="31" customFormat="1">
      <c r="B64" s="35" t="s">
        <v>281</v>
      </c>
      <c r="C64" s="83"/>
      <c r="D64" s="83"/>
      <c r="E64" s="83"/>
      <c r="F64" s="83"/>
      <c r="G64" s="84">
        <f t="shared" ref="G64" si="417">G43/C43-1</f>
        <v>0.12068007556395166</v>
      </c>
      <c r="H64" s="84">
        <f t="shared" ref="H64" si="418">H43/D43-1</f>
        <v>0.23898809523809539</v>
      </c>
      <c r="I64" s="84">
        <f t="shared" ref="I64" si="419">I43/E43-1</f>
        <v>0.24247948951686404</v>
      </c>
      <c r="J64" s="84">
        <f t="shared" ref="J64" si="420">J43/F43-1</f>
        <v>0.83586278586278606</v>
      </c>
      <c r="K64" s="84">
        <f t="shared" ref="K64:BC64" si="421">K43/G43-1</f>
        <v>0.74645513138324215</v>
      </c>
      <c r="L64" s="84">
        <f t="shared" si="421"/>
        <v>0.63431820001601391</v>
      </c>
      <c r="M64" s="84">
        <f t="shared" si="421"/>
        <v>0.47282064963649706</v>
      </c>
      <c r="N64" s="84">
        <f t="shared" si="421"/>
        <v>0.32869033463563779</v>
      </c>
      <c r="O64" s="84">
        <f t="shared" si="421"/>
        <v>0.33021063986827892</v>
      </c>
      <c r="P64" s="84">
        <f t="shared" si="421"/>
        <v>0.26627798735975694</v>
      </c>
      <c r="Q64" s="84">
        <f t="shared" si="421"/>
        <v>0.22860248165927</v>
      </c>
      <c r="R64" s="84">
        <f t="shared" si="421"/>
        <v>0.23966589959942053</v>
      </c>
      <c r="S64" s="84">
        <f t="shared" si="421"/>
        <v>0.20918519783174716</v>
      </c>
      <c r="T64" s="84">
        <f t="shared" si="421"/>
        <v>0.22726920993577338</v>
      </c>
      <c r="U64" s="84">
        <f t="shared" si="421"/>
        <v>0.16255068190195354</v>
      </c>
      <c r="V64" s="84">
        <f t="shared" si="421"/>
        <v>0.12444138879339972</v>
      </c>
      <c r="W64" s="84">
        <f t="shared" si="421"/>
        <v>0.13554535827744441</v>
      </c>
      <c r="X64" s="84">
        <f t="shared" si="421"/>
        <v>0.1361916771752838</v>
      </c>
      <c r="Y64" s="84">
        <f t="shared" si="421"/>
        <v>0.14521242866201645</v>
      </c>
      <c r="Z64" s="84">
        <f t="shared" si="421"/>
        <v>0.17242433506572907</v>
      </c>
      <c r="AA64" s="84">
        <f t="shared" si="421"/>
        <v>0.14609884986011812</v>
      </c>
      <c r="AB64" s="84">
        <f t="shared" si="421"/>
        <v>3.4406215316315159E-2</v>
      </c>
      <c r="AC64" s="84">
        <f t="shared" si="421"/>
        <v>-2.7685492801776679E-4</v>
      </c>
      <c r="AD64" s="84">
        <f t="shared" si="421"/>
        <v>-2.3468057366362483E-2</v>
      </c>
      <c r="AE64" s="84">
        <f t="shared" si="421"/>
        <v>-2.0070518036343965E-2</v>
      </c>
      <c r="AF64" s="84">
        <f t="shared" si="421"/>
        <v>9.65665236051505E-3</v>
      </c>
      <c r="AG64" s="84">
        <f t="shared" si="421"/>
        <v>7.3109941844364368E-2</v>
      </c>
      <c r="AH64" s="84">
        <f t="shared" si="421"/>
        <v>1.6021361815754531E-3</v>
      </c>
      <c r="AI64" s="84">
        <f t="shared" si="421"/>
        <v>-8.4417381677276526E-2</v>
      </c>
      <c r="AJ64" s="84">
        <f t="shared" si="421"/>
        <v>-1.3549415515409113E-2</v>
      </c>
      <c r="AK64" s="84">
        <f t="shared" si="421"/>
        <v>-1.6258064516128989E-2</v>
      </c>
      <c r="AL64" s="84">
        <f t="shared" si="421"/>
        <v>1.5462543321780764E-2</v>
      </c>
      <c r="AM64" s="84">
        <f t="shared" si="421"/>
        <v>8.5852478839177682E-2</v>
      </c>
      <c r="AN64" s="84">
        <f t="shared" si="421"/>
        <v>2.4508483705898199E-2</v>
      </c>
      <c r="AO64" s="84">
        <f t="shared" si="421"/>
        <v>1.0493179433368471E-3</v>
      </c>
      <c r="AP64" s="84">
        <f t="shared" si="421"/>
        <v>8.4011551588343281E-3</v>
      </c>
      <c r="AQ64" s="84">
        <f t="shared" si="421"/>
        <v>3.1737193763919924E-2</v>
      </c>
      <c r="AR64" s="84">
        <f t="shared" si="421"/>
        <v>4.0746582544689769E-2</v>
      </c>
      <c r="AS64" s="84">
        <f t="shared" si="421"/>
        <v>3.3542976939203273E-2</v>
      </c>
      <c r="AT64" s="84">
        <f t="shared" si="421"/>
        <v>3.4366050507680379E-2</v>
      </c>
      <c r="AU64" s="84">
        <f t="shared" si="421"/>
        <v>9.2282784673502372E-2</v>
      </c>
      <c r="AV64" s="84">
        <f t="shared" si="421"/>
        <v>0.13084112149532712</v>
      </c>
      <c r="AW64" s="84">
        <f t="shared" si="421"/>
        <v>9.5081135902636893E-2</v>
      </c>
      <c r="AX64" s="84">
        <f t="shared" si="421"/>
        <v>0.1127611376793356</v>
      </c>
      <c r="AY64" s="84">
        <f t="shared" si="421"/>
        <v>4.6936758893280528E-2</v>
      </c>
      <c r="AZ64" s="84">
        <f t="shared" si="421"/>
        <v>4.511949966495421E-2</v>
      </c>
      <c r="BA64" s="84">
        <f t="shared" si="421"/>
        <v>9.9328548275063655E-2</v>
      </c>
      <c r="BB64" s="84">
        <f t="shared" si="421"/>
        <v>0.13345396969011536</v>
      </c>
      <c r="BC64" s="84">
        <f t="shared" si="421"/>
        <v>6.6776781500707871E-2</v>
      </c>
      <c r="BD64" s="84">
        <f t="shared" ref="BD64:BF64" si="422">+BD43/AZ43-1</f>
        <v>0.10707416114554391</v>
      </c>
      <c r="BE64" s="84">
        <f t="shared" si="422"/>
        <v>5.960404380791906E-2</v>
      </c>
      <c r="BF64" s="84">
        <f t="shared" si="422"/>
        <v>6.3859509080024024E-2</v>
      </c>
      <c r="BG64" s="84">
        <f t="shared" ref="BG64" si="423">+BG43/BC43-1</f>
        <v>0.11324928113249277</v>
      </c>
      <c r="BH64" s="84">
        <f t="shared" ref="BH64" si="424">+BH43/BD43-1</f>
        <v>3.6679536679536717E-2</v>
      </c>
      <c r="BI64" s="84">
        <f t="shared" ref="BI64" si="425">+BI43/BE43-1</f>
        <v>0.13754720731464909</v>
      </c>
      <c r="BJ64" s="84">
        <f t="shared" ref="BJ64" si="426">+BJ43/BF43-1</f>
        <v>3.8454323766647924E-2</v>
      </c>
      <c r="BK64" s="84">
        <f t="shared" ref="BK64" si="427">+BK43/BG43-1</f>
        <v>9.8152195509636497E-2</v>
      </c>
      <c r="BL64" s="84">
        <f t="shared" ref="BL64:BO64" si="428">+BL43/BH43-1</f>
        <v>5.921787709497206E-2</v>
      </c>
      <c r="BM64" s="84">
        <f t="shared" si="428"/>
        <v>1.5376550760090923E-2</v>
      </c>
      <c r="BN64" s="84">
        <f t="shared" si="428"/>
        <v>7.7492774566473965E-2</v>
      </c>
      <c r="BO64" s="84">
        <f t="shared" si="428"/>
        <v>-1.1398588746155291E-2</v>
      </c>
      <c r="BP64" s="84">
        <f>+BP43/BL43-1</f>
        <v>2.1448663853727234E-2</v>
      </c>
      <c r="BQ64" s="84">
        <f>+BQ43/BM43-1</f>
        <v>-6.5393219755636167E-3</v>
      </c>
      <c r="BR64" s="84">
        <f t="shared" ref="BR64" si="429">+BR43/BN43-1</f>
        <v>-2.7326068734283337E-2</v>
      </c>
      <c r="BS64" s="84">
        <f>+BS43/BO43-1</f>
        <v>1.6471449487554857E-2</v>
      </c>
      <c r="BT64" s="84">
        <f t="shared" ref="BT64:CD64" si="430">+BT43/BP43-1</f>
        <v>4.2857142857142927E-2</v>
      </c>
      <c r="BU64" s="84">
        <f t="shared" si="430"/>
        <v>2.2691841330330753E-2</v>
      </c>
      <c r="BV64" s="84">
        <f t="shared" si="430"/>
        <v>7.376766632195797E-2</v>
      </c>
      <c r="BW64" s="84">
        <f t="shared" si="430"/>
        <v>5.4015124234796374E-4</v>
      </c>
      <c r="BX64" s="84">
        <f t="shared" si="430"/>
        <v>-3.1028222478956868E-2</v>
      </c>
      <c r="BY64" s="84">
        <f t="shared" si="430"/>
        <v>-2.8285907859078585E-2</v>
      </c>
      <c r="BZ64" s="84">
        <f t="shared" si="430"/>
        <v>-5.2969502407704816E-3</v>
      </c>
      <c r="CA64" s="84">
        <f t="shared" si="430"/>
        <v>0.10869174014756156</v>
      </c>
      <c r="CB64" s="84">
        <f t="shared" si="430"/>
        <v>5.7060126043263493E-2</v>
      </c>
      <c r="CC64" s="84">
        <f t="shared" si="430"/>
        <v>0.11957469060484582</v>
      </c>
      <c r="CD64" s="84">
        <f t="shared" si="430"/>
        <v>7.0517992577053379E-2</v>
      </c>
      <c r="CE64" s="84">
        <f t="shared" ref="CE64:CF64" si="431">CE43/CA43-1</f>
        <v>-4.2200941405615922E-2</v>
      </c>
      <c r="CF64" s="84">
        <f t="shared" si="431"/>
        <v>5.1563003544956576E-2</v>
      </c>
      <c r="CG64" s="84">
        <f t="shared" ref="CG64:CH64" si="432">CG43/CC43-1</f>
        <v>4.4060407909076726E-2</v>
      </c>
      <c r="CH64" s="84">
        <f t="shared" si="432"/>
        <v>3.1956587277660597E-2</v>
      </c>
      <c r="CI64" s="123">
        <f>CI43/CE43-1</f>
        <v>5.7108964582274213E-2</v>
      </c>
      <c r="CJ64" s="123">
        <f t="shared" ref="CJ64" si="433">CJ43/CF43-1</f>
        <v>1.041985902543674E-2</v>
      </c>
      <c r="CK64" s="123">
        <f t="shared" ref="CK64" si="434">CK43/CG43-1</f>
        <v>-8.0524903071875764E-3</v>
      </c>
      <c r="CL64" s="123">
        <f t="shared" ref="CL64" si="435">CL43/CH43-1</f>
        <v>-1.0224948875255935E-3</v>
      </c>
      <c r="CM64" s="123">
        <f t="shared" ref="CM64" si="436">CM43/CI43-1</f>
        <v>-2.1320936197499196E-2</v>
      </c>
      <c r="CN64" s="123">
        <f t="shared" ref="CN64" si="437">CN43/CJ43-1</f>
        <v>5.9447983014861983E-2</v>
      </c>
      <c r="CO64" s="123">
        <f t="shared" ref="CO64" si="438">CO43/CK43-1</f>
        <v>3.773301262778106E-2</v>
      </c>
      <c r="CP64" s="123">
        <f t="shared" ref="CP64:CX64" si="439">CP43/CL43-1</f>
        <v>0.19842082175756692</v>
      </c>
      <c r="CQ64" s="123">
        <f t="shared" si="439"/>
        <v>0.2198198198198198</v>
      </c>
      <c r="CR64" s="123">
        <f t="shared" si="439"/>
        <v>0.2006870884626395</v>
      </c>
      <c r="CS64" s="123">
        <f t="shared" si="439"/>
        <v>0.23178328263074022</v>
      </c>
      <c r="CT64" s="123">
        <f t="shared" si="439"/>
        <v>0.10858955588091757</v>
      </c>
      <c r="CU64" s="123">
        <f t="shared" si="439"/>
        <v>9.4266147441922854E-2</v>
      </c>
      <c r="CV64" s="123">
        <f t="shared" si="439"/>
        <v>-1.0288507391511548E-2</v>
      </c>
      <c r="CW64" s="123">
        <f t="shared" si="439"/>
        <v>-1.5723862166294289E-2</v>
      </c>
      <c r="CX64" s="123">
        <f t="shared" si="439"/>
        <v>-4.7842835130970762E-2</v>
      </c>
      <c r="CY64" s="123"/>
      <c r="CZ64" s="85"/>
      <c r="DA64" s="84"/>
      <c r="DB64" s="84">
        <f t="shared" ref="DB64:DX64" si="440">DB43/DA43-1</f>
        <v>0.10757181601815469</v>
      </c>
      <c r="DC64" s="84">
        <f t="shared" si="440"/>
        <v>0.35243996901626651</v>
      </c>
      <c r="DD64" s="84">
        <f t="shared" si="440"/>
        <v>0.54371281823892392</v>
      </c>
      <c r="DE64" s="84">
        <f t="shared" si="440"/>
        <v>0.26268374124827942</v>
      </c>
      <c r="DF64" s="84">
        <f t="shared" si="440"/>
        <v>0.17815951957630993</v>
      </c>
      <c r="DG64" s="84">
        <f t="shared" si="440"/>
        <v>0.14786806114239748</v>
      </c>
      <c r="DH64" s="84">
        <f t="shared" si="440"/>
        <v>3.5253714606111597E-2</v>
      </c>
      <c r="DI64" s="84">
        <f t="shared" si="440"/>
        <v>1.5706451831291046E-2</v>
      </c>
      <c r="DJ64" s="84">
        <f t="shared" si="440"/>
        <v>-2.4061854295807539E-2</v>
      </c>
      <c r="DK64" s="84">
        <f t="shared" si="440"/>
        <v>2.8069935801120049E-2</v>
      </c>
      <c r="DL64" s="84">
        <f t="shared" si="440"/>
        <v>3.128944396465827E-2</v>
      </c>
      <c r="DM64" s="84">
        <f t="shared" si="440"/>
        <v>-0.12381409430559132</v>
      </c>
      <c r="DN64" s="84">
        <f t="shared" si="440"/>
        <v>7.3092308359634872E-2</v>
      </c>
      <c r="DO64" s="84">
        <f t="shared" si="440"/>
        <v>-5.287989501308743E-2</v>
      </c>
      <c r="DP64" s="84">
        <f t="shared" si="440"/>
        <v>-5.7046083717509966E-2</v>
      </c>
      <c r="DQ64" s="84">
        <f t="shared" si="440"/>
        <v>-3.5018675544029598E-3</v>
      </c>
      <c r="DR64" s="84">
        <f t="shared" si="440"/>
        <v>0.483526331543501</v>
      </c>
      <c r="DS64" s="84">
        <f t="shared" si="440"/>
        <v>5.3292512064760489E-2</v>
      </c>
      <c r="DT64" s="84">
        <f t="shared" si="440"/>
        <v>0.15095083259434428</v>
      </c>
      <c r="DU64" s="84">
        <f t="shared" si="440"/>
        <v>8.8262991182261885E-2</v>
      </c>
      <c r="DV64" s="84">
        <f t="shared" si="440"/>
        <v>2.1829767149150303E-2</v>
      </c>
      <c r="DW64" s="84">
        <f t="shared" si="440"/>
        <v>1.3241464259594382E-2</v>
      </c>
      <c r="DX64" s="84">
        <f t="shared" si="440"/>
        <v>7.0926566120882883E-2</v>
      </c>
      <c r="DY64" s="84">
        <f t="shared" ref="DY64" si="441">DY43/DX43-1</f>
        <v>0.18566867683575738</v>
      </c>
      <c r="DZ64" s="84">
        <f t="shared" ref="DZ64" si="442">DZ43/DY43-1</f>
        <v>-6.034585926280478E-3</v>
      </c>
      <c r="EA64" s="84">
        <f t="shared" ref="EA64" si="443">EA43/DZ43-1</f>
        <v>-2.3836700047859427E-2</v>
      </c>
      <c r="EB64" s="84">
        <f t="shared" ref="EB64" si="444">EB43/EA43-1</f>
        <v>6.5500291547504474E-5</v>
      </c>
      <c r="EC64" s="84">
        <f t="shared" ref="EC64" si="445">EC43/EB43-1</f>
        <v>-9.1655232513551121E-3</v>
      </c>
      <c r="ED64" s="84">
        <f t="shared" ref="ED64" si="446">ED43/EC43-1</f>
        <v>-7.5273340572740155E-3</v>
      </c>
      <c r="EE64" s="84">
        <f t="shared" ref="EE64" si="447">EE43/ED43-1</f>
        <v>-2.3395658499594241E-3</v>
      </c>
      <c r="EF64" s="84">
        <f t="shared" ref="EF64" si="448">EF43/EE43-1</f>
        <v>9.5540347555058691E-3</v>
      </c>
      <c r="EG64" s="84">
        <f t="shared" ref="EG64" si="449">EG43/EF43-1</f>
        <v>1.1062167781664911E-2</v>
      </c>
      <c r="EH64" s="84">
        <f t="shared" ref="EH64" si="450">EH43/EG43-1</f>
        <v>2.3463123423787424E-2</v>
      </c>
      <c r="EI64" s="84">
        <f t="shared" ref="EI64" si="451">EI43/EH43-1</f>
        <v>3.1503078204515811E-2</v>
      </c>
      <c r="EJ64" s="84">
        <f t="shared" ref="EJ64" si="452">EJ43/EI43-1</f>
        <v>-0.1999971013433326</v>
      </c>
    </row>
    <row r="65" spans="2:145" s="31" customFormat="1">
      <c r="B65" s="35" t="s">
        <v>1352</v>
      </c>
      <c r="C65" s="83"/>
      <c r="D65" s="83"/>
      <c r="E65" s="83"/>
      <c r="F65" s="83"/>
      <c r="G65" s="83"/>
      <c r="H65" s="83"/>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123"/>
      <c r="CJ65" s="123"/>
      <c r="CK65" s="123"/>
      <c r="CL65" s="123"/>
      <c r="CM65" s="123"/>
      <c r="CN65" s="123"/>
      <c r="CO65" s="123"/>
      <c r="CP65" s="123"/>
      <c r="CQ65" s="123"/>
      <c r="CR65" s="123"/>
      <c r="CS65" s="123"/>
      <c r="CT65" s="123"/>
      <c r="CU65" s="123"/>
      <c r="CV65" s="123"/>
      <c r="CW65" s="123"/>
      <c r="CX65" s="123"/>
      <c r="CY65" s="123"/>
      <c r="CZ65" s="85"/>
      <c r="DA65" s="84"/>
      <c r="DB65" s="84"/>
      <c r="DC65" s="84"/>
      <c r="DD65" s="84"/>
      <c r="DE65" s="84"/>
      <c r="DF65" s="84"/>
      <c r="DG65" s="121"/>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row>
    <row r="66" spans="2:145" s="15" customFormat="1">
      <c r="B66" s="30" t="s">
        <v>719</v>
      </c>
      <c r="C66" s="82"/>
      <c r="D66" s="82"/>
      <c r="E66" s="82"/>
      <c r="F66" s="82"/>
      <c r="G66" s="79"/>
      <c r="H66" s="79"/>
      <c r="I66" s="79"/>
      <c r="J66" s="79"/>
      <c r="K66" s="79">
        <f t="shared" ref="K66:AR66" si="453">K41/G41-1</f>
        <v>0.80057230904688503</v>
      </c>
      <c r="L66" s="79">
        <f t="shared" si="453"/>
        <v>0.71883408071748889</v>
      </c>
      <c r="M66" s="79">
        <f t="shared" si="453"/>
        <v>0.54421162134046663</v>
      </c>
      <c r="N66" s="79">
        <f t="shared" si="453"/>
        <v>0.38011840157868759</v>
      </c>
      <c r="O66" s="79">
        <f t="shared" si="453"/>
        <v>0.3494498777506112</v>
      </c>
      <c r="P66" s="79">
        <f t="shared" si="453"/>
        <v>0.26830159144273402</v>
      </c>
      <c r="Q66" s="79">
        <f t="shared" si="453"/>
        <v>0.23183524203637784</v>
      </c>
      <c r="R66" s="79">
        <f t="shared" si="453"/>
        <v>0.24128686327077742</v>
      </c>
      <c r="S66" s="79">
        <f t="shared" si="453"/>
        <v>0.2388458576799386</v>
      </c>
      <c r="T66" s="79">
        <f t="shared" si="453"/>
        <v>0.26383346361130555</v>
      </c>
      <c r="U66" s="79">
        <f t="shared" si="453"/>
        <v>0.19023437499999996</v>
      </c>
      <c r="V66" s="79">
        <f t="shared" si="453"/>
        <v>0.14038876889848817</v>
      </c>
      <c r="W66" s="79">
        <f t="shared" si="453"/>
        <v>0.1433272394881171</v>
      </c>
      <c r="X66" s="79">
        <f t="shared" si="453"/>
        <v>0.13639322916666674</v>
      </c>
      <c r="Y66" s="79">
        <f t="shared" si="453"/>
        <v>0.1496553987528717</v>
      </c>
      <c r="Z66" s="79">
        <f t="shared" si="453"/>
        <v>0.17960858585858586</v>
      </c>
      <c r="AA66" s="79">
        <f t="shared" si="453"/>
        <v>0.1400703549728175</v>
      </c>
      <c r="AB66" s="79">
        <f t="shared" si="453"/>
        <v>3.2368948725293611E-2</v>
      </c>
      <c r="AC66" s="79">
        <f t="shared" si="453"/>
        <v>5.9948615472451561E-3</v>
      </c>
      <c r="AD66" s="79">
        <f t="shared" si="453"/>
        <v>-3.184372491303189E-2</v>
      </c>
      <c r="AE66" s="79">
        <f t="shared" si="453"/>
        <v>-7.8541374474053738E-3</v>
      </c>
      <c r="AF66" s="79">
        <f t="shared" si="453"/>
        <v>2.441731409544956E-2</v>
      </c>
      <c r="AG66" s="79">
        <f t="shared" si="453"/>
        <v>7.3779795686719662E-2</v>
      </c>
      <c r="AH66" s="79">
        <f t="shared" si="453"/>
        <v>1.5478164731896005E-2</v>
      </c>
      <c r="AI66" s="79">
        <f t="shared" si="453"/>
        <v>-8.4534916595985332E-2</v>
      </c>
      <c r="AJ66" s="79">
        <f t="shared" si="453"/>
        <v>-1.5709642470205898E-2</v>
      </c>
      <c r="AK66" s="79">
        <f t="shared" si="453"/>
        <v>-1.2684989429175508E-2</v>
      </c>
      <c r="AL66" s="79">
        <f t="shared" si="453"/>
        <v>1.8780620577027785E-2</v>
      </c>
      <c r="AM66" s="79">
        <f t="shared" si="453"/>
        <v>8.9561457689931956E-2</v>
      </c>
      <c r="AN66" s="79">
        <f t="shared" si="453"/>
        <v>-5.778756191524459E-3</v>
      </c>
      <c r="AO66" s="79">
        <f t="shared" si="453"/>
        <v>6.1563169164882137E-3</v>
      </c>
      <c r="AP66" s="79">
        <f t="shared" si="453"/>
        <v>-1</v>
      </c>
      <c r="AQ66" s="79">
        <f t="shared" si="453"/>
        <v>-1</v>
      </c>
      <c r="AR66" s="79">
        <f t="shared" si="453"/>
        <v>-1</v>
      </c>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21"/>
      <c r="CS66" s="121"/>
      <c r="CT66" s="121"/>
      <c r="CU66" s="121"/>
      <c r="CV66" s="121"/>
      <c r="CW66" s="121"/>
      <c r="CX66" s="121"/>
      <c r="CY66" s="121"/>
      <c r="CZ66" s="72"/>
      <c r="DA66" s="79"/>
      <c r="DB66" s="79">
        <f t="shared" ref="DB66:DE66" si="454">DB41/DA41-1</f>
        <v>9.7508159678634243E-2</v>
      </c>
      <c r="DC66" s="79">
        <f t="shared" si="454"/>
        <v>0.39561350833547815</v>
      </c>
      <c r="DD66" s="79">
        <f t="shared" si="454"/>
        <v>0.6119944269147235</v>
      </c>
      <c r="DE66" s="79">
        <f t="shared" si="454"/>
        <v>0.26816066094693336</v>
      </c>
      <c r="DF66" s="79">
        <f t="shared" ref="DF66:DO66" si="455">DF41/DE41-1</f>
        <v>0.20494075824871261</v>
      </c>
      <c r="DG66" s="79">
        <f t="shared" si="455"/>
        <v>0.1527200133089337</v>
      </c>
      <c r="DH66" s="79">
        <f t="shared" si="455"/>
        <v>3.268869966806176E-2</v>
      </c>
      <c r="DI66" s="79">
        <f t="shared" si="455"/>
        <v>2.6273495912235267E-2</v>
      </c>
      <c r="DJ66" s="79">
        <f t="shared" si="455"/>
        <v>-2.2877374548920804E-2</v>
      </c>
      <c r="DK66" s="79">
        <f t="shared" si="455"/>
        <v>2.1531600585324995E-2</v>
      </c>
      <c r="DL66" s="79">
        <f t="shared" si="455"/>
        <v>3.9358799454297433E-2</v>
      </c>
      <c r="DM66" s="79">
        <f t="shared" si="455"/>
        <v>-0.10731049419177008</v>
      </c>
      <c r="DN66" s="79">
        <f t="shared" si="455"/>
        <v>7.3092308359634872E-2</v>
      </c>
      <c r="DO66" s="79">
        <f t="shared" si="455"/>
        <v>-5.287989501308743E-2</v>
      </c>
      <c r="DP66" s="121"/>
      <c r="DQ66" s="121"/>
      <c r="DR66" s="121"/>
      <c r="DS66" s="121"/>
      <c r="DT66" s="121"/>
      <c r="DU66" s="121"/>
      <c r="DV66" s="121"/>
      <c r="DW66" s="121"/>
      <c r="DX66" s="121"/>
      <c r="DY66" s="121"/>
      <c r="DZ66" s="121"/>
      <c r="EA66" s="121"/>
      <c r="EB66" s="121"/>
      <c r="EC66" s="121"/>
      <c r="ED66" s="121"/>
      <c r="EE66" s="121"/>
      <c r="EF66" s="121"/>
      <c r="EG66" s="121"/>
      <c r="EH66" s="121"/>
      <c r="EI66" s="121"/>
      <c r="EJ66" s="121"/>
      <c r="EO66" s="92" t="s">
        <v>1107</v>
      </c>
    </row>
    <row r="67" spans="2:145" s="15" customFormat="1">
      <c r="B67" s="30" t="s">
        <v>721</v>
      </c>
      <c r="C67" s="82"/>
      <c r="D67" s="82"/>
      <c r="E67" s="82"/>
      <c r="F67" s="82"/>
      <c r="G67" s="82"/>
      <c r="H67" s="82"/>
      <c r="I67" s="82"/>
      <c r="J67" s="82"/>
      <c r="K67" s="82"/>
      <c r="L67" s="82"/>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21"/>
      <c r="CS67" s="121"/>
      <c r="CT67" s="121"/>
      <c r="CU67" s="121"/>
      <c r="CV67" s="121"/>
      <c r="CW67" s="121"/>
      <c r="CX67" s="121"/>
      <c r="CY67" s="121"/>
      <c r="CZ67" s="121"/>
      <c r="DA67" s="121"/>
      <c r="DB67" s="121"/>
      <c r="DC67" s="121"/>
      <c r="DD67" s="121"/>
      <c r="DE67" s="121"/>
      <c r="DF67" s="121"/>
      <c r="DG67" s="121"/>
      <c r="DH67" s="121"/>
      <c r="DI67" s="121"/>
      <c r="DJ67" s="121"/>
      <c r="DK67" s="121"/>
      <c r="DL67" s="121"/>
      <c r="DM67" s="121"/>
      <c r="DN67" s="121"/>
      <c r="DO67" s="121"/>
      <c r="DP67" s="121"/>
      <c r="DQ67" s="121"/>
      <c r="DR67" s="121"/>
      <c r="DS67" s="121"/>
      <c r="DT67" s="121"/>
      <c r="DU67" s="121"/>
      <c r="DV67" s="121"/>
      <c r="DW67" s="121"/>
      <c r="DX67" s="121"/>
      <c r="DY67" s="121"/>
      <c r="DZ67" s="121"/>
      <c r="EA67" s="121"/>
      <c r="EB67" s="121"/>
      <c r="EC67" s="121"/>
      <c r="ED67" s="121"/>
      <c r="EE67" s="121"/>
      <c r="EF67" s="121"/>
      <c r="EG67" s="121"/>
      <c r="EH67" s="121"/>
      <c r="EI67" s="121"/>
      <c r="EJ67" s="121"/>
      <c r="EO67" s="37" t="s">
        <v>1109</v>
      </c>
    </row>
    <row r="68" spans="2:145" s="15" customFormat="1">
      <c r="B68" s="30" t="s">
        <v>1118</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86">
        <f t="shared" ref="AS68:BX68" si="456">+AS19/AO19-1</f>
        <v>4.0999999999999996</v>
      </c>
      <c r="AT68" s="86">
        <f t="shared" si="456"/>
        <v>3.05</v>
      </c>
      <c r="AU68" s="86">
        <f t="shared" si="456"/>
        <v>2.2592592592592591</v>
      </c>
      <c r="AV68" s="86">
        <f t="shared" si="456"/>
        <v>1.7272727272727271</v>
      </c>
      <c r="AW68" s="86">
        <f t="shared" si="456"/>
        <v>1.1568627450980391</v>
      </c>
      <c r="AX68" s="86">
        <f t="shared" si="456"/>
        <v>0.90123456790123457</v>
      </c>
      <c r="AY68" s="86">
        <f t="shared" si="456"/>
        <v>0.61363636363636354</v>
      </c>
      <c r="AZ68" s="86">
        <f t="shared" si="456"/>
        <v>0.56666666666666665</v>
      </c>
      <c r="BA68" s="86">
        <f t="shared" si="456"/>
        <v>0.61818181818181817</v>
      </c>
      <c r="BB68" s="86">
        <f t="shared" si="456"/>
        <v>0.53246753246753253</v>
      </c>
      <c r="BC68" s="86">
        <f t="shared" si="456"/>
        <v>0.38028169014084501</v>
      </c>
      <c r="BD68" s="86">
        <f t="shared" si="456"/>
        <v>0.4042553191489362</v>
      </c>
      <c r="BE68" s="86">
        <f t="shared" si="456"/>
        <v>0.43258426966292141</v>
      </c>
      <c r="BF68" s="86">
        <f t="shared" si="456"/>
        <v>0.3347457627118644</v>
      </c>
      <c r="BG68" s="86">
        <f t="shared" si="456"/>
        <v>0.38775510204081631</v>
      </c>
      <c r="BH68" s="86">
        <f t="shared" si="456"/>
        <v>0.28787878787878785</v>
      </c>
      <c r="BI68" s="86">
        <f t="shared" si="456"/>
        <v>0.25490196078431371</v>
      </c>
      <c r="BJ68" s="86">
        <f t="shared" si="456"/>
        <v>0.20634920634920628</v>
      </c>
      <c r="BK68" s="86">
        <f t="shared" si="456"/>
        <v>0.29411764705882359</v>
      </c>
      <c r="BL68" s="86">
        <f t="shared" si="456"/>
        <v>0.29705882352941182</v>
      </c>
      <c r="BM68" s="86">
        <f t="shared" si="456"/>
        <v>0.18437499999999996</v>
      </c>
      <c r="BN68" s="86">
        <f t="shared" si="456"/>
        <v>0.21842105263157885</v>
      </c>
      <c r="BO68" s="86">
        <f t="shared" si="456"/>
        <v>0.20738636363636354</v>
      </c>
      <c r="BP68" s="86">
        <f t="shared" si="456"/>
        <v>0.14512471655328807</v>
      </c>
      <c r="BQ68" s="86">
        <f t="shared" si="456"/>
        <v>0.22427440633245377</v>
      </c>
      <c r="BR68" s="86">
        <f t="shared" si="456"/>
        <v>0.23974082073434122</v>
      </c>
      <c r="BS68" s="86">
        <f t="shared" si="456"/>
        <v>0.16235294117647059</v>
      </c>
      <c r="BT68" s="86">
        <f t="shared" si="456"/>
        <v>0.20792079207920788</v>
      </c>
      <c r="BU68" s="86">
        <f t="shared" si="456"/>
        <v>0.14655172413793105</v>
      </c>
      <c r="BV68" s="86">
        <f t="shared" si="456"/>
        <v>0.14111498257839727</v>
      </c>
      <c r="BW68" s="86">
        <f t="shared" si="456"/>
        <v>0.19838056680161942</v>
      </c>
      <c r="BX68" s="86">
        <f t="shared" si="456"/>
        <v>0.1442622950819672</v>
      </c>
      <c r="BY68" s="86">
        <f t="shared" ref="BY68:DD68" si="457">+BY19/BU19-1</f>
        <v>0.18421052631578938</v>
      </c>
      <c r="BZ68" s="86">
        <f t="shared" si="457"/>
        <v>0.14809160305343516</v>
      </c>
      <c r="CA68" s="86">
        <f t="shared" si="457"/>
        <v>0.10472972972972983</v>
      </c>
      <c r="CB68" s="86">
        <f t="shared" si="457"/>
        <v>-5.5873925501432664E-2</v>
      </c>
      <c r="CC68" s="86">
        <f t="shared" si="457"/>
        <v>0.11269841269841274</v>
      </c>
      <c r="CD68" s="86">
        <f t="shared" si="457"/>
        <v>-3.9893617021277139E-3</v>
      </c>
      <c r="CE68" s="86">
        <f t="shared" si="457"/>
        <v>0.15902140672782883</v>
      </c>
      <c r="CF68" s="86">
        <f t="shared" si="457"/>
        <v>0.23520485584218509</v>
      </c>
      <c r="CG68" s="86">
        <f t="shared" si="457"/>
        <v>0.14550641940085596</v>
      </c>
      <c r="CH68" s="86">
        <f t="shared" si="457"/>
        <v>0.16555407209612816</v>
      </c>
      <c r="CI68" s="86">
        <f t="shared" si="457"/>
        <v>0.12401055408970985</v>
      </c>
      <c r="CJ68" s="86">
        <f t="shared" si="457"/>
        <v>0.13267813267813278</v>
      </c>
      <c r="CK68" s="86">
        <f t="shared" si="457"/>
        <v>7.3474470734744779E-2</v>
      </c>
      <c r="CL68" s="86">
        <f t="shared" si="457"/>
        <v>0.13631156930125998</v>
      </c>
      <c r="CM68" s="86">
        <f t="shared" si="457"/>
        <v>8.8028169014084501E-2</v>
      </c>
      <c r="CN68" s="86">
        <f t="shared" si="457"/>
        <v>0.11496746203904551</v>
      </c>
      <c r="CO68" s="86">
        <f t="shared" si="457"/>
        <v>0.14385150812064973</v>
      </c>
      <c r="CP68" s="86">
        <f t="shared" si="457"/>
        <v>0.11592741935483875</v>
      </c>
      <c r="CQ68" s="86">
        <f t="shared" si="457"/>
        <v>7.7669902912621325E-2</v>
      </c>
      <c r="CR68" s="124">
        <f t="shared" si="457"/>
        <v>0.13326848249027234</v>
      </c>
      <c r="CS68" s="124">
        <f t="shared" si="457"/>
        <v>5.9837728194726214E-2</v>
      </c>
      <c r="CT68" s="124">
        <f t="shared" si="457"/>
        <v>5.2393857271906041E-2</v>
      </c>
      <c r="CU68" s="124">
        <f t="shared" si="457"/>
        <v>0.10010010010010006</v>
      </c>
      <c r="CV68" s="124"/>
      <c r="CW68" s="124"/>
      <c r="CX68" s="125"/>
      <c r="CY68" s="125"/>
      <c r="CZ68" s="125"/>
      <c r="DA68" s="125"/>
      <c r="DB68" s="125"/>
      <c r="DC68" s="125"/>
      <c r="DD68" s="125"/>
      <c r="DE68" s="125"/>
      <c r="DF68" s="125"/>
      <c r="DG68" s="125"/>
      <c r="DH68" s="125"/>
      <c r="DI68" s="125"/>
      <c r="DJ68" s="125"/>
      <c r="DK68" s="125"/>
      <c r="DL68" s="125"/>
      <c r="DM68" s="125"/>
      <c r="DN68" s="125"/>
      <c r="DO68" s="125"/>
      <c r="DP68" s="125"/>
      <c r="DQ68" s="125"/>
      <c r="DR68" s="125"/>
      <c r="DS68" s="125"/>
      <c r="DT68" s="125"/>
      <c r="DU68" s="125"/>
      <c r="DV68" s="125"/>
      <c r="DW68" s="125"/>
      <c r="DX68" s="125"/>
      <c r="DY68" s="125"/>
      <c r="DZ68" s="125"/>
      <c r="EA68" s="125"/>
      <c r="EB68" s="125"/>
      <c r="EC68" s="125"/>
      <c r="ED68" s="125"/>
      <c r="EE68" s="125"/>
      <c r="EF68" s="125"/>
      <c r="EG68" s="125"/>
      <c r="EH68" s="125"/>
      <c r="EI68" s="125"/>
      <c r="EJ68" s="125"/>
      <c r="EO68" s="37" t="s">
        <v>1110</v>
      </c>
    </row>
    <row r="69" spans="2:145" s="15" customFormat="1">
      <c r="B69" s="30" t="s">
        <v>1126</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86"/>
      <c r="AT69" s="86">
        <f t="shared" ref="AT69:BY69" si="458">+AT20/AP20-1</f>
        <v>15.75</v>
      </c>
      <c r="AU69" s="86">
        <f t="shared" si="458"/>
        <v>2.6428571428571428</v>
      </c>
      <c r="AV69" s="86">
        <f t="shared" si="458"/>
        <v>1.452054794520548</v>
      </c>
      <c r="AW69" s="86">
        <f t="shared" si="458"/>
        <v>0.97058823529411775</v>
      </c>
      <c r="AX69" s="86">
        <f t="shared" si="458"/>
        <v>0.60447761194029859</v>
      </c>
      <c r="AY69" s="86">
        <f t="shared" si="458"/>
        <v>0.45751633986928097</v>
      </c>
      <c r="AZ69" s="86">
        <f t="shared" si="458"/>
        <v>0.3910614525139664</v>
      </c>
      <c r="BA69" s="86">
        <f t="shared" si="458"/>
        <v>0.29850746268656714</v>
      </c>
      <c r="BB69" s="86">
        <f t="shared" si="458"/>
        <v>0.33023255813953489</v>
      </c>
      <c r="BC69" s="86">
        <f t="shared" si="458"/>
        <v>0.25112107623318392</v>
      </c>
      <c r="BD69" s="86">
        <f t="shared" si="458"/>
        <v>0.20080321285140568</v>
      </c>
      <c r="BE69" s="86">
        <f t="shared" si="458"/>
        <v>0.21839080459770122</v>
      </c>
      <c r="BF69" s="86">
        <f t="shared" si="458"/>
        <v>0.13636363636363646</v>
      </c>
      <c r="BG69" s="86">
        <f t="shared" si="458"/>
        <v>0.21863799283154117</v>
      </c>
      <c r="BH69" s="86">
        <f t="shared" si="458"/>
        <v>0.10702341137123739</v>
      </c>
      <c r="BI69" s="86">
        <f t="shared" si="458"/>
        <v>0.18867924528301883</v>
      </c>
      <c r="BJ69" s="86">
        <f t="shared" si="458"/>
        <v>9.5384615384615401E-2</v>
      </c>
      <c r="BK69" s="86">
        <f t="shared" si="458"/>
        <v>0.11176470588235299</v>
      </c>
      <c r="BL69" s="86">
        <f t="shared" si="458"/>
        <v>0.1510574018126889</v>
      </c>
      <c r="BM69" s="86">
        <f t="shared" si="458"/>
        <v>4.2328042328042326E-2</v>
      </c>
      <c r="BN69" s="86">
        <f t="shared" si="458"/>
        <v>5.6179775280898792E-2</v>
      </c>
      <c r="BO69" s="86">
        <f t="shared" si="458"/>
        <v>6.3492063492063489E-2</v>
      </c>
      <c r="BP69" s="86">
        <f t="shared" si="458"/>
        <v>3.6745406824147064E-2</v>
      </c>
      <c r="BQ69" s="86">
        <f t="shared" si="458"/>
        <v>-1.7766497461928932E-2</v>
      </c>
      <c r="BR69" s="86">
        <f t="shared" si="458"/>
        <v>3.9893617021276695E-2</v>
      </c>
      <c r="BS69" s="86">
        <f t="shared" si="458"/>
        <v>0.10696517412935314</v>
      </c>
      <c r="BT69" s="86">
        <f t="shared" si="458"/>
        <v>0.14430379746835453</v>
      </c>
      <c r="BU69" s="86">
        <f t="shared" si="458"/>
        <v>0.1188630490956073</v>
      </c>
      <c r="BV69" s="86">
        <f t="shared" si="458"/>
        <v>0.16624040920716121</v>
      </c>
      <c r="BW69" s="86">
        <f t="shared" si="458"/>
        <v>5.8426966292134841E-2</v>
      </c>
      <c r="BX69" s="86">
        <f t="shared" si="458"/>
        <v>0.10398230088495586</v>
      </c>
      <c r="BY69" s="86">
        <f t="shared" si="458"/>
        <v>9.9307159353348773E-2</v>
      </c>
      <c r="BZ69" s="86">
        <f t="shared" ref="BZ69:DE69" si="459">+BZ20/BV20-1</f>
        <v>7.2368421052631637E-2</v>
      </c>
      <c r="CA69" s="86">
        <f t="shared" si="459"/>
        <v>2.1231422505307851E-2</v>
      </c>
      <c r="CB69" s="86">
        <f t="shared" si="459"/>
        <v>-0.12825651302605212</v>
      </c>
      <c r="CC69" s="86">
        <f t="shared" si="459"/>
        <v>1.0504201680672232E-2</v>
      </c>
      <c r="CD69" s="86">
        <f t="shared" si="459"/>
        <v>2.6584867075664542E-2</v>
      </c>
      <c r="CE69" s="86">
        <f t="shared" si="459"/>
        <v>-2.7027027027026973E-2</v>
      </c>
      <c r="CF69" s="86">
        <f t="shared" si="459"/>
        <v>0.12183908045977021</v>
      </c>
      <c r="CG69" s="86">
        <f t="shared" si="459"/>
        <v>7.4844074844074848E-2</v>
      </c>
      <c r="CH69" s="86">
        <f t="shared" si="459"/>
        <v>8.5657370517928211E-2</v>
      </c>
      <c r="CI69" s="86">
        <f t="shared" si="459"/>
        <v>7.2649572649572614E-2</v>
      </c>
      <c r="CJ69" s="86">
        <f t="shared" si="459"/>
        <v>9.2213114754098324E-2</v>
      </c>
      <c r="CK69" s="86">
        <f t="shared" si="459"/>
        <v>-4.2553191489361653E-2</v>
      </c>
      <c r="CL69" s="86">
        <f t="shared" si="459"/>
        <v>-0.11192660550458711</v>
      </c>
      <c r="CM69" s="86">
        <f t="shared" si="459"/>
        <v>6.7729083665338585E-2</v>
      </c>
      <c r="CN69" s="86">
        <f t="shared" si="459"/>
        <v>-5.6285178236398226E-3</v>
      </c>
      <c r="CO69" s="86">
        <f t="shared" si="459"/>
        <v>4.8484848484848575E-2</v>
      </c>
      <c r="CP69" s="86">
        <f t="shared" si="459"/>
        <v>8.8842975206611552E-2</v>
      </c>
      <c r="CQ69" s="86">
        <f t="shared" si="459"/>
        <v>4.664179104477606E-2</v>
      </c>
      <c r="CR69" s="124">
        <f t="shared" si="459"/>
        <v>6.0377358490566024E-2</v>
      </c>
      <c r="CS69" s="124">
        <f t="shared" si="459"/>
        <v>4.2389210019267765E-2</v>
      </c>
      <c r="CT69" s="124">
        <f t="shared" si="459"/>
        <v>6.4516129032258007E-2</v>
      </c>
      <c r="CU69" s="124">
        <f t="shared" si="459"/>
        <v>8.9126559714796105E-3</v>
      </c>
      <c r="CV69" s="124"/>
      <c r="CW69" s="124"/>
      <c r="CX69" s="125"/>
      <c r="CY69" s="125"/>
      <c r="CZ69" s="125"/>
      <c r="DA69" s="125"/>
      <c r="DB69" s="125"/>
      <c r="DC69" s="125"/>
      <c r="DD69" s="125"/>
      <c r="DE69" s="125"/>
      <c r="DF69" s="125"/>
      <c r="DG69" s="125"/>
      <c r="DH69" s="125"/>
      <c r="DI69" s="125"/>
      <c r="DJ69" s="125"/>
      <c r="DK69" s="125"/>
      <c r="DL69" s="125"/>
      <c r="DM69" s="125"/>
      <c r="DN69" s="125"/>
      <c r="DO69" s="125"/>
      <c r="DP69" s="125"/>
      <c r="DQ69" s="125"/>
      <c r="DR69" s="125"/>
      <c r="DS69" s="125"/>
      <c r="DT69" s="125"/>
      <c r="DU69" s="125"/>
      <c r="DV69" s="125"/>
      <c r="DW69" s="125"/>
      <c r="DX69" s="125"/>
      <c r="DY69" s="125"/>
      <c r="DZ69" s="125"/>
      <c r="EA69" s="125"/>
      <c r="EB69" s="125"/>
      <c r="EC69" s="125"/>
      <c r="ED69" s="125"/>
      <c r="EE69" s="125"/>
      <c r="EF69" s="125"/>
      <c r="EG69" s="125"/>
      <c r="EH69" s="125"/>
      <c r="EI69" s="125"/>
      <c r="EJ69" s="125"/>
      <c r="EO69" s="37" t="s">
        <v>1112</v>
      </c>
    </row>
    <row r="70" spans="2:145" s="15" customFormat="1">
      <c r="B70" s="30" t="s">
        <v>284</v>
      </c>
      <c r="C70" s="82"/>
      <c r="D70" s="82"/>
      <c r="E70" s="82"/>
      <c r="F70" s="82"/>
      <c r="G70" s="82"/>
      <c r="H70" s="82"/>
      <c r="I70" s="82"/>
      <c r="J70" s="82"/>
      <c r="K70" s="82"/>
      <c r="L70" s="82"/>
      <c r="M70" s="79"/>
      <c r="N70" s="79"/>
      <c r="O70" s="79">
        <f t="shared" ref="O70:X71" si="460">O46/K46-1</f>
        <v>0.26727166276346592</v>
      </c>
      <c r="P70" s="79">
        <f t="shared" si="460"/>
        <v>0.19708788351534046</v>
      </c>
      <c r="Q70" s="79">
        <f t="shared" si="460"/>
        <v>0.23750000000000004</v>
      </c>
      <c r="R70" s="79">
        <f t="shared" si="460"/>
        <v>0.22877930476960384</v>
      </c>
      <c r="S70" s="79">
        <f t="shared" si="460"/>
        <v>0.20351120351120366</v>
      </c>
      <c r="T70" s="79">
        <f t="shared" si="460"/>
        <v>0.22502172024326672</v>
      </c>
      <c r="U70" s="79">
        <f t="shared" si="460"/>
        <v>0.12929292929292924</v>
      </c>
      <c r="V70" s="79">
        <f t="shared" si="460"/>
        <v>8.2236842105263053E-2</v>
      </c>
      <c r="W70" s="79">
        <f t="shared" si="460"/>
        <v>0.19769673704414581</v>
      </c>
      <c r="X70" s="79">
        <f t="shared" si="460"/>
        <v>0.29255319148936176</v>
      </c>
      <c r="Y70" s="79">
        <f t="shared" ref="Y70:AH71" si="461">Y46/U46-1</f>
        <v>0.49373881932021457</v>
      </c>
      <c r="Z70" s="79">
        <f t="shared" si="461"/>
        <v>0.5243161094224924</v>
      </c>
      <c r="AA70" s="79">
        <f t="shared" si="461"/>
        <v>0.28685897435897445</v>
      </c>
      <c r="AB70" s="79">
        <f t="shared" si="461"/>
        <v>6.5843621399176877E-2</v>
      </c>
      <c r="AC70" s="79">
        <f t="shared" si="461"/>
        <v>-0.16287425149700596</v>
      </c>
      <c r="AD70" s="79">
        <f t="shared" si="461"/>
        <v>-0.21734795613160518</v>
      </c>
      <c r="AE70" s="79">
        <f t="shared" si="461"/>
        <v>-0.17683686176836866</v>
      </c>
      <c r="AF70" s="79">
        <f t="shared" si="461"/>
        <v>2.5740025740026429E-3</v>
      </c>
      <c r="AG70" s="79">
        <f t="shared" si="461"/>
        <v>1.4306151645206988E-3</v>
      </c>
      <c r="AH70" s="79">
        <f t="shared" si="461"/>
        <v>-1.9108280254777066E-2</v>
      </c>
      <c r="AI70" s="79">
        <f t="shared" ref="AI70:AR71" si="462">AI46/AE46-1</f>
        <v>-8.4720121028744377E-2</v>
      </c>
      <c r="AJ70" s="79">
        <f t="shared" si="462"/>
        <v>-0.15661103979460844</v>
      </c>
      <c r="AK70" s="79">
        <f t="shared" si="462"/>
        <v>-0.12428571428571433</v>
      </c>
      <c r="AL70" s="79">
        <f t="shared" si="462"/>
        <v>0.12207792207792201</v>
      </c>
      <c r="AM70" s="79">
        <f t="shared" si="462"/>
        <v>1.983471074380172E-2</v>
      </c>
      <c r="AN70" s="79">
        <f t="shared" si="462"/>
        <v>-2.2831050228310557E-2</v>
      </c>
      <c r="AO70" s="79">
        <f t="shared" si="462"/>
        <v>0.12398042414355626</v>
      </c>
      <c r="AP70" s="79">
        <f t="shared" si="462"/>
        <v>-4.513888888888884E-2</v>
      </c>
      <c r="AQ70" s="79">
        <f t="shared" si="462"/>
        <v>0.13938411669367912</v>
      </c>
      <c r="AR70" s="79">
        <f t="shared" si="462"/>
        <v>0.25856697819314634</v>
      </c>
      <c r="AS70" s="79">
        <f t="shared" ref="AS70:AV71" si="463">AS46/AO46-1</f>
        <v>0.10740203193033371</v>
      </c>
      <c r="AT70" s="79">
        <f t="shared" si="463"/>
        <v>2.0606060606060517E-2</v>
      </c>
      <c r="AU70" s="79">
        <f t="shared" si="463"/>
        <v>2.8449502133712556E-2</v>
      </c>
      <c r="AV70" s="79">
        <f t="shared" si="463"/>
        <v>-1.2376237623762387E-3</v>
      </c>
      <c r="AW70" s="79">
        <f t="shared" ref="AW70:BB70" si="464">AW46/AS46-1</f>
        <v>0.11271297509829625</v>
      </c>
      <c r="AX70" s="79">
        <f t="shared" si="464"/>
        <v>8.9073634204275498E-2</v>
      </c>
      <c r="AY70" s="79">
        <f t="shared" si="464"/>
        <v>0.17704011065006919</v>
      </c>
      <c r="AZ70" s="79">
        <f t="shared" si="464"/>
        <v>0.16976456009913266</v>
      </c>
      <c r="BA70" s="79">
        <f t="shared" si="464"/>
        <v>0.13780918727915203</v>
      </c>
      <c r="BB70" s="79">
        <f t="shared" si="464"/>
        <v>0.27371864776444932</v>
      </c>
      <c r="BC70" s="79">
        <f t="shared" ref="BC70:BC71" si="465">BC46/AY46-1</f>
        <v>0.16803760282021152</v>
      </c>
      <c r="BD70" s="79">
        <f t="shared" ref="BD70:BD71" si="466">BD46/AZ46-1</f>
        <v>3.7076271186440746E-2</v>
      </c>
      <c r="BE70" s="79">
        <f t="shared" ref="BE70:BE71" si="467">BE46/BA46-1</f>
        <v>1.449275362318847E-2</v>
      </c>
      <c r="BF70" s="79">
        <f t="shared" ref="BF70:BF71" si="468">BF46/BB46-1</f>
        <v>0</v>
      </c>
      <c r="BG70" s="79">
        <f t="shared" ref="BG70:BG71" si="469">BG46/BC46-1</f>
        <v>-0.13883299798792759</v>
      </c>
      <c r="BH70" s="79">
        <f t="shared" ref="BH70:BH71" si="470">BH46/BD46-1</f>
        <v>-6.2308478038815118E-2</v>
      </c>
      <c r="BI70" s="79">
        <f t="shared" ref="BI70:BI71" si="471">BI46/BE46-1</f>
        <v>0.10816326530612241</v>
      </c>
      <c r="BJ70" s="79">
        <f t="shared" ref="BJ70:BJ71" si="472">BJ46/BF46-1</f>
        <v>-9.5034246575342429E-2</v>
      </c>
      <c r="BK70" s="79">
        <f t="shared" ref="BK70:BK71" si="473">BK46/BG46-1</f>
        <v>2.3364485981307581E-3</v>
      </c>
      <c r="BL70" s="79">
        <f t="shared" ref="BL70:BL71" si="474">BL46/BH46-1</f>
        <v>-1.9607843137254943E-2</v>
      </c>
      <c r="BM70" s="79">
        <f t="shared" ref="BM70:BM71" si="475">BM46/BI46-1</f>
        <v>-8.8397790055248615E-2</v>
      </c>
      <c r="BN70" s="79">
        <f t="shared" ref="BN70:BN71" si="476">BN46/BJ46-1</f>
        <v>-9.4607379375588607E-4</v>
      </c>
      <c r="BO70" s="79">
        <f t="shared" ref="BO70:BO71" si="477">BO46/BK46-1</f>
        <v>-0.12820512820512819</v>
      </c>
      <c r="BP70" s="79">
        <f t="shared" ref="BP70:BP71" si="478">BP46/BL46-1</f>
        <v>-5.4444444444444406E-2</v>
      </c>
      <c r="BQ70" s="79">
        <f t="shared" ref="BQ70:BQ71" si="479">BQ46/BM46-1</f>
        <v>-0.1333333333333333</v>
      </c>
      <c r="BR70" s="79">
        <f t="shared" ref="BR70:BR71" si="480">BR46/BN46-1</f>
        <v>-2.9356060606060552E-2</v>
      </c>
      <c r="BS70" s="79">
        <f t="shared" ref="BS70:BS71" si="481">BS46/BO46-1</f>
        <v>-1.2032085561497374E-2</v>
      </c>
      <c r="BT70" s="79">
        <f t="shared" ref="BT70:BT71" si="482">BT46/BP46-1</f>
        <v>-1.1750881316098249E-3</v>
      </c>
      <c r="BU70" s="79">
        <f t="shared" ref="BU70:BU71" si="483">BU46/BQ46-1</f>
        <v>5.5944055944056048E-2</v>
      </c>
      <c r="BV70" s="79">
        <f t="shared" ref="BV70:BV71" si="484">BV46/BR46-1</f>
        <v>0.13365853658536575</v>
      </c>
      <c r="BW70" s="79">
        <f t="shared" ref="BW70:BW71" si="485">BW46/BS46-1</f>
        <v>0.16238159675236807</v>
      </c>
      <c r="BX70" s="79">
        <f t="shared" ref="BX70:BX71" si="486">BX46/BT46-1</f>
        <v>6.5882352941176503E-2</v>
      </c>
      <c r="BY70" s="79">
        <f t="shared" ref="BY70:BY71" si="487">BY46/BU46-1</f>
        <v>7.8366445916114857E-2</v>
      </c>
      <c r="BZ70" s="79">
        <f t="shared" ref="BZ70:BZ71" si="488">BZ46/BV46-1</f>
        <v>0.10585197934595536</v>
      </c>
      <c r="CA70" s="79">
        <f t="shared" ref="CA70:CA71" si="489">CA46/BW46-1</f>
        <v>7.9161816065192125E-2</v>
      </c>
      <c r="CB70" s="79">
        <f t="shared" ref="CB70:CB71" si="490">CB46/BX46-1</f>
        <v>3.3112582781456901E-2</v>
      </c>
      <c r="CC70" s="79">
        <f t="shared" ref="CC70:CC71" si="491">CC46/BY46-1</f>
        <v>6.1412487205731781E-2</v>
      </c>
      <c r="CD70" s="79">
        <f t="shared" ref="CD70:CD71" si="492">CD46/BZ46-1</f>
        <v>-7.7821011673151697E-2</v>
      </c>
      <c r="CE70" s="79">
        <f t="shared" ref="CE70:CE71" si="493">CE46/CA46-1</f>
        <v>1.8338727076591121E-2</v>
      </c>
      <c r="CF70" s="79">
        <f t="shared" ref="CF70:CF71" si="494">CF46/CB46-1</f>
        <v>0.1068376068376069</v>
      </c>
      <c r="CG70" s="79">
        <f t="shared" ref="CG70:CG71" si="495">CG46/CC46-1</f>
        <v>-3.8572806171648932E-2</v>
      </c>
      <c r="CH70" s="79">
        <f t="shared" ref="CH70:CH71" si="496">CH46/CD46-1</f>
        <v>0.11308016877637139</v>
      </c>
      <c r="CI70" s="79">
        <f t="shared" ref="CI70:CI71" si="497">CI46/CE46-1</f>
        <v>-1.0593220338983023E-2</v>
      </c>
      <c r="CJ70" s="79">
        <f t="shared" ref="CJ70:CJ71" si="498">CJ46/CF46-1</f>
        <v>-1.5444015444015413E-2</v>
      </c>
      <c r="CK70" s="79">
        <f t="shared" ref="CK70:CK71" si="499">CK46/CG46-1</f>
        <v>9.9297893681043137E-2</v>
      </c>
      <c r="CL70" s="79">
        <f t="shared" ref="CL70:CL71" si="500">CL46/CH46-1</f>
        <v>-2.1228203184230465E-2</v>
      </c>
      <c r="CM70" s="79">
        <f t="shared" ref="CM70:CM71" si="501">CM46/CI46-1</f>
        <v>0.11777301927194861</v>
      </c>
      <c r="CN70" s="79">
        <f t="shared" ref="CN70:CN71" si="502">CN46/CJ46-1</f>
        <v>7.0588235294117618E-2</v>
      </c>
      <c r="CO70" s="79">
        <f t="shared" ref="CO70:CO71" si="503">CO46/CK46-1</f>
        <v>-2.3722627737226332E-2</v>
      </c>
      <c r="CP70" s="79">
        <f t="shared" ref="CP70:CP71" si="504">CP46/CL46-1</f>
        <v>0.15724244771494966</v>
      </c>
      <c r="CQ70" s="79">
        <f t="shared" ref="CQ70:CU71" si="505">CQ46/CM46-1</f>
        <v>0.26149425287356332</v>
      </c>
      <c r="CR70" s="79">
        <f t="shared" si="505"/>
        <v>0.30311355311355315</v>
      </c>
      <c r="CS70" s="79">
        <f t="shared" si="505"/>
        <v>0.34579439252336441</v>
      </c>
      <c r="CT70" s="79">
        <f t="shared" si="505"/>
        <v>0.13654618473895574</v>
      </c>
      <c r="CU70" s="79">
        <f t="shared" si="505"/>
        <v>0.11996962794229304</v>
      </c>
      <c r="CV70" s="121"/>
      <c r="CW70" s="121"/>
      <c r="CX70" s="121"/>
      <c r="CY70" s="121"/>
      <c r="CZ70" s="125"/>
      <c r="DA70" s="125"/>
      <c r="DB70" s="79">
        <f t="shared" ref="DB70:DE70" si="506">DB46/DA46-1</f>
        <v>2.3668639053254337E-2</v>
      </c>
      <c r="DC70" s="79">
        <f t="shared" si="506"/>
        <v>0.2913294797687862</v>
      </c>
      <c r="DD70" s="79">
        <f t="shared" si="506"/>
        <v>0.45120859444941819</v>
      </c>
      <c r="DE70" s="79">
        <f t="shared" si="506"/>
        <v>0.23152375077112897</v>
      </c>
      <c r="DF70" s="79">
        <f t="shared" ref="DF70:DO70" si="507">DF46/DE46-1</f>
        <v>0.15313329659870756</v>
      </c>
      <c r="DG70" s="79">
        <f t="shared" si="507"/>
        <v>0.38618592528236317</v>
      </c>
      <c r="DH70" s="79">
        <f t="shared" si="507"/>
        <v>-3.9799435913506764E-2</v>
      </c>
      <c r="DI70" s="79">
        <f t="shared" si="507"/>
        <v>-5.0261096605744071E-2</v>
      </c>
      <c r="DJ70" s="79">
        <f t="shared" si="507"/>
        <v>-5.8762886597938158E-2</v>
      </c>
      <c r="DK70" s="79">
        <f t="shared" si="507"/>
        <v>1.241328952172327E-2</v>
      </c>
      <c r="DL70" s="79">
        <f t="shared" si="507"/>
        <v>0.12369275153263604</v>
      </c>
      <c r="DM70" s="79">
        <f t="shared" si="507"/>
        <v>5.7766367137355612E-2</v>
      </c>
      <c r="DN70" s="79">
        <f t="shared" si="507"/>
        <v>0.19205097087378631</v>
      </c>
      <c r="DO70" s="79">
        <f t="shared" si="507"/>
        <v>4.8867396284041797E-2</v>
      </c>
      <c r="DP70" s="125"/>
      <c r="DQ70" s="125"/>
      <c r="DR70" s="125"/>
      <c r="DS70" s="125"/>
      <c r="DT70" s="125"/>
      <c r="DU70" s="125"/>
      <c r="DV70" s="125"/>
      <c r="DW70" s="125"/>
      <c r="DX70" s="125"/>
      <c r="DY70" s="125"/>
      <c r="DZ70" s="125"/>
      <c r="EA70" s="125"/>
      <c r="EB70" s="125"/>
      <c r="EC70" s="125"/>
      <c r="ED70" s="125"/>
      <c r="EE70" s="125"/>
      <c r="EF70" s="125"/>
      <c r="EG70" s="125"/>
      <c r="EH70" s="125"/>
      <c r="EI70" s="125"/>
      <c r="EJ70" s="125"/>
    </row>
    <row r="71" spans="2:145" s="30" customFormat="1">
      <c r="B71" s="30" t="s">
        <v>720</v>
      </c>
      <c r="C71" s="82"/>
      <c r="D71" s="82"/>
      <c r="E71" s="82"/>
      <c r="F71" s="82"/>
      <c r="G71" s="82"/>
      <c r="H71" s="82"/>
      <c r="I71" s="82"/>
      <c r="J71" s="82"/>
      <c r="K71" s="82"/>
      <c r="L71" s="82"/>
      <c r="M71" s="82"/>
      <c r="N71" s="82"/>
      <c r="O71" s="79">
        <f t="shared" si="460"/>
        <v>0.36545115783870119</v>
      </c>
      <c r="P71" s="79">
        <f t="shared" si="460"/>
        <v>0.34102857142857146</v>
      </c>
      <c r="Q71" s="79">
        <f t="shared" si="460"/>
        <v>0.35567890691716464</v>
      </c>
      <c r="R71" s="79">
        <f t="shared" si="460"/>
        <v>0.32886564236678661</v>
      </c>
      <c r="S71" s="79">
        <f t="shared" si="460"/>
        <v>0.12475633528265107</v>
      </c>
      <c r="T71" s="79">
        <f t="shared" si="460"/>
        <v>0.10107380262485077</v>
      </c>
      <c r="U71" s="79">
        <f t="shared" si="460"/>
        <v>3.3070866141732269E-2</v>
      </c>
      <c r="V71" s="79">
        <f t="shared" si="460"/>
        <v>0.12300123001230023</v>
      </c>
      <c r="W71" s="79">
        <f t="shared" si="460"/>
        <v>0.12998266897746968</v>
      </c>
      <c r="X71" s="79">
        <f t="shared" si="460"/>
        <v>0.23684210526315796</v>
      </c>
      <c r="Y71" s="79">
        <f t="shared" si="461"/>
        <v>0.19207317073170738</v>
      </c>
      <c r="Z71" s="79">
        <f t="shared" si="461"/>
        <v>9.6385542168674787E-2</v>
      </c>
      <c r="AA71" s="79">
        <f t="shared" si="461"/>
        <v>0.14723926380368102</v>
      </c>
      <c r="AB71" s="79">
        <f t="shared" si="461"/>
        <v>5.1314142678347885E-2</v>
      </c>
      <c r="AC71" s="79">
        <f t="shared" si="461"/>
        <v>2.8132992327365658E-2</v>
      </c>
      <c r="AD71" s="79">
        <f t="shared" si="461"/>
        <v>-1.098901098901095E-2</v>
      </c>
      <c r="AE71" s="79">
        <f t="shared" si="461"/>
        <v>0.15240641711229941</v>
      </c>
      <c r="AF71" s="79">
        <f t="shared" si="461"/>
        <v>6.4285714285714279E-2</v>
      </c>
      <c r="AG71" s="79">
        <f t="shared" si="461"/>
        <v>0.10696517412935314</v>
      </c>
      <c r="AH71" s="79">
        <f t="shared" si="461"/>
        <v>7.2727272727272751E-2</v>
      </c>
      <c r="AI71" s="79">
        <f t="shared" si="462"/>
        <v>-0.10208816705336432</v>
      </c>
      <c r="AJ71" s="79">
        <f t="shared" si="462"/>
        <v>-3.3557046979866278E-3</v>
      </c>
      <c r="AK71" s="79">
        <f t="shared" si="462"/>
        <v>2.5842696629213568E-2</v>
      </c>
      <c r="AL71" s="79">
        <f t="shared" si="462"/>
        <v>9.1337099811676037E-2</v>
      </c>
      <c r="AM71" s="79">
        <f t="shared" si="462"/>
        <v>0.12790697674418605</v>
      </c>
      <c r="AN71" s="79">
        <f t="shared" si="462"/>
        <v>8.6419753086419693E-2</v>
      </c>
      <c r="AO71" s="79">
        <f t="shared" si="462"/>
        <v>3.1763417305586072E-2</v>
      </c>
      <c r="AP71" s="79">
        <f t="shared" si="462"/>
        <v>-1.4667817083692802E-2</v>
      </c>
      <c r="AQ71" s="79">
        <f t="shared" si="462"/>
        <v>0.15807560137457055</v>
      </c>
      <c r="AR71" s="79">
        <f t="shared" si="462"/>
        <v>0.14772727272727271</v>
      </c>
      <c r="AS71" s="79">
        <f t="shared" si="463"/>
        <v>0.18152866242038224</v>
      </c>
      <c r="AT71" s="79">
        <f t="shared" si="463"/>
        <v>4.9912434325744215E-2</v>
      </c>
      <c r="AU71" s="79">
        <f t="shared" si="463"/>
        <v>4.549950544015835E-2</v>
      </c>
      <c r="AV71" s="79">
        <f t="shared" si="463"/>
        <v>7.9207920792079278E-2</v>
      </c>
      <c r="AW71" s="79">
        <f t="shared" ref="AW71:BB71" si="508">AW47/AS47-1</f>
        <v>-2.6954177897574594E-3</v>
      </c>
      <c r="AX71" s="79">
        <f t="shared" si="508"/>
        <v>0.12677231025854874</v>
      </c>
      <c r="AY71" s="79">
        <f t="shared" si="508"/>
        <v>8.2308420056764531E-2</v>
      </c>
      <c r="AZ71" s="79">
        <f t="shared" si="508"/>
        <v>3.1693077564637129E-2</v>
      </c>
      <c r="BA71" s="79">
        <f t="shared" si="508"/>
        <v>9.7297297297297192E-2</v>
      </c>
      <c r="BB71" s="79">
        <f t="shared" si="508"/>
        <v>-3.3308660251665456E-2</v>
      </c>
      <c r="BC71" s="79">
        <f t="shared" si="465"/>
        <v>-0.14073426573426573</v>
      </c>
      <c r="BD71" s="79">
        <f t="shared" si="466"/>
        <v>-0.11641067097817304</v>
      </c>
      <c r="BE71" s="79">
        <f t="shared" si="467"/>
        <v>-0.15681444991789817</v>
      </c>
      <c r="BF71" s="79">
        <f t="shared" si="468"/>
        <v>-7.6569678407345521E-4</v>
      </c>
      <c r="BG71" s="79">
        <f t="shared" si="469"/>
        <v>1.0172939979654183E-2</v>
      </c>
      <c r="BH71" s="79">
        <f t="shared" si="470"/>
        <v>1.7383348581884617E-2</v>
      </c>
      <c r="BI71" s="79">
        <f t="shared" si="471"/>
        <v>0.17429406037000983</v>
      </c>
      <c r="BJ71" s="79">
        <f t="shared" si="472"/>
        <v>3.3716475095785459E-2</v>
      </c>
      <c r="BK71" s="79">
        <f t="shared" si="473"/>
        <v>0.11077542799597184</v>
      </c>
      <c r="BL71" s="79">
        <f t="shared" si="474"/>
        <v>0.16187050359712241</v>
      </c>
      <c r="BM71" s="79">
        <f t="shared" si="475"/>
        <v>3.1509121061359835E-2</v>
      </c>
      <c r="BN71" s="79">
        <f t="shared" si="476"/>
        <v>-3.854707190511486E-2</v>
      </c>
      <c r="BO71" s="79">
        <f t="shared" si="477"/>
        <v>-5.8023572076155938E-2</v>
      </c>
      <c r="BP71" s="79">
        <f t="shared" si="478"/>
        <v>-9.1331269349845257E-2</v>
      </c>
      <c r="BQ71" s="79">
        <f t="shared" si="479"/>
        <v>-7.7974276527331243E-2</v>
      </c>
      <c r="BR71" s="79">
        <f t="shared" si="480"/>
        <v>8.4040092521202814E-2</v>
      </c>
      <c r="BS71" s="79">
        <f t="shared" si="481"/>
        <v>5.7747834456207903E-2</v>
      </c>
      <c r="BT71" s="79">
        <f t="shared" si="482"/>
        <v>0.13543441226575803</v>
      </c>
      <c r="BU71" s="79">
        <f t="shared" si="483"/>
        <v>0.10549258936355721</v>
      </c>
      <c r="BV71" s="79">
        <f t="shared" si="484"/>
        <v>8.9615931721194864E-2</v>
      </c>
      <c r="BW71" s="79">
        <f t="shared" si="485"/>
        <v>4.5495905368516887E-2</v>
      </c>
      <c r="BX71" s="79">
        <f t="shared" si="486"/>
        <v>-5.7764441110277565E-2</v>
      </c>
      <c r="BY71" s="79">
        <f t="shared" si="487"/>
        <v>-4.8107255520504766E-2</v>
      </c>
      <c r="BZ71" s="79">
        <f t="shared" si="488"/>
        <v>-2.0234986945169675E-2</v>
      </c>
      <c r="CA71" s="79">
        <f t="shared" si="489"/>
        <v>0.12010443864229758</v>
      </c>
      <c r="CB71" s="79">
        <f t="shared" si="490"/>
        <v>7.1656050955413164E-3</v>
      </c>
      <c r="CC71" s="79">
        <f t="shared" si="491"/>
        <v>0.10107705053852523</v>
      </c>
      <c r="CD71" s="79">
        <f t="shared" si="492"/>
        <v>0.17388407728181221</v>
      </c>
      <c r="CE71" s="79">
        <f t="shared" si="493"/>
        <v>-4.739704739704742E-2</v>
      </c>
      <c r="CF71" s="79">
        <f t="shared" si="494"/>
        <v>6.3241106719367668E-2</v>
      </c>
      <c r="CG71" s="79">
        <f t="shared" si="495"/>
        <v>-5.191873589164786E-2</v>
      </c>
      <c r="CH71" s="79">
        <f t="shared" si="496"/>
        <v>-0.18615209988649262</v>
      </c>
      <c r="CI71" s="79">
        <f t="shared" si="497"/>
        <v>-1.0603588907014627E-2</v>
      </c>
      <c r="CJ71" s="79">
        <f t="shared" si="498"/>
        <v>-2.37918215613383E-2</v>
      </c>
      <c r="CK71" s="79">
        <f t="shared" si="499"/>
        <v>1.2698412698412653E-2</v>
      </c>
      <c r="CL71" s="79">
        <f t="shared" si="500"/>
        <v>2.3709902370990132E-2</v>
      </c>
      <c r="CM71" s="79">
        <f t="shared" si="501"/>
        <v>9.0684253915911395E-3</v>
      </c>
      <c r="CN71" s="79">
        <f t="shared" si="502"/>
        <v>-5.7882711348057891E-2</v>
      </c>
      <c r="CO71" s="79">
        <f t="shared" si="503"/>
        <v>1.3322884012539227E-2</v>
      </c>
      <c r="CP71" s="79">
        <f t="shared" si="504"/>
        <v>0.20163487738419628</v>
      </c>
      <c r="CQ71" s="79">
        <f t="shared" si="505"/>
        <v>0.39869281045751626</v>
      </c>
      <c r="CR71" s="79">
        <f t="shared" si="505"/>
        <v>0.36297493936944214</v>
      </c>
      <c r="CS71" s="79">
        <f t="shared" si="505"/>
        <v>0.21036349574632629</v>
      </c>
      <c r="CT71" s="79">
        <f t="shared" si="505"/>
        <v>3.1179138321995481E-2</v>
      </c>
      <c r="CU71" s="79">
        <f t="shared" si="505"/>
        <v>-2.7453271028037407E-2</v>
      </c>
      <c r="CV71" s="121"/>
      <c r="CW71" s="121"/>
      <c r="CX71" s="121"/>
      <c r="CY71" s="121"/>
      <c r="CZ71" s="125"/>
      <c r="DA71" s="125"/>
      <c r="DB71" s="79">
        <f t="shared" ref="DB71:DE71" si="509">DB47/DA47-1</f>
        <v>0.14453584018801413</v>
      </c>
      <c r="DC71" s="79">
        <f t="shared" si="509"/>
        <v>0.48767967145790547</v>
      </c>
      <c r="DD71" s="79">
        <f t="shared" si="509"/>
        <v>0.30641821946169778</v>
      </c>
      <c r="DE71" s="79">
        <f t="shared" si="509"/>
        <v>0.34585314315900684</v>
      </c>
      <c r="DF71" s="79">
        <f t="shared" ref="DF71:DO71" si="510">DF47/DE47-1</f>
        <v>9.5890410958904271E-2</v>
      </c>
      <c r="DG71" s="79">
        <f t="shared" si="510"/>
        <v>0.15830945558739251</v>
      </c>
      <c r="DH71" s="79">
        <f t="shared" si="510"/>
        <v>4.5763760049474245E-2</v>
      </c>
      <c r="DI71" s="79">
        <f t="shared" si="510"/>
        <v>9.6392667060910764E-2</v>
      </c>
      <c r="DJ71" s="79">
        <f t="shared" si="510"/>
        <v>7.8209277238403541E-3</v>
      </c>
      <c r="DK71" s="79">
        <f t="shared" si="510"/>
        <v>5.030773347605022E-2</v>
      </c>
      <c r="DL71" s="79">
        <f t="shared" si="510"/>
        <v>0.12968152866242044</v>
      </c>
      <c r="DM71" s="79">
        <f t="shared" si="510"/>
        <v>6.3824988723500287E-2</v>
      </c>
      <c r="DN71" s="79">
        <f t="shared" si="510"/>
        <v>3.9855840576637602E-2</v>
      </c>
      <c r="DO71" s="79">
        <f t="shared" si="510"/>
        <v>-0.10132517838939858</v>
      </c>
      <c r="DP71" s="125"/>
      <c r="DQ71" s="125"/>
      <c r="DR71" s="125"/>
      <c r="DS71" s="125"/>
      <c r="DT71" s="125"/>
      <c r="DU71" s="125"/>
      <c r="DV71" s="125"/>
      <c r="DW71" s="125"/>
      <c r="DX71" s="125"/>
      <c r="DY71" s="125"/>
      <c r="DZ71" s="125"/>
      <c r="EA71" s="125"/>
      <c r="EB71" s="125"/>
      <c r="EC71" s="125"/>
      <c r="ED71" s="125"/>
      <c r="EE71" s="125"/>
      <c r="EF71" s="125"/>
      <c r="EG71" s="125"/>
      <c r="EH71" s="125"/>
      <c r="EI71" s="125"/>
      <c r="EJ71" s="125"/>
    </row>
    <row r="72" spans="2:145" s="31" customFormat="1">
      <c r="B72" s="35" t="s">
        <v>314</v>
      </c>
      <c r="C72" s="83"/>
      <c r="D72" s="83"/>
      <c r="E72" s="83"/>
      <c r="F72" s="83"/>
      <c r="G72" s="83"/>
      <c r="H72" s="83"/>
      <c r="I72" s="83"/>
      <c r="J72" s="83"/>
      <c r="K72" s="83"/>
      <c r="L72" s="83"/>
      <c r="M72" s="83"/>
      <c r="N72" s="83"/>
      <c r="O72" s="84">
        <f t="shared" ref="O72:AV72" si="511">O54/K54-1</f>
        <v>0.36147677969895819</v>
      </c>
      <c r="P72" s="84">
        <f t="shared" si="511"/>
        <v>0.26366592863905236</v>
      </c>
      <c r="Q72" s="84">
        <f t="shared" si="511"/>
        <v>0.19920583406513725</v>
      </c>
      <c r="R72" s="84">
        <f t="shared" si="511"/>
        <v>0.25649748940883166</v>
      </c>
      <c r="S72" s="84">
        <f t="shared" si="511"/>
        <v>0.26098805716094198</v>
      </c>
      <c r="T72" s="84">
        <f t="shared" si="511"/>
        <v>0.42989635090305955</v>
      </c>
      <c r="U72" s="84">
        <f t="shared" si="511"/>
        <v>0.34436590760448138</v>
      </c>
      <c r="V72" s="84">
        <f t="shared" si="511"/>
        <v>0.29504888391944051</v>
      </c>
      <c r="W72" s="84">
        <f t="shared" si="511"/>
        <v>0.26615353345172132</v>
      </c>
      <c r="X72" s="84">
        <f t="shared" si="511"/>
        <v>0.18401716796132006</v>
      </c>
      <c r="Y72" s="84">
        <f t="shared" si="511"/>
        <v>0.22042568681954688</v>
      </c>
      <c r="Z72" s="84">
        <f t="shared" si="511"/>
        <v>0.20834556126192205</v>
      </c>
      <c r="AA72" s="84">
        <f t="shared" si="511"/>
        <v>0.19483373786783953</v>
      </c>
      <c r="AB72" s="84">
        <f t="shared" si="511"/>
        <v>6.8629204160169266E-2</v>
      </c>
      <c r="AC72" s="84">
        <f t="shared" si="511"/>
        <v>4.0180473781186832E-2</v>
      </c>
      <c r="AD72" s="84">
        <f t="shared" si="511"/>
        <v>0.10544247098905291</v>
      </c>
      <c r="AE72" s="84">
        <f t="shared" si="511"/>
        <v>3.025902697084959E-2</v>
      </c>
      <c r="AF72" s="84">
        <f t="shared" si="511"/>
        <v>2.3290879812619014E-2</v>
      </c>
      <c r="AG72" s="84">
        <f t="shared" si="511"/>
        <v>0.13462529562220249</v>
      </c>
      <c r="AH72" s="84">
        <f t="shared" si="511"/>
        <v>6.229902422797573E-2</v>
      </c>
      <c r="AI72" s="84">
        <f t="shared" si="511"/>
        <v>-3.2576286591516235E-2</v>
      </c>
      <c r="AJ72" s="84">
        <f t="shared" si="511"/>
        <v>0.12840702604482113</v>
      </c>
      <c r="AK72" s="84">
        <f t="shared" si="511"/>
        <v>0.20829102606726635</v>
      </c>
      <c r="AL72" s="84">
        <f t="shared" si="511"/>
        <v>-6.6136961444867026E-3</v>
      </c>
      <c r="AM72" s="84">
        <f t="shared" si="511"/>
        <v>0.20141158183921348</v>
      </c>
      <c r="AN72" s="84">
        <f t="shared" si="511"/>
        <v>6.6000740621172227E-2</v>
      </c>
      <c r="AO72" s="84">
        <f t="shared" si="511"/>
        <v>-8.1998005911049332E-2</v>
      </c>
      <c r="AP72" s="84">
        <f t="shared" si="511"/>
        <v>0.10793754776722353</v>
      </c>
      <c r="AQ72" s="84">
        <f t="shared" si="511"/>
        <v>3.138712782553843E-2</v>
      </c>
      <c r="AR72" s="84">
        <f t="shared" si="511"/>
        <v>-3.9731894403174373E-3</v>
      </c>
      <c r="AS72" s="84">
        <f t="shared" si="511"/>
        <v>0.12546309335528738</v>
      </c>
      <c r="AT72" s="84">
        <f t="shared" si="511"/>
        <v>5.8114233907525126E-2</v>
      </c>
      <c r="AU72" s="84">
        <f t="shared" si="511"/>
        <v>0.20359113438698229</v>
      </c>
      <c r="AV72" s="84">
        <f t="shared" si="511"/>
        <v>0.30265964587777261</v>
      </c>
      <c r="AW72" s="84">
        <f t="shared" ref="AW72:BB72" si="512">AW54/AS54-1</f>
        <v>0.13903716074852723</v>
      </c>
      <c r="AX72" s="84">
        <f t="shared" si="512"/>
        <v>0.17311843849111641</v>
      </c>
      <c r="AY72" s="84">
        <f t="shared" si="512"/>
        <v>0.19695444171883958</v>
      </c>
      <c r="AZ72" s="84">
        <f t="shared" si="512"/>
        <v>9.4225889510484162E-2</v>
      </c>
      <c r="BA72" s="84">
        <f t="shared" si="512"/>
        <v>0.14082731413542726</v>
      </c>
      <c r="BB72" s="84">
        <f t="shared" si="512"/>
        <v>0.43780753052696975</v>
      </c>
      <c r="BC72" s="84">
        <f t="shared" ref="BC72" si="513">BC54/AY54-1</f>
        <v>5.962533944331283E-2</v>
      </c>
      <c r="BD72" s="84">
        <f t="shared" ref="BD72" si="514">BD54/AZ54-1</f>
        <v>0.21548606456657726</v>
      </c>
      <c r="BE72" s="84">
        <f t="shared" ref="BE72" si="515">BE54/BA54-1</f>
        <v>0.32620270956916819</v>
      </c>
      <c r="BF72" s="84">
        <f t="shared" ref="BF72" si="516">BF54/BB54-1</f>
        <v>0.15780680141203107</v>
      </c>
      <c r="BG72" s="84">
        <f t="shared" ref="BG72" si="517">BG54/BC54-1</f>
        <v>0.30317101636413302</v>
      </c>
      <c r="BH72" s="84">
        <f t="shared" ref="BH72" si="518">BH54/BD54-1</f>
        <v>0.16730663741086138</v>
      </c>
      <c r="BI72" s="84">
        <f t="shared" ref="BI72" si="519">BI54/BE54-1</f>
        <v>9.2723513522526391E-2</v>
      </c>
      <c r="BJ72" s="84">
        <f t="shared" ref="BJ72" si="520">BJ54/BF54-1</f>
        <v>0.16335043024882356</v>
      </c>
      <c r="BK72" s="84">
        <f t="shared" ref="BK72" si="521">BK54/BG54-1</f>
        <v>0.16488446726572525</v>
      </c>
      <c r="BL72" s="84">
        <f t="shared" ref="BL72" si="522">BL54/BH54-1</f>
        <v>-6.9631468818517672E-2</v>
      </c>
      <c r="BM72" s="84">
        <f t="shared" ref="BM72" si="523">BM54/BI54-1</f>
        <v>-5.5915971578622159E-2</v>
      </c>
      <c r="BN72" s="84">
        <f t="shared" ref="BN72" si="524">BN54/BJ54-1</f>
        <v>0.10132661938320919</v>
      </c>
      <c r="BO72" s="84">
        <f t="shared" ref="BO72" si="525">BO54/BK54-1</f>
        <v>7.6988348944225127E-2</v>
      </c>
      <c r="BP72" s="84">
        <f t="shared" ref="BP72" si="526">BP54/BL54-1</f>
        <v>0.33602810367734803</v>
      </c>
      <c r="BQ72" s="84">
        <f t="shared" ref="BQ72" si="527">BQ54/BM54-1</f>
        <v>0.31531795410471886</v>
      </c>
      <c r="BR72" s="84">
        <f t="shared" ref="BR72" si="528">BR54/BN54-1</f>
        <v>0.12934972208198037</v>
      </c>
      <c r="BS72" s="84">
        <f t="shared" ref="BS72" si="529">BS54/BO54-1</f>
        <v>0.10451519413544719</v>
      </c>
      <c r="BT72" s="84">
        <f t="shared" ref="BT72" si="530">BT54/BP54-1</f>
        <v>0.14159594361334871</v>
      </c>
      <c r="BU72" s="84">
        <f t="shared" ref="BU72" si="531">BU54/BQ54-1</f>
        <v>7.5398244688843263E-2</v>
      </c>
      <c r="BV72" s="84">
        <f t="shared" ref="BV72" si="532">BV54/BR54-1</f>
        <v>1.4270503169572235E-2</v>
      </c>
      <c r="BW72" s="84">
        <f t="shared" ref="BW72" si="533">BW54/BS54-1</f>
        <v>-3.4389810462619241E-2</v>
      </c>
      <c r="BX72" s="84">
        <f t="shared" ref="BX72" si="534">BX54/BT54-1</f>
        <v>-0.15027006538425081</v>
      </c>
      <c r="BY72" s="84">
        <f t="shared" ref="BY72" si="535">BY54/BU54-1</f>
        <v>-2.5993000329973093E-2</v>
      </c>
      <c r="BZ72" s="84">
        <f t="shared" ref="BZ72" si="536">BZ54/BV54-1</f>
        <v>7.6382166508778049E-2</v>
      </c>
      <c r="CA72" s="84">
        <f t="shared" ref="CA72" si="537">CA54/BW54-1</f>
        <v>0.17012879165345529</v>
      </c>
      <c r="CB72" s="84">
        <f t="shared" ref="CB72" si="538">CB54/BX54-1</f>
        <v>0.37876130546640852</v>
      </c>
      <c r="CC72" s="84">
        <f t="shared" ref="CC72" si="539">CC54/BY54-1</f>
        <v>0.21655816533429273</v>
      </c>
      <c r="CD72" s="84">
        <f t="shared" ref="CD72" si="540">CD54/BZ54-1</f>
        <v>-3.5266549502050437E-2</v>
      </c>
      <c r="CE72" s="84">
        <f t="shared" ref="CE72" si="541">CE54/CA54-1</f>
        <v>-2.221950344651169E-2</v>
      </c>
      <c r="CF72" s="84">
        <f t="shared" ref="CF72" si="542">CF54/CB54-1</f>
        <v>-4.9484578087438447E-2</v>
      </c>
      <c r="CG72" s="84">
        <f t="shared" ref="CG72" si="543">CG54/CC54-1</f>
        <v>0.10577398615232458</v>
      </c>
      <c r="CH72" s="84">
        <f t="shared" ref="CH72" si="544">CH54/CD54-1</f>
        <v>0.17133039996044896</v>
      </c>
      <c r="CI72" s="84">
        <f t="shared" ref="CI72" si="545">CI54/CE54-1</f>
        <v>0.17823705057144257</v>
      </c>
      <c r="CJ72" s="84">
        <f t="shared" ref="CJ72" si="546">CJ54/CF54-1</f>
        <v>6.1142393861393973E-2</v>
      </c>
      <c r="CK72" s="84">
        <f t="shared" ref="CK72" si="547">CK54/CG54-1</f>
        <v>1.3574893855540449E-2</v>
      </c>
      <c r="CL72" s="84">
        <f t="shared" ref="CL72" si="548">CL54/CH54-1</f>
        <v>-4.6233308138070028E-2</v>
      </c>
      <c r="CM72" s="84">
        <f t="shared" ref="CM72" si="549">CM54/CI54-1</f>
        <v>-0.22858730439718233</v>
      </c>
      <c r="CN72" s="84">
        <f t="shared" ref="CN72" si="550">CN54/CJ54-1</f>
        <v>6.3326653306613245E-2</v>
      </c>
      <c r="CO72" s="84">
        <f t="shared" ref="CO72" si="551">CO54/CK54-1</f>
        <v>-3.3695652173913015E-2</v>
      </c>
      <c r="CP72" s="84">
        <f t="shared" ref="CP72" si="552">CP54/CL54-1</f>
        <v>0.15677077674684314</v>
      </c>
      <c r="CQ72" s="84">
        <f t="shared" ref="CQ72:CU72" si="553">CQ54/CM54-1</f>
        <v>2.4883734863065499E-2</v>
      </c>
      <c r="CR72" s="84">
        <f t="shared" si="553"/>
        <v>-2.5726812947780786E-2</v>
      </c>
      <c r="CS72" s="84">
        <f t="shared" si="553"/>
        <v>0.11544128939602083</v>
      </c>
      <c r="CT72" s="84">
        <f t="shared" si="553"/>
        <v>9.5706949703476818E-2</v>
      </c>
      <c r="CU72" s="84">
        <f t="shared" si="553"/>
        <v>0.27703088738208903</v>
      </c>
      <c r="CV72" s="123"/>
      <c r="CW72" s="123"/>
      <c r="CX72" s="123"/>
      <c r="CY72" s="123"/>
      <c r="CZ72" s="125"/>
      <c r="DA72" s="125"/>
      <c r="DB72" s="84" t="e">
        <f t="shared" ref="DB72:DD72" si="554">DB54/DA54-1</f>
        <v>#DIV/0!</v>
      </c>
      <c r="DC72" s="84" t="e">
        <f t="shared" si="554"/>
        <v>#DIV/0!</v>
      </c>
      <c r="DD72" s="84" t="e">
        <f t="shared" si="554"/>
        <v>#DIV/0!</v>
      </c>
      <c r="DE72" s="84">
        <f t="shared" ref="DE72:DO72" si="555">DE54/DD54-1</f>
        <v>0.26701917739538361</v>
      </c>
      <c r="DF72" s="84">
        <f t="shared" si="555"/>
        <v>0.33828294048392737</v>
      </c>
      <c r="DG72" s="84">
        <f t="shared" si="555"/>
        <v>0.21813114811207313</v>
      </c>
      <c r="DH72" s="84">
        <f t="shared" si="555"/>
        <v>0.11102054056558952</v>
      </c>
      <c r="DI72" s="84">
        <f t="shared" si="555"/>
        <v>5.1191925834915386E-2</v>
      </c>
      <c r="DJ72" s="84">
        <f t="shared" si="555"/>
        <v>1.1322755736316026E-2</v>
      </c>
      <c r="DK72" s="84">
        <f t="shared" si="555"/>
        <v>0.13154322004821117</v>
      </c>
      <c r="DL72" s="84">
        <f t="shared" si="555"/>
        <v>-4.3126758618101557E-2</v>
      </c>
      <c r="DM72" s="84">
        <f t="shared" si="555"/>
        <v>-0.25608591455461116</v>
      </c>
      <c r="DN72" s="84">
        <f t="shared" si="555"/>
        <v>4.2603253086398896E-2</v>
      </c>
      <c r="DO72" s="84">
        <f t="shared" si="555"/>
        <v>-9.1568895282984064E-2</v>
      </c>
      <c r="DP72" s="125"/>
      <c r="DQ72" s="125"/>
      <c r="DR72" s="125"/>
      <c r="DS72" s="125"/>
      <c r="DT72" s="125"/>
      <c r="DU72" s="125"/>
      <c r="DV72" s="125"/>
      <c r="DW72" s="125"/>
      <c r="DX72" s="125"/>
      <c r="DY72" s="125"/>
      <c r="DZ72" s="125"/>
      <c r="EA72" s="125"/>
      <c r="EB72" s="125"/>
      <c r="EC72" s="125"/>
      <c r="ED72" s="125"/>
      <c r="EE72" s="125"/>
      <c r="EF72" s="125"/>
      <c r="EG72" s="125"/>
      <c r="EH72" s="125"/>
      <c r="EI72" s="125"/>
      <c r="EJ72" s="125"/>
    </row>
    <row r="73" spans="2:145">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I73" s="114"/>
      <c r="CJ73" s="114"/>
      <c r="CK73" s="114"/>
      <c r="CL73" s="114"/>
      <c r="CZ73" s="125"/>
      <c r="DA73" s="125"/>
      <c r="DB73" s="125"/>
      <c r="DC73" s="125"/>
      <c r="DD73" s="125"/>
      <c r="DE73" s="125"/>
      <c r="DF73" s="125"/>
      <c r="DG73" s="125"/>
      <c r="DH73" s="125"/>
      <c r="DP73" s="125"/>
      <c r="DQ73" s="125"/>
      <c r="DR73" s="125"/>
      <c r="DS73" s="125"/>
      <c r="DT73" s="125"/>
      <c r="DU73" s="125"/>
      <c r="DV73" s="125"/>
      <c r="DW73" s="125"/>
      <c r="DX73" s="125"/>
      <c r="DY73" s="125"/>
      <c r="DZ73" s="125"/>
      <c r="EA73" s="125"/>
      <c r="EB73" s="125"/>
      <c r="EC73" s="125"/>
      <c r="ED73" s="125"/>
      <c r="EE73" s="125"/>
      <c r="EF73" s="125"/>
      <c r="EG73" s="125"/>
      <c r="EH73" s="125"/>
      <c r="EI73" s="125"/>
      <c r="EJ73" s="125"/>
    </row>
    <row r="74" spans="2:145">
      <c r="B74" s="4" t="s">
        <v>379</v>
      </c>
      <c r="F74" s="67">
        <f>F75+F76-F89-F92-F93</f>
        <v>2339.2999999999997</v>
      </c>
      <c r="I74" s="67">
        <f t="shared" ref="I74:AB74" si="556">I75+I76-I89-I92-I93</f>
        <v>879.5</v>
      </c>
      <c r="J74" s="67">
        <f t="shared" si="556"/>
        <v>1616.1999999999998</v>
      </c>
      <c r="K74" s="67">
        <f t="shared" si="556"/>
        <v>1701.3000000000002</v>
      </c>
      <c r="L74" s="67">
        <f t="shared" si="556"/>
        <v>1493.3000000000002</v>
      </c>
      <c r="M74" s="67">
        <f t="shared" si="556"/>
        <v>1953.1999999999998</v>
      </c>
      <c r="N74" s="67">
        <f t="shared" si="556"/>
        <v>2043</v>
      </c>
      <c r="O74" s="67">
        <f t="shared" si="556"/>
        <v>1421.5000000000005</v>
      </c>
      <c r="P74" s="67">
        <f t="shared" si="556"/>
        <v>1166.1000000000004</v>
      </c>
      <c r="Q74" s="67">
        <f t="shared" si="556"/>
        <v>734</v>
      </c>
      <c r="R74" s="67">
        <f t="shared" si="556"/>
        <v>698</v>
      </c>
      <c r="S74" s="67">
        <f t="shared" si="556"/>
        <v>93</v>
      </c>
      <c r="T74" s="67">
        <f t="shared" si="556"/>
        <v>493</v>
      </c>
      <c r="U74" s="67">
        <f t="shared" si="556"/>
        <v>1599</v>
      </c>
      <c r="V74" s="67">
        <f t="shared" si="556"/>
        <v>1298</v>
      </c>
      <c r="W74" s="67">
        <f t="shared" si="556"/>
        <v>-1814</v>
      </c>
      <c r="X74" s="67">
        <f t="shared" si="556"/>
        <v>-4030</v>
      </c>
      <c r="Y74" s="67">
        <f t="shared" si="556"/>
        <v>-3225</v>
      </c>
      <c r="Z74" s="67">
        <f t="shared" si="556"/>
        <v>-2735</v>
      </c>
      <c r="AA74" s="67">
        <f t="shared" si="556"/>
        <v>-2477</v>
      </c>
      <c r="AB74" s="67">
        <f t="shared" si="556"/>
        <v>-5906</v>
      </c>
      <c r="AG74" s="67">
        <v>-1419</v>
      </c>
      <c r="AH74" s="67">
        <f>AG74+AH53</f>
        <v>-295</v>
      </c>
      <c r="AI74" s="67"/>
      <c r="AJ74" s="67"/>
      <c r="AK74" s="67"/>
      <c r="AL74" s="67"/>
      <c r="AM74" s="67"/>
      <c r="AN74" s="67"/>
      <c r="AO74" s="67"/>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7"/>
      <c r="CF74" s="117"/>
      <c r="CG74" s="117"/>
      <c r="CH74" s="117"/>
      <c r="CI74" s="117"/>
      <c r="CJ74" s="117"/>
      <c r="CK74" s="117"/>
      <c r="CL74" s="117"/>
      <c r="CM74" s="117">
        <f>+CM75-CM93</f>
        <v>-30034</v>
      </c>
      <c r="CN74" s="117">
        <f t="shared" ref="CN74" si="557">+CN75-CN93</f>
        <v>-27296</v>
      </c>
      <c r="CO74" s="117">
        <f t="shared" ref="CO74" si="558">+CO75-CO93</f>
        <v>-25727</v>
      </c>
      <c r="CP74" s="117">
        <f t="shared" ref="CP74" si="559">+CP75-CP93</f>
        <v>-53669</v>
      </c>
      <c r="CQ74" s="117">
        <f>+CQ75-CQ93</f>
        <v>-54312</v>
      </c>
      <c r="CR74" s="117">
        <f>+CR75-CR93</f>
        <v>-53344</v>
      </c>
      <c r="CS74" s="117">
        <f>+CS75-CS93</f>
        <v>-51387</v>
      </c>
      <c r="CT74" s="117">
        <f>+CT75-CT93</f>
        <v>-48126</v>
      </c>
      <c r="CU74" s="117">
        <f>+CU75-CU93</f>
        <v>-48571</v>
      </c>
      <c r="CV74" s="117"/>
      <c r="CW74" s="117"/>
      <c r="CX74" s="117"/>
      <c r="CY74" s="117"/>
      <c r="CZ74" s="125"/>
      <c r="DA74" s="125"/>
      <c r="DB74" s="125"/>
      <c r="DC74" s="125"/>
      <c r="DD74" s="125"/>
      <c r="DE74" s="125"/>
      <c r="DF74" s="125"/>
      <c r="DG74" s="125"/>
      <c r="DH74" s="125"/>
      <c r="DI74" s="67">
        <f>AH74</f>
        <v>-295</v>
      </c>
      <c r="DJ74" s="67">
        <f t="shared" ref="DJ74:DT74" si="560">DI74+DJ53</f>
        <v>4404.91</v>
      </c>
      <c r="DK74" s="67">
        <f t="shared" si="560"/>
        <v>9428.91</v>
      </c>
      <c r="DL74" s="67">
        <f t="shared" si="560"/>
        <v>13973.456999999999</v>
      </c>
      <c r="DM74" s="67">
        <f t="shared" si="560"/>
        <v>16887.259875299998</v>
      </c>
      <c r="DN74" s="67">
        <f t="shared" si="560"/>
        <v>19843.093735814869</v>
      </c>
      <c r="DO74" s="67">
        <f t="shared" si="560"/>
        <v>22544.937788077805</v>
      </c>
      <c r="DP74" s="67">
        <f t="shared" si="560"/>
        <v>24700.647977628618</v>
      </c>
      <c r="DQ74" s="67">
        <f t="shared" si="560"/>
        <v>26713.964907026882</v>
      </c>
      <c r="DR74" s="67">
        <f t="shared" si="560"/>
        <v>33349.561729792396</v>
      </c>
      <c r="DS74" s="67">
        <f t="shared" si="560"/>
        <v>39888.561729792396</v>
      </c>
      <c r="DT74" s="67">
        <f t="shared" si="560"/>
        <v>48697.561729792396</v>
      </c>
      <c r="DZ74" s="71">
        <v>0</v>
      </c>
      <c r="EA74" s="67">
        <f t="shared" ref="EA74:EJ74" si="561">+DZ74+EA53</f>
        <v>16934.065200000001</v>
      </c>
      <c r="EB74" s="67">
        <f t="shared" si="561"/>
        <v>34260.977377600007</v>
      </c>
      <c r="EC74" s="67">
        <f t="shared" si="561"/>
        <v>51767.50089778081</v>
      </c>
      <c r="ED74" s="67">
        <f t="shared" si="561"/>
        <v>69480.566336554664</v>
      </c>
      <c r="EE74" s="67">
        <f t="shared" si="561"/>
        <v>87504.024983061827</v>
      </c>
      <c r="EF74" s="67">
        <f t="shared" si="561"/>
        <v>106086.84610474028</v>
      </c>
      <c r="EG74" s="67">
        <f t="shared" si="561"/>
        <v>125257.99961474258</v>
      </c>
      <c r="EH74" s="67">
        <f t="shared" si="561"/>
        <v>145288.83984969</v>
      </c>
      <c r="EI74" s="67">
        <f t="shared" si="561"/>
        <v>166370.72534217901</v>
      </c>
      <c r="EJ74" s="67">
        <f t="shared" si="561"/>
        <v>183128.05097414984</v>
      </c>
    </row>
    <row r="75" spans="2:145">
      <c r="B75" s="4" t="s">
        <v>62</v>
      </c>
      <c r="F75" s="67">
        <v>689.1</v>
      </c>
      <c r="I75" s="67">
        <v>1158.7</v>
      </c>
      <c r="J75" s="67">
        <v>4663.8999999999996</v>
      </c>
      <c r="K75" s="67">
        <v>4757</v>
      </c>
      <c r="L75" s="67">
        <v>1851.7</v>
      </c>
      <c r="M75" s="67">
        <v>5025</v>
      </c>
      <c r="N75" s="67">
        <v>5123</v>
      </c>
      <c r="O75" s="67">
        <v>4509.1000000000004</v>
      </c>
      <c r="P75" s="67">
        <f>4261.8</f>
        <v>4261.8</v>
      </c>
      <c r="Q75" s="67">
        <v>986</v>
      </c>
      <c r="R75" s="67">
        <v>1526</v>
      </c>
      <c r="S75" s="67">
        <v>1183</v>
      </c>
      <c r="T75" s="67">
        <v>1621</v>
      </c>
      <c r="U75" s="67">
        <v>2151</v>
      </c>
      <c r="V75" s="67">
        <v>1840</v>
      </c>
      <c r="W75" s="67">
        <f>1747+2100</f>
        <v>3847</v>
      </c>
      <c r="X75" s="67">
        <v>1947</v>
      </c>
      <c r="Y75" s="67">
        <v>1291</v>
      </c>
      <c r="Z75" s="67">
        <v>1283</v>
      </c>
      <c r="AA75" s="67">
        <v>1067</v>
      </c>
      <c r="AB75" s="67">
        <v>5306</v>
      </c>
      <c r="AM75" s="67">
        <v>2266</v>
      </c>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67">
        <f>3358+35040</f>
        <v>38398</v>
      </c>
      <c r="BP75" s="67">
        <f>2629+36598</f>
        <v>39227</v>
      </c>
      <c r="BQ75" s="117"/>
      <c r="BR75" s="114"/>
      <c r="BS75" s="114"/>
      <c r="BT75" s="114"/>
      <c r="BU75" s="114"/>
      <c r="BV75" s="114"/>
      <c r="BW75" s="114"/>
      <c r="BX75" s="114"/>
      <c r="BY75" s="114"/>
      <c r="BZ75" s="114"/>
      <c r="CA75" s="114"/>
      <c r="CB75" s="114"/>
      <c r="CC75" s="114"/>
      <c r="CD75" s="114"/>
      <c r="CE75" s="114"/>
      <c r="CF75" s="114"/>
      <c r="CG75" s="114"/>
      <c r="CH75" s="114"/>
      <c r="CI75" s="114"/>
      <c r="CJ75" s="114"/>
      <c r="CK75" s="114"/>
      <c r="CL75" s="114"/>
      <c r="CM75" s="117">
        <v>31561</v>
      </c>
      <c r="CN75" s="117">
        <v>34248</v>
      </c>
      <c r="CO75" s="117">
        <v>34741</v>
      </c>
      <c r="CP75" s="117">
        <v>10944</v>
      </c>
      <c r="CQ75" s="117">
        <v>9708</v>
      </c>
      <c r="CR75" s="117">
        <v>9301</v>
      </c>
      <c r="CS75" s="117">
        <v>9011</v>
      </c>
      <c r="CT75" s="117">
        <v>11973</v>
      </c>
      <c r="CU75" s="117">
        <v>8810</v>
      </c>
      <c r="CZ75" s="125"/>
      <c r="DA75" s="125"/>
      <c r="DB75" s="125"/>
      <c r="DC75" s="125"/>
      <c r="DD75" s="125"/>
      <c r="DE75" s="125"/>
      <c r="DF75" s="125"/>
      <c r="DG75" s="125"/>
      <c r="DH75" s="125"/>
    </row>
    <row r="76" spans="2:145">
      <c r="B76" s="4" t="s">
        <v>63</v>
      </c>
      <c r="F76" s="67">
        <v>1973.1</v>
      </c>
      <c r="I76" s="67">
        <v>2883.5</v>
      </c>
      <c r="J76" s="67"/>
      <c r="K76" s="67"/>
      <c r="L76" s="67">
        <v>2812.2</v>
      </c>
      <c r="M76" s="67"/>
      <c r="N76" s="67"/>
      <c r="O76" s="67"/>
      <c r="P76" s="67"/>
      <c r="Q76" s="67">
        <v>2852</v>
      </c>
      <c r="R76" s="67">
        <v>4282</v>
      </c>
      <c r="S76" s="67">
        <v>2852</v>
      </c>
      <c r="T76" s="67">
        <v>2819</v>
      </c>
      <c r="U76" s="67">
        <v>3400</v>
      </c>
      <c r="V76" s="67">
        <v>3415</v>
      </c>
      <c r="W76" s="67">
        <v>3300</v>
      </c>
      <c r="X76" s="67">
        <v>3023</v>
      </c>
      <c r="Y76" s="67">
        <v>4490</v>
      </c>
      <c r="Z76" s="67">
        <v>4994</v>
      </c>
      <c r="AA76" s="67">
        <v>3770</v>
      </c>
      <c r="AM76" s="67">
        <v>11851</v>
      </c>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7"/>
      <c r="BP76" s="117"/>
      <c r="BQ76" s="117"/>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7"/>
      <c r="CN76" s="117"/>
      <c r="CO76" s="117"/>
      <c r="CP76" s="117"/>
      <c r="CQ76" s="117"/>
      <c r="CR76" s="117"/>
      <c r="CS76" s="117"/>
      <c r="CT76" s="117"/>
      <c r="CU76" s="117"/>
      <c r="CZ76" s="125"/>
      <c r="DA76" s="125"/>
      <c r="DB76" s="125"/>
      <c r="DC76" s="125"/>
      <c r="DD76" s="125"/>
      <c r="DE76" s="125"/>
      <c r="DF76" s="125"/>
      <c r="DG76" s="125"/>
      <c r="DH76" s="125"/>
    </row>
    <row r="77" spans="2:145">
      <c r="B77" s="4" t="s">
        <v>64</v>
      </c>
      <c r="F77" s="67">
        <v>497.2</v>
      </c>
      <c r="I77" s="67">
        <v>622.20000000000005</v>
      </c>
      <c r="J77" s="67">
        <v>752.4</v>
      </c>
      <c r="K77" s="67">
        <v>845.2</v>
      </c>
      <c r="L77" s="67">
        <v>752.4</v>
      </c>
      <c r="M77" s="67">
        <v>1001.4</v>
      </c>
      <c r="N77" s="67">
        <v>1008</v>
      </c>
      <c r="O77" s="67">
        <v>1195.2</v>
      </c>
      <c r="P77" s="67">
        <v>1281.2</v>
      </c>
      <c r="Q77" s="67">
        <v>1413</v>
      </c>
      <c r="R77" s="67">
        <v>1461</v>
      </c>
      <c r="S77" s="67">
        <v>1584</v>
      </c>
      <c r="T77" s="67">
        <v>1707</v>
      </c>
      <c r="U77" s="67">
        <v>1664</v>
      </c>
      <c r="V77" s="67">
        <v>1769</v>
      </c>
      <c r="W77" s="67">
        <v>1794</v>
      </c>
      <c r="X77" s="67">
        <v>2018</v>
      </c>
      <c r="Y77" s="67">
        <v>2124</v>
      </c>
      <c r="Z77" s="67">
        <v>2124</v>
      </c>
      <c r="AA77" s="67">
        <v>2157</v>
      </c>
      <c r="AM77" s="67">
        <v>2271</v>
      </c>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67">
        <v>3248</v>
      </c>
      <c r="BP77" s="67">
        <v>3560</v>
      </c>
      <c r="BQ77" s="117"/>
      <c r="BR77" s="114"/>
      <c r="BS77" s="114"/>
      <c r="BT77" s="114"/>
      <c r="BU77" s="114"/>
      <c r="BV77" s="114"/>
      <c r="BW77" s="114"/>
      <c r="BX77" s="114"/>
      <c r="BY77" s="114"/>
      <c r="BZ77" s="114"/>
      <c r="CA77" s="114"/>
      <c r="CB77" s="114"/>
      <c r="CC77" s="114"/>
      <c r="CD77" s="114"/>
      <c r="CE77" s="114"/>
      <c r="CF77" s="114"/>
      <c r="CG77" s="114"/>
      <c r="CH77" s="114"/>
      <c r="CI77" s="114"/>
      <c r="CJ77" s="114"/>
      <c r="CK77" s="114"/>
      <c r="CL77" s="114"/>
      <c r="CM77" s="117">
        <v>5736</v>
      </c>
      <c r="CN77" s="117">
        <v>5830</v>
      </c>
      <c r="CO77" s="117">
        <v>6145</v>
      </c>
      <c r="CP77" s="117">
        <v>7268</v>
      </c>
      <c r="CQ77" s="117">
        <v>6776</v>
      </c>
      <c r="CR77" s="117">
        <v>6934</v>
      </c>
      <c r="CS77" s="117">
        <v>7317</v>
      </c>
      <c r="CT77" s="117">
        <v>6782</v>
      </c>
      <c r="CU77" s="117">
        <v>8132</v>
      </c>
      <c r="CZ77" s="125"/>
    </row>
    <row r="78" spans="2:145" s="14" customFormat="1">
      <c r="B78" s="14" t="s">
        <v>370</v>
      </c>
      <c r="C78" s="89"/>
      <c r="D78" s="89"/>
      <c r="E78" s="89"/>
      <c r="F78" s="75">
        <f>(F77/F43)*91.25</f>
        <v>47.161642411642411</v>
      </c>
      <c r="G78" s="89"/>
      <c r="H78" s="89"/>
      <c r="I78" s="75">
        <f t="shared" ref="I78:AA78" si="562">(I77/I43)*91.25</f>
        <v>37.868171813512973</v>
      </c>
      <c r="J78" s="75">
        <f t="shared" si="562"/>
        <v>38.874639035162218</v>
      </c>
      <c r="K78" s="75">
        <f t="shared" si="562"/>
        <v>43.788394935558969</v>
      </c>
      <c r="L78" s="75">
        <f t="shared" si="562"/>
        <v>33.637009455685664</v>
      </c>
      <c r="M78" s="75">
        <f t="shared" si="562"/>
        <v>41.381102255230509</v>
      </c>
      <c r="N78" s="75">
        <f t="shared" si="562"/>
        <v>39.197136282280752</v>
      </c>
      <c r="O78" s="75">
        <f t="shared" si="562"/>
        <v>46.550002134107309</v>
      </c>
      <c r="P78" s="75">
        <f t="shared" si="562"/>
        <v>45.233111506616112</v>
      </c>
      <c r="Q78" s="75">
        <f t="shared" si="562"/>
        <v>47.525340950976783</v>
      </c>
      <c r="R78" s="75">
        <f t="shared" si="562"/>
        <v>45.828893090409075</v>
      </c>
      <c r="S78" s="75">
        <f t="shared" si="562"/>
        <v>51.020120014119314</v>
      </c>
      <c r="T78" s="75">
        <f t="shared" si="562"/>
        <v>49.105848045397231</v>
      </c>
      <c r="U78" s="75">
        <f t="shared" si="562"/>
        <v>48.142041851616987</v>
      </c>
      <c r="V78" s="75">
        <f t="shared" si="562"/>
        <v>49.34920513604402</v>
      </c>
      <c r="W78" s="75">
        <f t="shared" si="562"/>
        <v>50.886695679204223</v>
      </c>
      <c r="X78" s="75">
        <f t="shared" si="562"/>
        <v>51.093923418423977</v>
      </c>
      <c r="Y78" s="75">
        <f t="shared" si="562"/>
        <v>53.658637873754152</v>
      </c>
      <c r="Z78" s="75">
        <f t="shared" si="562"/>
        <v>50.53846153846154</v>
      </c>
      <c r="AA78" s="75">
        <f t="shared" si="562"/>
        <v>53.383848657445078</v>
      </c>
      <c r="AB78" s="89"/>
      <c r="AC78" s="89"/>
      <c r="AD78" s="89"/>
      <c r="AE78" s="89"/>
      <c r="AF78" s="89"/>
      <c r="AG78" s="89"/>
      <c r="AH78" s="89"/>
      <c r="AI78" s="89"/>
      <c r="AJ78" s="89"/>
      <c r="AK78" s="89"/>
      <c r="AL78" s="89"/>
      <c r="AM78" s="75">
        <f>(AM77/AM43)*91.25</f>
        <v>57.691745545657014</v>
      </c>
      <c r="AN78" s="89"/>
      <c r="AO78" s="89"/>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75"/>
      <c r="BP78" s="75"/>
      <c r="BQ78" s="117"/>
      <c r="BR78" s="114"/>
      <c r="BS78" s="114"/>
      <c r="BT78" s="114"/>
      <c r="BU78" s="114"/>
      <c r="BV78" s="114"/>
      <c r="BW78" s="114"/>
      <c r="BX78" s="114"/>
      <c r="BY78" s="114"/>
      <c r="BZ78" s="114"/>
      <c r="CA78" s="114"/>
      <c r="CB78" s="114"/>
      <c r="CC78" s="114"/>
      <c r="CD78" s="114"/>
      <c r="CE78" s="126"/>
      <c r="CF78" s="126"/>
      <c r="CG78" s="126"/>
      <c r="CH78" s="126"/>
      <c r="CI78" s="126"/>
      <c r="CJ78" s="126"/>
      <c r="CK78" s="126"/>
      <c r="CL78" s="126"/>
      <c r="CM78" s="119"/>
      <c r="CN78" s="119"/>
      <c r="CO78" s="119"/>
      <c r="CP78" s="119"/>
      <c r="CQ78" s="119"/>
      <c r="CR78" s="119"/>
      <c r="CS78" s="119"/>
      <c r="CT78" s="119"/>
      <c r="CU78" s="119"/>
      <c r="CV78" s="126"/>
      <c r="CW78" s="126"/>
      <c r="CX78" s="126"/>
      <c r="CY78" s="126"/>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9"/>
      <c r="DZ78" s="89"/>
      <c r="EA78" s="89"/>
      <c r="EB78" s="89"/>
      <c r="EC78" s="89"/>
      <c r="ED78" s="89"/>
      <c r="EE78" s="89"/>
    </row>
    <row r="79" spans="2:145">
      <c r="B79" s="4" t="s">
        <v>363</v>
      </c>
      <c r="F79" s="67">
        <v>355.6</v>
      </c>
      <c r="I79" s="67">
        <v>526.5</v>
      </c>
      <c r="J79" s="67">
        <v>544.9</v>
      </c>
      <c r="K79" s="67">
        <v>582.70000000000005</v>
      </c>
      <c r="L79" s="67">
        <v>544.9</v>
      </c>
      <c r="M79" s="67">
        <v>684.8</v>
      </c>
      <c r="N79" s="67">
        <v>713</v>
      </c>
      <c r="O79" s="67">
        <v>736.7</v>
      </c>
      <c r="P79" s="67">
        <v>725.1</v>
      </c>
      <c r="Q79" s="67">
        <v>716</v>
      </c>
      <c r="R79" s="67">
        <v>888</v>
      </c>
      <c r="S79" s="67">
        <v>932</v>
      </c>
      <c r="T79" s="67">
        <v>984</v>
      </c>
      <c r="U79" s="67">
        <v>1059</v>
      </c>
      <c r="V79" s="67">
        <v>1258</v>
      </c>
      <c r="W79" s="67">
        <v>1273</v>
      </c>
      <c r="X79" s="67">
        <v>1520</v>
      </c>
      <c r="Y79" s="67">
        <v>1711</v>
      </c>
      <c r="Z79" s="67">
        <v>1903</v>
      </c>
      <c r="AA79" s="67">
        <v>2115</v>
      </c>
      <c r="AM79" s="74">
        <v>2202</v>
      </c>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67">
        <v>2871</v>
      </c>
      <c r="BP79" s="67">
        <v>2961</v>
      </c>
      <c r="BQ79" s="117"/>
      <c r="BR79" s="114"/>
      <c r="BS79" s="114"/>
      <c r="BT79" s="114"/>
      <c r="BU79" s="114"/>
      <c r="BV79" s="114"/>
      <c r="BW79" s="114"/>
      <c r="BX79" s="114"/>
      <c r="BY79" s="114"/>
      <c r="BZ79" s="114"/>
      <c r="CA79" s="114"/>
      <c r="CB79" s="114"/>
      <c r="CC79" s="114"/>
      <c r="CD79" s="114"/>
      <c r="CE79" s="114"/>
      <c r="CF79" s="114"/>
      <c r="CG79" s="114"/>
      <c r="CH79" s="114"/>
      <c r="CI79" s="114"/>
      <c r="CJ79" s="114"/>
      <c r="CK79" s="114"/>
      <c r="CL79" s="114"/>
      <c r="CM79" s="117">
        <v>5011</v>
      </c>
      <c r="CN79" s="117">
        <v>4978</v>
      </c>
      <c r="CO79" s="117">
        <v>5026</v>
      </c>
      <c r="CP79" s="117">
        <v>9518</v>
      </c>
      <c r="CQ79" s="117">
        <v>8724</v>
      </c>
      <c r="CR79" s="117">
        <v>7995</v>
      </c>
      <c r="CS79" s="117">
        <v>7362</v>
      </c>
      <c r="CT79" s="117">
        <v>6998</v>
      </c>
      <c r="CU79" s="117">
        <v>6729</v>
      </c>
    </row>
    <row r="80" spans="2:145">
      <c r="B80" s="4" t="s">
        <v>364</v>
      </c>
      <c r="F80" s="67">
        <v>343.6</v>
      </c>
      <c r="I80" s="67">
        <v>633.5</v>
      </c>
      <c r="J80" s="67">
        <v>442.3</v>
      </c>
      <c r="K80" s="67">
        <v>471</v>
      </c>
      <c r="L80" s="67">
        <v>442.3</v>
      </c>
      <c r="M80" s="67">
        <v>582.79999999999995</v>
      </c>
      <c r="N80" s="67">
        <v>558</v>
      </c>
      <c r="O80" s="67">
        <v>494.4</v>
      </c>
      <c r="P80" s="67">
        <v>568</v>
      </c>
      <c r="Q80" s="67">
        <v>808</v>
      </c>
      <c r="R80" s="67">
        <v>1013</v>
      </c>
      <c r="S80" s="67">
        <v>873</v>
      </c>
      <c r="T80" s="67">
        <v>894</v>
      </c>
      <c r="U80" s="67">
        <v>919</v>
      </c>
      <c r="V80" s="67">
        <v>953</v>
      </c>
      <c r="W80" s="67">
        <v>943</v>
      </c>
      <c r="X80" s="67">
        <v>995</v>
      </c>
      <c r="Y80" s="67">
        <v>1040</v>
      </c>
      <c r="Z80" s="67">
        <v>1408</v>
      </c>
      <c r="AA80" s="67">
        <v>1418</v>
      </c>
      <c r="AM80" s="67">
        <v>1219</v>
      </c>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67">
        <v>1939</v>
      </c>
      <c r="BP80" s="67">
        <v>2694</v>
      </c>
      <c r="BQ80" s="117"/>
      <c r="BR80" s="114"/>
      <c r="BS80" s="114"/>
      <c r="BT80" s="114"/>
      <c r="BU80" s="114"/>
      <c r="BV80" s="114"/>
      <c r="BW80" s="114"/>
      <c r="BX80" s="114"/>
      <c r="BY80" s="114"/>
      <c r="BZ80" s="114"/>
      <c r="CA80" s="114"/>
      <c r="CB80" s="114"/>
      <c r="CC80" s="114"/>
      <c r="CD80" s="114"/>
      <c r="CE80" s="114"/>
      <c r="CF80" s="114"/>
      <c r="CG80" s="114"/>
      <c r="CH80" s="114"/>
      <c r="CI80" s="114"/>
      <c r="CJ80" s="114"/>
      <c r="CK80" s="114"/>
      <c r="CL80" s="114"/>
      <c r="CM80" s="117">
        <v>2395</v>
      </c>
      <c r="CN80" s="117">
        <v>2324</v>
      </c>
      <c r="CO80" s="117">
        <v>2565</v>
      </c>
      <c r="CP80" s="117">
        <v>2602</v>
      </c>
      <c r="CQ80" s="117">
        <v>2821</v>
      </c>
      <c r="CR80" s="117">
        <v>2976</v>
      </c>
      <c r="CS80" s="117">
        <v>3076</v>
      </c>
      <c r="CT80" s="117">
        <v>3277</v>
      </c>
      <c r="CU80" s="117">
        <v>3258</v>
      </c>
    </row>
    <row r="81" spans="2:99">
      <c r="B81" s="4" t="s">
        <v>365</v>
      </c>
      <c r="F81" s="67">
        <f>F75+F76+F77+F79+F80</f>
        <v>3858.5999999999995</v>
      </c>
      <c r="I81" s="67">
        <f t="shared" ref="I81:AA81" si="563">I75+I76+I77+I79+I80</f>
        <v>5824.4</v>
      </c>
      <c r="J81" s="67">
        <f t="shared" si="563"/>
        <v>6403.4999999999991</v>
      </c>
      <c r="K81" s="67">
        <f t="shared" si="563"/>
        <v>6655.9</v>
      </c>
      <c r="L81" s="67">
        <f t="shared" si="563"/>
        <v>6403.4999999999991</v>
      </c>
      <c r="M81" s="67">
        <f t="shared" si="563"/>
        <v>7294</v>
      </c>
      <c r="N81" s="67">
        <f t="shared" si="563"/>
        <v>7402</v>
      </c>
      <c r="O81" s="67">
        <f t="shared" si="563"/>
        <v>6935.4</v>
      </c>
      <c r="P81" s="67">
        <f t="shared" si="563"/>
        <v>6836.1</v>
      </c>
      <c r="Q81" s="67">
        <f t="shared" si="563"/>
        <v>6775</v>
      </c>
      <c r="R81" s="67">
        <f t="shared" si="563"/>
        <v>9170</v>
      </c>
      <c r="S81" s="67">
        <f t="shared" si="563"/>
        <v>7424</v>
      </c>
      <c r="T81" s="67">
        <f t="shared" si="563"/>
        <v>8025</v>
      </c>
      <c r="U81" s="67">
        <f t="shared" si="563"/>
        <v>9193</v>
      </c>
      <c r="V81" s="67">
        <f t="shared" si="563"/>
        <v>9235</v>
      </c>
      <c r="W81" s="67">
        <f t="shared" si="563"/>
        <v>11157</v>
      </c>
      <c r="X81" s="67">
        <f t="shared" si="563"/>
        <v>9503</v>
      </c>
      <c r="Y81" s="67">
        <f t="shared" si="563"/>
        <v>10656</v>
      </c>
      <c r="Z81" s="67">
        <f t="shared" si="563"/>
        <v>11712</v>
      </c>
      <c r="AA81" s="67">
        <f t="shared" si="563"/>
        <v>10527</v>
      </c>
      <c r="AM81" s="67">
        <f>AM75+AM76+AM77+AM79+AM80</f>
        <v>19809</v>
      </c>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67"/>
      <c r="BP81" s="67"/>
      <c r="BQ81" s="117"/>
      <c r="BR81" s="114"/>
      <c r="BS81" s="114"/>
      <c r="BT81" s="114"/>
      <c r="BU81" s="114"/>
      <c r="BV81" s="114"/>
      <c r="BW81" s="114"/>
      <c r="BX81" s="114"/>
      <c r="BY81" s="114"/>
      <c r="BZ81" s="114"/>
      <c r="CA81" s="114"/>
      <c r="CB81" s="114"/>
      <c r="CC81" s="114"/>
      <c r="CD81" s="114"/>
      <c r="CE81" s="114"/>
      <c r="CF81" s="114"/>
      <c r="CG81" s="114"/>
      <c r="CH81" s="114"/>
      <c r="CI81" s="114"/>
      <c r="CJ81" s="114"/>
      <c r="CK81" s="114"/>
      <c r="CL81" s="114"/>
      <c r="CM81" s="117"/>
      <c r="CN81" s="117"/>
      <c r="CO81" s="117"/>
      <c r="CP81" s="117"/>
      <c r="CQ81" s="117"/>
      <c r="CR81" s="117"/>
      <c r="CS81" s="117"/>
      <c r="CT81" s="117"/>
      <c r="CU81" s="117"/>
    </row>
    <row r="82" spans="2:99">
      <c r="B82" s="4" t="s">
        <v>366</v>
      </c>
      <c r="F82" s="67">
        <v>1946.1</v>
      </c>
      <c r="I82" s="67">
        <v>2666.2</v>
      </c>
      <c r="J82" s="67">
        <v>2813.5</v>
      </c>
      <c r="K82" s="67">
        <v>2954.2</v>
      </c>
      <c r="L82" s="67">
        <v>2813.5</v>
      </c>
      <c r="M82" s="67">
        <v>3456.7</v>
      </c>
      <c r="N82" s="67">
        <v>3799</v>
      </c>
      <c r="O82" s="67">
        <v>4086.3</v>
      </c>
      <c r="P82" s="67">
        <v>4351.2</v>
      </c>
      <c r="Q82" s="67">
        <v>4549</v>
      </c>
      <c r="R82" s="67">
        <v>4712</v>
      </c>
      <c r="S82" s="67">
        <v>4790</v>
      </c>
      <c r="T82" s="67">
        <v>4863</v>
      </c>
      <c r="U82" s="67">
        <v>4894</v>
      </c>
      <c r="V82" s="67">
        <v>5038</v>
      </c>
      <c r="W82" s="67">
        <v>5122</v>
      </c>
      <c r="X82" s="67">
        <v>5438</v>
      </c>
      <c r="Y82" s="67">
        <v>5673</v>
      </c>
      <c r="Z82" s="67">
        <v>5921</v>
      </c>
      <c r="AA82" s="67">
        <v>6027</v>
      </c>
      <c r="AM82" s="67">
        <v>5619</v>
      </c>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67">
        <v>4960</v>
      </c>
      <c r="BP82" s="67">
        <v>4980</v>
      </c>
      <c r="BQ82" s="117"/>
      <c r="BR82" s="114"/>
      <c r="BS82" s="114"/>
      <c r="BT82" s="114"/>
      <c r="BU82" s="114"/>
      <c r="BV82" s="114"/>
      <c r="BW82" s="114"/>
      <c r="BX82" s="114"/>
      <c r="BY82" s="114"/>
      <c r="BZ82" s="114"/>
      <c r="CA82" s="114"/>
      <c r="CB82" s="114"/>
      <c r="CC82" s="114"/>
      <c r="CD82" s="114"/>
      <c r="CE82" s="114"/>
      <c r="CF82" s="114"/>
      <c r="CG82" s="114"/>
      <c r="CH82" s="114"/>
      <c r="CI82" s="114"/>
      <c r="CJ82" s="114"/>
      <c r="CK82" s="114"/>
      <c r="CL82" s="114"/>
      <c r="CM82" s="117">
        <v>5460</v>
      </c>
      <c r="CN82" s="117">
        <v>5532</v>
      </c>
      <c r="CO82" s="117">
        <v>5563</v>
      </c>
      <c r="CP82" s="117">
        <v>5941</v>
      </c>
      <c r="CQ82" s="117">
        <v>6002</v>
      </c>
      <c r="CR82" s="117">
        <v>6097</v>
      </c>
      <c r="CS82" s="117">
        <v>6156</v>
      </c>
      <c r="CT82" s="117">
        <v>6543</v>
      </c>
      <c r="CU82" s="117">
        <v>6681</v>
      </c>
    </row>
    <row r="83" spans="2:99">
      <c r="B83" s="4" t="s">
        <v>367</v>
      </c>
      <c r="F83" s="67">
        <f>34.1+97.2</f>
        <v>131.30000000000001</v>
      </c>
      <c r="I83" s="67">
        <f>4904.6+9817.2</f>
        <v>14721.800000000001</v>
      </c>
      <c r="J83" s="67">
        <f>4801.9+9871.1</f>
        <v>14673</v>
      </c>
      <c r="K83" s="67">
        <f>4715.5+9873.5</f>
        <v>14589</v>
      </c>
      <c r="L83" s="67">
        <f>4801.9+9871.1</f>
        <v>14673</v>
      </c>
      <c r="M83" s="67">
        <f>4542.1+9870.7</f>
        <v>14412.800000000001</v>
      </c>
      <c r="N83" s="67">
        <f>4288+9820</f>
        <v>14108</v>
      </c>
      <c r="O83" s="67">
        <f>4408+9707</f>
        <v>14115</v>
      </c>
      <c r="P83" s="67">
        <f>4338.8+9700.4</f>
        <v>14039.2</v>
      </c>
      <c r="Q83" s="67">
        <f>4278+10437</f>
        <v>14715</v>
      </c>
      <c r="R83" s="67">
        <f>4033+10525</f>
        <v>14558</v>
      </c>
      <c r="S83" s="67">
        <f>3965+10519</f>
        <v>14484</v>
      </c>
      <c r="T83" s="67">
        <f>3872+10519</f>
        <v>14391</v>
      </c>
      <c r="U83" s="67">
        <f>3779+10496</f>
        <v>14275</v>
      </c>
      <c r="V83" s="67">
        <f>3742+10495</f>
        <v>14237</v>
      </c>
      <c r="W83" s="67">
        <f>3646+10492</f>
        <v>14138</v>
      </c>
      <c r="X83" s="67">
        <f>3965+11210</f>
        <v>15175</v>
      </c>
      <c r="Y83" s="67">
        <f>3819+11206</f>
        <v>15025</v>
      </c>
      <c r="Z83" s="67">
        <f>3747+11302</f>
        <v>15049</v>
      </c>
      <c r="AA83" s="67">
        <f>3643+11269</f>
        <v>14912</v>
      </c>
      <c r="AM83" s="67">
        <f>2462+11335</f>
        <v>13797</v>
      </c>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67">
        <f>9922+14757</f>
        <v>24679</v>
      </c>
      <c r="BP83" s="67">
        <f>9561+14766</f>
        <v>24327</v>
      </c>
      <c r="BQ83" s="117"/>
      <c r="BR83" s="114"/>
      <c r="BS83" s="114"/>
      <c r="BT83" s="114"/>
      <c r="BU83" s="114"/>
      <c r="BV83" s="114"/>
      <c r="BW83" s="114"/>
      <c r="BX83" s="114"/>
      <c r="BY83" s="114"/>
      <c r="BZ83" s="114"/>
      <c r="CA83" s="114"/>
      <c r="CB83" s="114"/>
      <c r="CC83" s="114"/>
      <c r="CD83" s="114"/>
      <c r="CE83" s="114"/>
      <c r="CF83" s="114"/>
      <c r="CG83" s="114"/>
      <c r="CH83" s="114"/>
      <c r="CI83" s="114"/>
      <c r="CJ83" s="114"/>
      <c r="CK83" s="114"/>
      <c r="CL83" s="114"/>
      <c r="CM83" s="117">
        <f>15393+15531</f>
        <v>30924</v>
      </c>
      <c r="CN83" s="117">
        <f>14633+15531</f>
        <v>30164</v>
      </c>
      <c r="CO83" s="117">
        <f>13150+15509</f>
        <v>28659</v>
      </c>
      <c r="CP83" s="117">
        <f>32641+18629</f>
        <v>51270</v>
      </c>
      <c r="CQ83" s="117">
        <f>31372+18570</f>
        <v>49942</v>
      </c>
      <c r="CR83" s="117">
        <f>30172+18616</f>
        <v>48788</v>
      </c>
      <c r="CS83" s="117">
        <f>28920+18658</f>
        <v>47578</v>
      </c>
      <c r="CT83" s="117">
        <f>27699+18637</f>
        <v>46336</v>
      </c>
      <c r="CU83" s="117">
        <f>25724+18645</f>
        <v>44369</v>
      </c>
    </row>
    <row r="84" spans="2:99">
      <c r="B84" s="4" t="s">
        <v>368</v>
      </c>
      <c r="F84" s="67">
        <v>507.1</v>
      </c>
      <c r="I84" s="67">
        <v>528.70000000000005</v>
      </c>
      <c r="J84" s="67">
        <v>566.29999999999995</v>
      </c>
      <c r="K84" s="67">
        <v>530.4</v>
      </c>
      <c r="L84" s="67">
        <v>566.29999999999995</v>
      </c>
      <c r="M84" s="67">
        <v>705.3</v>
      </c>
      <c r="N84" s="67">
        <v>804</v>
      </c>
      <c r="O84" s="67">
        <v>842.7</v>
      </c>
      <c r="P84" s="67">
        <v>833.5</v>
      </c>
      <c r="Q84" s="67">
        <v>772</v>
      </c>
      <c r="R84" s="67">
        <v>781</v>
      </c>
      <c r="S84" s="67">
        <v>722</v>
      </c>
      <c r="T84" s="67">
        <v>759</v>
      </c>
      <c r="U84" s="67">
        <v>770</v>
      </c>
      <c r="V84" s="67">
        <v>787</v>
      </c>
      <c r="W84" s="67">
        <v>898</v>
      </c>
      <c r="X84" s="67">
        <v>1172</v>
      </c>
      <c r="Y84" s="67">
        <v>1232</v>
      </c>
      <c r="Z84" s="67">
        <v>1106</v>
      </c>
      <c r="AA84" s="67">
        <v>1104</v>
      </c>
      <c r="AM84" s="67">
        <v>1141</v>
      </c>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67">
        <v>1767</v>
      </c>
      <c r="BP84" s="67">
        <v>1838</v>
      </c>
      <c r="BQ84" s="117"/>
      <c r="BR84" s="114"/>
      <c r="BS84" s="114"/>
      <c r="BT84" s="114"/>
      <c r="BU84" s="114"/>
      <c r="BV84" s="114"/>
      <c r="BW84" s="114"/>
      <c r="BX84" s="114"/>
      <c r="BY84" s="114"/>
      <c r="BZ84" s="114"/>
      <c r="CA84" s="114"/>
      <c r="CB84" s="114"/>
      <c r="CC84" s="114"/>
      <c r="CD84" s="114"/>
      <c r="CE84" s="114"/>
      <c r="CF84" s="114"/>
      <c r="CG84" s="114"/>
      <c r="CH84" s="114"/>
      <c r="CI84" s="114"/>
      <c r="CJ84" s="114"/>
      <c r="CK84" s="114"/>
      <c r="CL84" s="114"/>
      <c r="CM84" s="117">
        <v>7633</v>
      </c>
      <c r="CN84" s="117">
        <v>7193</v>
      </c>
      <c r="CO84" s="117">
        <v>7835</v>
      </c>
      <c r="CP84" s="117">
        <v>9611</v>
      </c>
      <c r="CQ84" s="117">
        <v>9007</v>
      </c>
      <c r="CR84" s="117">
        <v>8816</v>
      </c>
      <c r="CS84" s="117">
        <v>10383</v>
      </c>
      <c r="CT84" s="117">
        <v>9930</v>
      </c>
      <c r="CU84" s="117">
        <v>11388</v>
      </c>
    </row>
    <row r="85" spans="2:99">
      <c r="B85" s="4" t="s">
        <v>369</v>
      </c>
      <c r="F85" s="67">
        <f>SUM(F81:F84)</f>
        <v>6443.0999999999995</v>
      </c>
      <c r="I85" s="67">
        <f t="shared" ref="I85:AA85" si="564">SUM(I81:I84)</f>
        <v>23741.100000000002</v>
      </c>
      <c r="J85" s="67">
        <f t="shared" si="564"/>
        <v>24456.3</v>
      </c>
      <c r="K85" s="67">
        <f t="shared" si="564"/>
        <v>24729.5</v>
      </c>
      <c r="L85" s="67">
        <f t="shared" si="564"/>
        <v>24456.3</v>
      </c>
      <c r="M85" s="67">
        <f t="shared" si="564"/>
        <v>25868.799999999999</v>
      </c>
      <c r="N85" s="67">
        <f t="shared" si="564"/>
        <v>26113</v>
      </c>
      <c r="O85" s="67">
        <f t="shared" si="564"/>
        <v>25979.4</v>
      </c>
      <c r="P85" s="67">
        <f t="shared" si="564"/>
        <v>26060</v>
      </c>
      <c r="Q85" s="67">
        <f t="shared" si="564"/>
        <v>26811</v>
      </c>
      <c r="R85" s="67">
        <f t="shared" si="564"/>
        <v>29221</v>
      </c>
      <c r="S85" s="67">
        <f t="shared" si="564"/>
        <v>27420</v>
      </c>
      <c r="T85" s="67">
        <f t="shared" si="564"/>
        <v>28038</v>
      </c>
      <c r="U85" s="67">
        <f t="shared" si="564"/>
        <v>29132</v>
      </c>
      <c r="V85" s="67">
        <f t="shared" si="564"/>
        <v>29297</v>
      </c>
      <c r="W85" s="67">
        <f t="shared" si="564"/>
        <v>31315</v>
      </c>
      <c r="X85" s="67">
        <f t="shared" si="564"/>
        <v>31288</v>
      </c>
      <c r="Y85" s="67">
        <f t="shared" si="564"/>
        <v>32586</v>
      </c>
      <c r="Z85" s="67">
        <f t="shared" si="564"/>
        <v>33788</v>
      </c>
      <c r="AA85" s="67">
        <f t="shared" si="564"/>
        <v>32570</v>
      </c>
      <c r="AM85" s="67">
        <f>SUM(AM81:AM84)</f>
        <v>40366</v>
      </c>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67">
        <f>SUM(BO75:BO84)</f>
        <v>77862</v>
      </c>
      <c r="BP85" s="67">
        <f>SUM(BP75:BP84)</f>
        <v>79587</v>
      </c>
      <c r="BQ85" s="117"/>
      <c r="BR85" s="114"/>
      <c r="BS85" s="114"/>
      <c r="BT85" s="114"/>
      <c r="BU85" s="114"/>
      <c r="BV85" s="114"/>
      <c r="BW85" s="114"/>
      <c r="BX85" s="114"/>
      <c r="BY85" s="114"/>
      <c r="BZ85" s="114"/>
      <c r="CA85" s="114"/>
      <c r="CB85" s="114"/>
      <c r="CC85" s="114"/>
      <c r="CD85" s="114"/>
      <c r="CE85" s="114"/>
      <c r="CF85" s="114"/>
      <c r="CG85" s="114"/>
      <c r="CH85" s="114"/>
      <c r="CI85" s="114"/>
      <c r="CJ85" s="114"/>
      <c r="CK85" s="114"/>
      <c r="CL85" s="114"/>
      <c r="CM85" s="118">
        <f>SUM(CM75:CM84)</f>
        <v>88720</v>
      </c>
      <c r="CN85" s="118">
        <f t="shared" ref="CN85" si="565">SUM(CN75:CN84)</f>
        <v>90269</v>
      </c>
      <c r="CO85" s="118">
        <f t="shared" ref="CO85" si="566">SUM(CO75:CO84)</f>
        <v>90534</v>
      </c>
      <c r="CP85" s="118">
        <f t="shared" ref="CP85" si="567">SUM(CP75:CP84)</f>
        <v>97154</v>
      </c>
      <c r="CQ85" s="118">
        <f>SUM(CQ75:CQ84)</f>
        <v>92980</v>
      </c>
      <c r="CR85" s="118">
        <f>SUM(CR75:CR84)</f>
        <v>90907</v>
      </c>
      <c r="CS85" s="118">
        <f>SUM(CS75:CS84)</f>
        <v>90883</v>
      </c>
      <c r="CT85" s="118">
        <f>SUM(CT75:CT84)</f>
        <v>91839</v>
      </c>
      <c r="CU85" s="118">
        <f>SUM(CU75:CU84)</f>
        <v>89367</v>
      </c>
    </row>
    <row r="86" spans="2:99">
      <c r="AM86" s="67"/>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67"/>
      <c r="BP86" s="67"/>
      <c r="BQ86" s="117"/>
      <c r="BR86" s="114"/>
      <c r="BS86" s="114"/>
      <c r="BT86" s="114"/>
      <c r="BU86" s="114"/>
      <c r="BV86" s="114"/>
      <c r="BW86" s="114"/>
      <c r="BX86" s="114"/>
      <c r="BY86" s="114"/>
      <c r="BZ86" s="114"/>
      <c r="CA86" s="114"/>
      <c r="CB86" s="114"/>
      <c r="CC86" s="114"/>
      <c r="CD86" s="114"/>
      <c r="CE86" s="114"/>
      <c r="CF86" s="114"/>
      <c r="CG86" s="114"/>
      <c r="CH86" s="114"/>
      <c r="CI86" s="114"/>
      <c r="CJ86" s="114"/>
      <c r="CK86" s="114"/>
      <c r="CL86" s="114"/>
      <c r="CM86" s="117"/>
      <c r="CN86" s="117"/>
      <c r="CO86" s="117"/>
      <c r="CP86" s="117"/>
      <c r="CQ86" s="117"/>
      <c r="CR86" s="117"/>
      <c r="CS86" s="117"/>
    </row>
    <row r="87" spans="2:99">
      <c r="B87" s="4" t="s">
        <v>371</v>
      </c>
      <c r="F87" s="67">
        <v>136.69999999999999</v>
      </c>
      <c r="I87" s="67">
        <v>197.7</v>
      </c>
      <c r="J87" s="67">
        <v>1529</v>
      </c>
      <c r="K87" s="67">
        <v>1584.8</v>
      </c>
      <c r="L87" s="67">
        <v>254.6</v>
      </c>
      <c r="M87" s="67"/>
      <c r="N87" s="67"/>
      <c r="O87" s="67"/>
      <c r="P87" s="67"/>
      <c r="Q87" s="67">
        <v>337</v>
      </c>
      <c r="R87" s="67">
        <v>507</v>
      </c>
      <c r="S87" s="67">
        <v>549</v>
      </c>
      <c r="T87" s="67">
        <v>503</v>
      </c>
      <c r="U87" s="67">
        <v>497</v>
      </c>
      <c r="V87" s="67">
        <v>596</v>
      </c>
      <c r="W87" s="67">
        <v>442</v>
      </c>
      <c r="X87" s="67">
        <v>668</v>
      </c>
      <c r="Y87" s="67">
        <v>569</v>
      </c>
      <c r="Z87" s="67">
        <v>555</v>
      </c>
      <c r="AA87" s="67">
        <v>601</v>
      </c>
      <c r="AM87" s="67">
        <v>882</v>
      </c>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67">
        <v>902</v>
      </c>
      <c r="BP87" s="67">
        <v>883</v>
      </c>
      <c r="BQ87" s="117"/>
      <c r="BR87" s="114"/>
      <c r="BS87" s="114"/>
      <c r="BT87" s="114"/>
      <c r="BU87" s="114"/>
      <c r="BV87" s="114"/>
      <c r="BW87" s="114"/>
      <c r="BX87" s="114"/>
      <c r="BY87" s="114"/>
      <c r="BZ87" s="114"/>
      <c r="CA87" s="114"/>
      <c r="CB87" s="114"/>
      <c r="CC87" s="114"/>
      <c r="CD87" s="114"/>
      <c r="CE87" s="114"/>
      <c r="CF87" s="114"/>
      <c r="CG87" s="114"/>
      <c r="CH87" s="114"/>
      <c r="CI87" s="114"/>
      <c r="CJ87" s="114"/>
      <c r="CK87" s="114"/>
      <c r="CL87" s="114"/>
      <c r="CM87" s="117">
        <v>1320</v>
      </c>
      <c r="CN87" s="117">
        <v>1212</v>
      </c>
      <c r="CO87" s="117">
        <v>1358</v>
      </c>
      <c r="CP87" s="117">
        <v>1590</v>
      </c>
      <c r="CQ87" s="117">
        <v>1628</v>
      </c>
      <c r="CR87" s="117">
        <v>2267</v>
      </c>
      <c r="CS87" s="117">
        <v>2147</v>
      </c>
      <c r="CT87" s="117">
        <v>1908</v>
      </c>
      <c r="CU87" s="117">
        <v>0</v>
      </c>
    </row>
    <row r="88" spans="2:99">
      <c r="B88" s="4" t="s">
        <v>372</v>
      </c>
      <c r="F88" s="67">
        <v>766.3</v>
      </c>
      <c r="I88" s="67">
        <v>1150.3</v>
      </c>
      <c r="J88" s="67">
        <v>1593.4</v>
      </c>
      <c r="K88" s="67">
        <v>1585.6</v>
      </c>
      <c r="L88" s="67">
        <v>1151.7</v>
      </c>
      <c r="M88" s="67">
        <v>1548.3</v>
      </c>
      <c r="N88" s="67">
        <v>2456</v>
      </c>
      <c r="O88" s="67">
        <v>1888.5</v>
      </c>
      <c r="P88" s="67">
        <v>2098.6999999999998</v>
      </c>
      <c r="Q88" s="67">
        <v>1950</v>
      </c>
      <c r="R88" s="67">
        <v>2477</v>
      </c>
      <c r="S88" s="67">
        <v>2485</v>
      </c>
      <c r="T88" s="67">
        <v>2675</v>
      </c>
      <c r="U88" s="67">
        <v>2855</v>
      </c>
      <c r="V88" s="67">
        <v>2999</v>
      </c>
      <c r="W88" s="67">
        <v>3178</v>
      </c>
      <c r="X88" s="67">
        <v>3477</v>
      </c>
      <c r="Y88" s="67">
        <v>3946</v>
      </c>
      <c r="Z88" s="67">
        <v>4589</v>
      </c>
      <c r="AA88" s="67">
        <v>3906</v>
      </c>
      <c r="AM88" s="67">
        <v>3302</v>
      </c>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67">
        <v>5822</v>
      </c>
      <c r="BP88" s="67">
        <v>5473</v>
      </c>
      <c r="BQ88" s="117"/>
      <c r="BR88" s="114"/>
      <c r="BS88" s="114"/>
      <c r="BT88" s="114"/>
      <c r="BU88" s="114"/>
      <c r="BV88" s="114"/>
      <c r="BW88" s="114"/>
      <c r="BX88" s="114"/>
      <c r="BY88" s="114"/>
      <c r="BZ88" s="114"/>
      <c r="CA88" s="114"/>
      <c r="CB88" s="114"/>
      <c r="CC88" s="114"/>
      <c r="CD88" s="114"/>
      <c r="CE88" s="114"/>
      <c r="CF88" s="114"/>
      <c r="CG88" s="114"/>
      <c r="CH88" s="114"/>
      <c r="CI88" s="114"/>
      <c r="CJ88" s="114"/>
      <c r="CK88" s="114"/>
      <c r="CL88" s="114"/>
      <c r="CM88" s="117">
        <v>12061</v>
      </c>
      <c r="CN88" s="117">
        <v>13718</v>
      </c>
      <c r="CO88" s="117">
        <v>14168</v>
      </c>
      <c r="CP88" s="117">
        <v>15359</v>
      </c>
      <c r="CQ88" s="117">
        <v>14127</v>
      </c>
      <c r="CR88" s="117">
        <v>13722</v>
      </c>
      <c r="CS88" s="117">
        <v>14621</v>
      </c>
      <c r="CT88" s="117">
        <v>17641</v>
      </c>
      <c r="CU88" s="117">
        <v>19640</v>
      </c>
    </row>
    <row r="89" spans="2:99">
      <c r="B89" s="4" t="s">
        <v>1011</v>
      </c>
      <c r="F89" s="67">
        <v>99.9</v>
      </c>
      <c r="I89" s="67">
        <f>100+23</f>
        <v>123</v>
      </c>
      <c r="J89" s="67"/>
      <c r="K89" s="67"/>
      <c r="L89" s="67">
        <v>122.9</v>
      </c>
      <c r="M89" s="67">
        <v>0</v>
      </c>
      <c r="N89" s="67">
        <v>0</v>
      </c>
      <c r="O89" s="67">
        <v>2887.6</v>
      </c>
      <c r="P89" s="67">
        <v>2895.7</v>
      </c>
      <c r="Q89" s="67">
        <v>2904</v>
      </c>
      <c r="R89" s="67">
        <v>1173</v>
      </c>
      <c r="S89" s="67">
        <v>1744</v>
      </c>
      <c r="T89" s="67">
        <v>1749</v>
      </c>
      <c r="U89" s="67">
        <v>1754</v>
      </c>
      <c r="V89" s="67">
        <v>0</v>
      </c>
      <c r="W89" s="67">
        <v>1763</v>
      </c>
      <c r="X89" s="67">
        <v>1768</v>
      </c>
      <c r="Y89" s="67">
        <v>1773</v>
      </c>
      <c r="Z89" s="67">
        <f>1698+100</f>
        <v>1798</v>
      </c>
      <c r="AA89" s="67">
        <v>100</v>
      </c>
      <c r="AM89" s="67">
        <v>2378</v>
      </c>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67">
        <f>3799+30293</f>
        <v>34092</v>
      </c>
      <c r="BP89" s="67">
        <f>1459+33603</f>
        <v>35062</v>
      </c>
      <c r="BQ89" s="67"/>
      <c r="BZ89" s="114"/>
      <c r="CA89" s="114"/>
      <c r="CB89" s="114"/>
      <c r="CC89" s="114"/>
      <c r="CD89" s="114"/>
      <c r="CE89" s="114"/>
      <c r="CF89" s="114"/>
      <c r="CG89" s="114"/>
      <c r="CH89" s="114"/>
      <c r="CI89" s="114"/>
      <c r="CJ89" s="114"/>
      <c r="CK89" s="114"/>
      <c r="CL89" s="114"/>
      <c r="CM89" s="117"/>
      <c r="CN89" s="117"/>
      <c r="CO89" s="117"/>
      <c r="CP89" s="117"/>
      <c r="CQ89" s="117"/>
      <c r="CR89" s="117"/>
      <c r="CS89" s="117"/>
      <c r="CU89" s="117"/>
    </row>
    <row r="90" spans="2:99">
      <c r="B90" s="4" t="s">
        <v>374</v>
      </c>
      <c r="F90" s="67">
        <f>SUM(F87:F89)</f>
        <v>1002.9</v>
      </c>
      <c r="I90" s="67">
        <f t="shared" ref="I90:AA90" si="568">SUM(I87:I89)</f>
        <v>1471</v>
      </c>
      <c r="J90" s="67">
        <f t="shared" si="568"/>
        <v>3122.4</v>
      </c>
      <c r="K90" s="67">
        <f t="shared" si="568"/>
        <v>3170.3999999999996</v>
      </c>
      <c r="L90" s="67">
        <f t="shared" si="568"/>
        <v>1529.2</v>
      </c>
      <c r="M90" s="67">
        <f t="shared" si="568"/>
        <v>1548.3</v>
      </c>
      <c r="N90" s="67">
        <f t="shared" si="568"/>
        <v>2456</v>
      </c>
      <c r="O90" s="67">
        <f t="shared" si="568"/>
        <v>4776.1000000000004</v>
      </c>
      <c r="P90" s="67">
        <f t="shared" si="568"/>
        <v>4994.3999999999996</v>
      </c>
      <c r="Q90" s="67">
        <f t="shared" si="568"/>
        <v>5191</v>
      </c>
      <c r="R90" s="67">
        <f t="shared" si="568"/>
        <v>4157</v>
      </c>
      <c r="S90" s="67">
        <f t="shared" si="568"/>
        <v>4778</v>
      </c>
      <c r="T90" s="67">
        <f t="shared" si="568"/>
        <v>4927</v>
      </c>
      <c r="U90" s="67">
        <f t="shared" si="568"/>
        <v>5106</v>
      </c>
      <c r="V90" s="67">
        <f t="shared" si="568"/>
        <v>3595</v>
      </c>
      <c r="W90" s="67">
        <f t="shared" si="568"/>
        <v>5383</v>
      </c>
      <c r="X90" s="67">
        <f t="shared" si="568"/>
        <v>5913</v>
      </c>
      <c r="Y90" s="67">
        <f t="shared" si="568"/>
        <v>6288</v>
      </c>
      <c r="Z90" s="67">
        <f t="shared" si="568"/>
        <v>6942</v>
      </c>
      <c r="AA90" s="67">
        <f t="shared" si="568"/>
        <v>4607</v>
      </c>
      <c r="AM90" s="67">
        <f>SUM(AM87:AM89)</f>
        <v>6562</v>
      </c>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67"/>
      <c r="BP90" s="67"/>
      <c r="BQ90" s="67"/>
      <c r="BZ90" s="114"/>
      <c r="CA90" s="114"/>
      <c r="CB90" s="114"/>
      <c r="CC90" s="114"/>
      <c r="CD90" s="114"/>
      <c r="CE90" s="114"/>
      <c r="CF90" s="114"/>
      <c r="CG90" s="114"/>
      <c r="CH90" s="114"/>
      <c r="CI90" s="114"/>
      <c r="CJ90" s="114"/>
      <c r="CK90" s="114"/>
      <c r="CL90" s="114"/>
      <c r="CM90" s="117"/>
      <c r="CN90" s="117"/>
      <c r="CO90" s="117"/>
      <c r="CP90" s="117"/>
      <c r="CQ90" s="117"/>
      <c r="CR90" s="117"/>
      <c r="CS90" s="117"/>
      <c r="CU90" s="117"/>
    </row>
    <row r="91" spans="2:99">
      <c r="B91" s="4" t="s">
        <v>375</v>
      </c>
      <c r="F91" s="67"/>
      <c r="I91" s="67">
        <v>1565.6</v>
      </c>
      <c r="J91" s="67"/>
      <c r="K91" s="67"/>
      <c r="L91" s="67">
        <v>1593.4</v>
      </c>
      <c r="M91" s="67">
        <v>1791.4</v>
      </c>
      <c r="N91" s="67">
        <v>1146</v>
      </c>
      <c r="O91" s="67">
        <v>1432</v>
      </c>
      <c r="P91" s="67">
        <v>1454.8</v>
      </c>
      <c r="Q91" s="67">
        <v>1484</v>
      </c>
      <c r="R91" s="67">
        <v>1294</v>
      </c>
      <c r="S91" s="67">
        <v>1280</v>
      </c>
      <c r="T91" s="67">
        <v>1209</v>
      </c>
      <c r="U91" s="67">
        <v>1180</v>
      </c>
      <c r="V91" s="67">
        <v>1163</v>
      </c>
      <c r="W91" s="67">
        <v>1160</v>
      </c>
      <c r="X91" s="67">
        <v>1064</v>
      </c>
      <c r="Y91" s="67">
        <v>1079</v>
      </c>
      <c r="Z91" s="67">
        <v>367</v>
      </c>
      <c r="AA91" s="67">
        <v>466</v>
      </c>
      <c r="AM91" s="67">
        <v>0</v>
      </c>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67">
        <f>2370+2542</f>
        <v>4912</v>
      </c>
      <c r="BP91" s="67">
        <v>2299</v>
      </c>
      <c r="BQ91" s="67"/>
      <c r="BZ91" s="114"/>
      <c r="CA91" s="114"/>
      <c r="CB91" s="114"/>
      <c r="CC91" s="114"/>
      <c r="CD91" s="114"/>
      <c r="CE91" s="114"/>
      <c r="CF91" s="114"/>
      <c r="CG91" s="114"/>
      <c r="CH91" s="114"/>
      <c r="CI91" s="114"/>
      <c r="CJ91" s="114"/>
      <c r="CK91" s="114"/>
      <c r="CL91" s="114"/>
      <c r="CM91" s="117">
        <v>5864</v>
      </c>
      <c r="CN91" s="117">
        <v>4478</v>
      </c>
      <c r="CO91" s="117">
        <v>4579</v>
      </c>
      <c r="CP91" s="117">
        <f>2354+4680</f>
        <v>7034</v>
      </c>
      <c r="CQ91" s="117">
        <f>1862+3964</f>
        <v>5826</v>
      </c>
      <c r="CR91" s="117">
        <f>1780+2205</f>
        <v>3985</v>
      </c>
      <c r="CS91" s="117">
        <f>1711+2280</f>
        <v>3991</v>
      </c>
      <c r="CT91" s="117">
        <f>2349+1616</f>
        <v>3965</v>
      </c>
      <c r="CU91" s="118">
        <f>1510+2419</f>
        <v>3929</v>
      </c>
    </row>
    <row r="92" spans="2:99">
      <c r="B92" s="4" t="s">
        <v>373</v>
      </c>
      <c r="F92" s="67"/>
      <c r="I92" s="67"/>
      <c r="J92" s="67"/>
      <c r="K92" s="67"/>
      <c r="L92" s="67"/>
      <c r="M92" s="67"/>
      <c r="N92" s="67"/>
      <c r="O92" s="67">
        <v>200</v>
      </c>
      <c r="P92" s="67">
        <v>200</v>
      </c>
      <c r="Q92" s="67"/>
      <c r="R92" s="67">
        <v>1739</v>
      </c>
      <c r="S92" s="67">
        <v>0</v>
      </c>
      <c r="T92" s="67">
        <v>0</v>
      </c>
      <c r="U92" s="67">
        <v>0</v>
      </c>
      <c r="V92" s="67">
        <v>1759</v>
      </c>
      <c r="W92" s="67">
        <v>5000</v>
      </c>
      <c r="X92" s="67">
        <v>5000</v>
      </c>
      <c r="Y92" s="67">
        <v>5000</v>
      </c>
      <c r="Z92" s="67">
        <v>5080</v>
      </c>
      <c r="AA92" s="67">
        <v>5080</v>
      </c>
      <c r="AB92" s="67">
        <v>5080</v>
      </c>
      <c r="AM92" s="67">
        <v>2201</v>
      </c>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67"/>
      <c r="BP92" s="67"/>
      <c r="BQ92" s="67"/>
      <c r="BZ92" s="114"/>
      <c r="CA92" s="114"/>
      <c r="CB92" s="114"/>
      <c r="CC92" s="114"/>
      <c r="CD92" s="114"/>
      <c r="CE92" s="114"/>
      <c r="CF92" s="114"/>
      <c r="CG92" s="114"/>
      <c r="CH92" s="114"/>
      <c r="CI92" s="114"/>
      <c r="CJ92" s="114"/>
      <c r="CK92" s="114"/>
      <c r="CL92" s="114"/>
      <c r="CM92" s="117">
        <v>0</v>
      </c>
      <c r="CN92" s="117"/>
      <c r="CO92" s="117"/>
      <c r="CP92" s="117"/>
      <c r="CQ92" s="117">
        <v>0</v>
      </c>
      <c r="CR92" s="117">
        <v>0</v>
      </c>
      <c r="CS92" s="117"/>
      <c r="CT92" s="117"/>
      <c r="CU92" s="117"/>
    </row>
    <row r="93" spans="2:99">
      <c r="B93" s="4" t="s">
        <v>376</v>
      </c>
      <c r="F93" s="67">
        <v>223</v>
      </c>
      <c r="I93" s="67">
        <v>3039.7</v>
      </c>
      <c r="J93" s="67">
        <v>3047.7</v>
      </c>
      <c r="K93" s="67">
        <v>3055.7</v>
      </c>
      <c r="L93" s="67">
        <v>3047.7</v>
      </c>
      <c r="M93" s="67">
        <v>3071.8</v>
      </c>
      <c r="N93" s="67">
        <v>3080</v>
      </c>
      <c r="O93" s="67"/>
      <c r="P93" s="67"/>
      <c r="Q93" s="67">
        <v>200</v>
      </c>
      <c r="R93" s="67">
        <v>2198</v>
      </c>
      <c r="S93" s="67">
        <v>2198</v>
      </c>
      <c r="T93" s="67">
        <v>2198</v>
      </c>
      <c r="U93" s="67">
        <v>2198</v>
      </c>
      <c r="V93" s="67">
        <v>2198</v>
      </c>
      <c r="W93" s="67">
        <v>2198</v>
      </c>
      <c r="X93" s="67">
        <v>2232</v>
      </c>
      <c r="Y93" s="67">
        <v>2233</v>
      </c>
      <c r="Z93" s="67">
        <v>2134</v>
      </c>
      <c r="AA93" s="67">
        <v>2134</v>
      </c>
      <c r="AB93" s="67">
        <v>6132</v>
      </c>
      <c r="AM93" s="67">
        <v>7085</v>
      </c>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67"/>
      <c r="BP93" s="67"/>
      <c r="BQ93" s="67"/>
      <c r="BZ93" s="114"/>
      <c r="CA93" s="114"/>
      <c r="CB93" s="114"/>
      <c r="CC93" s="114"/>
      <c r="CD93" s="114"/>
      <c r="CE93" s="114"/>
      <c r="CF93" s="114"/>
      <c r="CG93" s="114"/>
      <c r="CH93" s="114"/>
      <c r="CI93" s="114"/>
      <c r="CJ93" s="114"/>
      <c r="CK93" s="114"/>
      <c r="CL93" s="114"/>
      <c r="CM93" s="117">
        <f>834+60761</f>
        <v>61595</v>
      </c>
      <c r="CN93" s="117">
        <f>59377+2167</f>
        <v>61544</v>
      </c>
      <c r="CO93" s="117">
        <f>1428+59040</f>
        <v>60468</v>
      </c>
      <c r="CP93" s="117">
        <f>63170+1443</f>
        <v>64613</v>
      </c>
      <c r="CQ93" s="117">
        <f>3959+60061</f>
        <v>64020</v>
      </c>
      <c r="CR93" s="117">
        <f>57117+5528</f>
        <v>62645</v>
      </c>
      <c r="CS93" s="117">
        <f>3544+56854</f>
        <v>60398</v>
      </c>
      <c r="CT93" s="117">
        <f>3550+56549</f>
        <v>60099</v>
      </c>
      <c r="CU93" s="117">
        <f>3368+54013</f>
        <v>57381</v>
      </c>
    </row>
    <row r="94" spans="2:99">
      <c r="B94" s="4" t="s">
        <v>377</v>
      </c>
      <c r="F94" s="67"/>
      <c r="I94" s="67"/>
      <c r="J94" s="67"/>
      <c r="K94" s="67"/>
      <c r="L94" s="67"/>
      <c r="M94" s="67"/>
      <c r="N94" s="67">
        <v>42</v>
      </c>
      <c r="O94" s="67"/>
      <c r="P94" s="67"/>
      <c r="Q94" s="67">
        <v>128</v>
      </c>
      <c r="R94" s="67">
        <v>128</v>
      </c>
      <c r="S94" s="67">
        <v>124</v>
      </c>
      <c r="T94" s="67">
        <v>123</v>
      </c>
      <c r="U94" s="67">
        <v>118</v>
      </c>
      <c r="V94" s="67">
        <v>131</v>
      </c>
      <c r="W94" s="67">
        <v>183</v>
      </c>
      <c r="X94" s="67">
        <v>240</v>
      </c>
      <c r="Y94" s="67">
        <v>265</v>
      </c>
      <c r="Z94" s="67">
        <v>301</v>
      </c>
      <c r="AA94" s="67">
        <v>568</v>
      </c>
      <c r="AM94" s="67">
        <v>2179</v>
      </c>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67">
        <v>1497</v>
      </c>
      <c r="BP94" s="67">
        <f>2605+1543</f>
        <v>4148</v>
      </c>
      <c r="BQ94" s="67"/>
      <c r="BZ94" s="114"/>
      <c r="CA94" s="114"/>
      <c r="CB94" s="114"/>
      <c r="CC94" s="114"/>
      <c r="CD94" s="114"/>
      <c r="CE94" s="114"/>
      <c r="CF94" s="114"/>
      <c r="CG94" s="114"/>
      <c r="CH94" s="114"/>
      <c r="CI94" s="114"/>
      <c r="CJ94" s="114"/>
      <c r="CK94" s="114"/>
      <c r="CL94" s="114"/>
      <c r="CM94" s="117">
        <v>2532</v>
      </c>
      <c r="CN94" s="117">
        <v>2536</v>
      </c>
      <c r="CO94" s="117">
        <v>2305</v>
      </c>
      <c r="CP94" s="117">
        <v>2326</v>
      </c>
      <c r="CQ94" s="117">
        <v>2357</v>
      </c>
      <c r="CR94" s="117">
        <v>2363</v>
      </c>
      <c r="CS94" s="117">
        <v>2199</v>
      </c>
      <c r="CT94" s="117">
        <v>2349</v>
      </c>
      <c r="CU94" s="117">
        <v>2210</v>
      </c>
    </row>
    <row r="95" spans="2:99">
      <c r="B95" s="4" t="s">
        <v>378</v>
      </c>
      <c r="F95" s="67">
        <f>SUM(F90:F94)</f>
        <v>1225.9000000000001</v>
      </c>
      <c r="I95" s="67">
        <f t="shared" ref="I95:AA95" si="569">SUM(I90:I94)</f>
        <v>6076.2999999999993</v>
      </c>
      <c r="J95" s="67">
        <f t="shared" si="569"/>
        <v>6170.1</v>
      </c>
      <c r="K95" s="67">
        <f t="shared" si="569"/>
        <v>6226.0999999999995</v>
      </c>
      <c r="L95" s="67">
        <f t="shared" si="569"/>
        <v>6170.3</v>
      </c>
      <c r="M95" s="67">
        <f t="shared" si="569"/>
        <v>6411.5</v>
      </c>
      <c r="N95" s="67">
        <f t="shared" si="569"/>
        <v>6724</v>
      </c>
      <c r="O95" s="67">
        <f t="shared" si="569"/>
        <v>6408.1</v>
      </c>
      <c r="P95" s="67">
        <f t="shared" si="569"/>
        <v>6649.2</v>
      </c>
      <c r="Q95" s="67">
        <f t="shared" si="569"/>
        <v>7003</v>
      </c>
      <c r="R95" s="67">
        <f t="shared" si="569"/>
        <v>9516</v>
      </c>
      <c r="S95" s="67">
        <f t="shared" si="569"/>
        <v>8380</v>
      </c>
      <c r="T95" s="67">
        <f t="shared" si="569"/>
        <v>8457</v>
      </c>
      <c r="U95" s="67">
        <f t="shared" si="569"/>
        <v>8602</v>
      </c>
      <c r="V95" s="67">
        <f t="shared" si="569"/>
        <v>8846</v>
      </c>
      <c r="W95" s="67">
        <f t="shared" si="569"/>
        <v>13924</v>
      </c>
      <c r="X95" s="67">
        <f t="shared" si="569"/>
        <v>14449</v>
      </c>
      <c r="Y95" s="67">
        <f t="shared" si="569"/>
        <v>14865</v>
      </c>
      <c r="Z95" s="67">
        <f>SUM(Z90:Z94)</f>
        <v>14824</v>
      </c>
      <c r="AA95" s="67">
        <f t="shared" si="569"/>
        <v>12855</v>
      </c>
      <c r="AM95" s="67">
        <f>SUM(AM90:AM94)</f>
        <v>18027</v>
      </c>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67"/>
      <c r="BP95" s="67"/>
      <c r="BQ95" s="67"/>
      <c r="BZ95" s="114"/>
      <c r="CA95" s="114"/>
      <c r="CB95" s="114"/>
      <c r="CC95" s="114"/>
      <c r="CD95" s="114"/>
      <c r="CE95" s="114"/>
      <c r="CF95" s="114"/>
      <c r="CG95" s="114"/>
      <c r="CH95" s="114"/>
      <c r="CI95" s="114"/>
      <c r="CJ95" s="114"/>
      <c r="CK95" s="114"/>
      <c r="CL95" s="114"/>
      <c r="CM95" s="117"/>
      <c r="CN95" s="117"/>
      <c r="CO95" s="117"/>
      <c r="CP95" s="117"/>
      <c r="CQ95" s="117"/>
      <c r="CR95" s="117"/>
      <c r="CS95" s="117"/>
      <c r="CT95" s="117"/>
      <c r="CU95" s="117"/>
    </row>
    <row r="96" spans="2:99">
      <c r="B96" s="4" t="s">
        <v>380</v>
      </c>
      <c r="F96" s="67">
        <v>5217.2</v>
      </c>
      <c r="I96" s="67">
        <v>17664.8</v>
      </c>
      <c r="J96" s="67">
        <v>18286</v>
      </c>
      <c r="K96" s="67">
        <v>18503.400000000001</v>
      </c>
      <c r="L96" s="67">
        <v>18286</v>
      </c>
      <c r="M96" s="67">
        <v>19457.3</v>
      </c>
      <c r="N96" s="67">
        <v>19389</v>
      </c>
      <c r="O96" s="67">
        <v>19571.3</v>
      </c>
      <c r="P96" s="67">
        <v>19410.8</v>
      </c>
      <c r="Q96" s="67">
        <v>19808</v>
      </c>
      <c r="R96" s="67">
        <v>19705</v>
      </c>
      <c r="S96" s="67">
        <v>19040</v>
      </c>
      <c r="T96" s="67">
        <v>19581</v>
      </c>
      <c r="U96" s="67">
        <v>20530</v>
      </c>
      <c r="V96" s="67">
        <v>20451</v>
      </c>
      <c r="W96" s="67">
        <v>17391</v>
      </c>
      <c r="X96" s="67">
        <v>16839</v>
      </c>
      <c r="Y96" s="67">
        <v>17721</v>
      </c>
      <c r="Z96" s="67">
        <v>18964</v>
      </c>
      <c r="AA96" s="67">
        <v>19715</v>
      </c>
      <c r="AM96" s="67">
        <v>22339</v>
      </c>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67">
        <v>30637</v>
      </c>
      <c r="BP96" s="67">
        <v>31722</v>
      </c>
      <c r="BQ96" s="67"/>
      <c r="BZ96" s="114"/>
      <c r="CA96" s="114"/>
      <c r="CB96" s="114"/>
      <c r="CC96" s="114"/>
      <c r="CD96" s="114"/>
      <c r="CE96" s="114"/>
      <c r="CF96" s="114"/>
      <c r="CG96" s="114"/>
      <c r="CH96" s="114"/>
      <c r="CI96" s="114"/>
      <c r="CJ96" s="114"/>
      <c r="CK96" s="114"/>
      <c r="CL96" s="114"/>
      <c r="CM96" s="117">
        <v>5348</v>
      </c>
      <c r="CN96" s="117">
        <v>6781</v>
      </c>
      <c r="CO96" s="117">
        <v>7656</v>
      </c>
      <c r="CP96" s="117">
        <v>6232</v>
      </c>
      <c r="CQ96" s="117">
        <v>5022</v>
      </c>
      <c r="CR96" s="117">
        <v>5925</v>
      </c>
      <c r="CS96" s="117">
        <v>7527</v>
      </c>
      <c r="CT96" s="117">
        <v>5877</v>
      </c>
      <c r="CU96" s="117">
        <v>6207</v>
      </c>
    </row>
    <row r="97" spans="2:99">
      <c r="B97" s="16" t="s">
        <v>1092</v>
      </c>
      <c r="F97" s="67">
        <f>F96+F95</f>
        <v>6443.1</v>
      </c>
      <c r="I97" s="67">
        <f t="shared" ref="I97:AA97" si="570">I96+I95</f>
        <v>23741.1</v>
      </c>
      <c r="J97" s="67">
        <f t="shared" si="570"/>
        <v>24456.1</v>
      </c>
      <c r="K97" s="67">
        <f t="shared" si="570"/>
        <v>24729.5</v>
      </c>
      <c r="L97" s="67">
        <f t="shared" si="570"/>
        <v>24456.3</v>
      </c>
      <c r="M97" s="67">
        <f t="shared" si="570"/>
        <v>25868.799999999999</v>
      </c>
      <c r="N97" s="67">
        <f t="shared" si="570"/>
        <v>26113</v>
      </c>
      <c r="O97" s="67">
        <f t="shared" si="570"/>
        <v>25979.4</v>
      </c>
      <c r="P97" s="67">
        <f t="shared" si="570"/>
        <v>26060</v>
      </c>
      <c r="Q97" s="67">
        <f t="shared" si="570"/>
        <v>26811</v>
      </c>
      <c r="R97" s="67">
        <f t="shared" si="570"/>
        <v>29221</v>
      </c>
      <c r="S97" s="67">
        <f t="shared" si="570"/>
        <v>27420</v>
      </c>
      <c r="T97" s="67">
        <f t="shared" si="570"/>
        <v>28038</v>
      </c>
      <c r="U97" s="67">
        <f t="shared" si="570"/>
        <v>29132</v>
      </c>
      <c r="V97" s="67">
        <f t="shared" si="570"/>
        <v>29297</v>
      </c>
      <c r="W97" s="67">
        <f t="shared" si="570"/>
        <v>31315</v>
      </c>
      <c r="X97" s="67">
        <f t="shared" si="570"/>
        <v>31288</v>
      </c>
      <c r="Y97" s="67">
        <f t="shared" si="570"/>
        <v>32586</v>
      </c>
      <c r="Z97" s="67">
        <f t="shared" si="570"/>
        <v>33788</v>
      </c>
      <c r="AA97" s="67">
        <f t="shared" si="570"/>
        <v>32570</v>
      </c>
      <c r="AM97" s="67">
        <f>AM96+AM95</f>
        <v>40366</v>
      </c>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67">
        <f>SUM(BO87:BO96)</f>
        <v>77862</v>
      </c>
      <c r="BP97" s="67">
        <f>SUM(BP87:BP96)</f>
        <v>79587</v>
      </c>
      <c r="BQ97" s="67"/>
      <c r="BZ97" s="114"/>
      <c r="CA97" s="114"/>
      <c r="CB97" s="114"/>
      <c r="CC97" s="114"/>
      <c r="CD97" s="114"/>
      <c r="CE97" s="114"/>
      <c r="CF97" s="114"/>
      <c r="CG97" s="114"/>
      <c r="CH97" s="114"/>
      <c r="CI97" s="114"/>
      <c r="CJ97" s="114"/>
      <c r="CK97" s="114"/>
      <c r="CL97" s="114"/>
      <c r="CM97" s="117">
        <f>SUM(CM87:CM96)</f>
        <v>88720</v>
      </c>
      <c r="CN97" s="117">
        <f t="shared" ref="CN97" si="571">SUM(CN87:CN96)</f>
        <v>90269</v>
      </c>
      <c r="CO97" s="117">
        <f t="shared" ref="CO97" si="572">SUM(CO87:CO96)</f>
        <v>90534</v>
      </c>
      <c r="CP97" s="117">
        <f t="shared" ref="CP97" si="573">SUM(CP87:CP96)</f>
        <v>97154</v>
      </c>
      <c r="CQ97" s="117">
        <f>SUM(CQ87:CQ96)</f>
        <v>92980</v>
      </c>
      <c r="CR97" s="117">
        <f>SUM(CR87:CR96)</f>
        <v>90907</v>
      </c>
      <c r="CS97" s="117">
        <f>SUM(CS87:CS96)</f>
        <v>90883</v>
      </c>
      <c r="CT97" s="117">
        <f>SUM(CT87:CT96)</f>
        <v>91839</v>
      </c>
      <c r="CU97" s="117">
        <f>SUM(CU87:CU96)</f>
        <v>89367</v>
      </c>
    </row>
    <row r="98" spans="2:99">
      <c r="X98" s="67"/>
      <c r="Y98" s="67"/>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Z98" s="114"/>
      <c r="CA98" s="114"/>
      <c r="CB98" s="114"/>
      <c r="CC98" s="114"/>
      <c r="CD98" s="114"/>
      <c r="CE98" s="114"/>
      <c r="CF98" s="114"/>
      <c r="CG98" s="114"/>
      <c r="CH98" s="114"/>
      <c r="CI98" s="114"/>
      <c r="CJ98" s="114"/>
      <c r="CK98" s="114"/>
      <c r="CL98" s="114"/>
      <c r="CU98" s="117"/>
    </row>
    <row r="99" spans="2:99">
      <c r="B99" s="112" t="s">
        <v>1353</v>
      </c>
      <c r="E99" s="67">
        <f t="shared" ref="E99:AA99" si="574">E53</f>
        <v>140.80000000000001</v>
      </c>
      <c r="F99" s="67">
        <f t="shared" si="574"/>
        <v>0</v>
      </c>
      <c r="G99" s="67">
        <f t="shared" si="574"/>
        <v>342.60000000000008</v>
      </c>
      <c r="H99" s="67">
        <f t="shared" si="574"/>
        <v>417.49999999999994</v>
      </c>
      <c r="I99" s="67">
        <f t="shared" si="574"/>
        <v>436.7999999999999</v>
      </c>
      <c r="J99" s="67">
        <f t="shared" si="574"/>
        <v>471.70000000000027</v>
      </c>
      <c r="K99" s="67">
        <f t="shared" si="574"/>
        <v>563.20000000000016</v>
      </c>
      <c r="L99" s="67">
        <f t="shared" si="574"/>
        <v>658.39999999999986</v>
      </c>
      <c r="M99" s="67">
        <f t="shared" si="574"/>
        <v>714.29999999999973</v>
      </c>
      <c r="N99" s="67">
        <f t="shared" si="574"/>
        <v>614.79999999999995</v>
      </c>
      <c r="O99" s="67">
        <f t="shared" si="574"/>
        <v>756.89999999999941</v>
      </c>
      <c r="P99" s="67">
        <f t="shared" si="574"/>
        <v>813.89999999999986</v>
      </c>
      <c r="Q99" s="67">
        <f t="shared" si="574"/>
        <v>838.8</v>
      </c>
      <c r="R99" s="67">
        <f t="shared" si="574"/>
        <v>755.2</v>
      </c>
      <c r="S99" s="67">
        <f t="shared" si="574"/>
        <v>924</v>
      </c>
      <c r="T99" s="67">
        <f t="shared" si="574"/>
        <v>1104</v>
      </c>
      <c r="U99" s="67">
        <f t="shared" si="574"/>
        <v>1067</v>
      </c>
      <c r="V99" s="67">
        <f t="shared" si="574"/>
        <v>928</v>
      </c>
      <c r="W99" s="67">
        <f t="shared" si="574"/>
        <v>1101</v>
      </c>
      <c r="X99" s="67">
        <f t="shared" si="574"/>
        <v>1235</v>
      </c>
      <c r="Y99" s="67">
        <f t="shared" si="574"/>
        <v>1224</v>
      </c>
      <c r="Z99" s="67">
        <f t="shared" si="574"/>
        <v>1060</v>
      </c>
      <c r="AA99" s="67">
        <f t="shared" si="574"/>
        <v>1270</v>
      </c>
      <c r="AM99" s="67">
        <f>AM53</f>
        <v>1282</v>
      </c>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67">
        <f>BO53</f>
        <v>2475</v>
      </c>
      <c r="CE99" s="117">
        <f t="shared" ref="CE99:CH99" si="575">+CE53</f>
        <v>2368</v>
      </c>
      <c r="CF99" s="117">
        <f t="shared" si="575"/>
        <v>2522</v>
      </c>
      <c r="CG99" s="117">
        <f t="shared" si="575"/>
        <v>2885</v>
      </c>
      <c r="CH99" s="117">
        <f t="shared" si="575"/>
        <v>2430</v>
      </c>
      <c r="CI99" s="117">
        <f t="shared" ref="CI99:CL99" si="576">+CI53</f>
        <v>2646</v>
      </c>
      <c r="CJ99" s="117">
        <f t="shared" si="576"/>
        <v>2495</v>
      </c>
      <c r="CK99" s="117">
        <f t="shared" si="576"/>
        <v>2760</v>
      </c>
      <c r="CL99" s="117">
        <f t="shared" si="576"/>
        <v>2211</v>
      </c>
      <c r="CM99" s="117">
        <f t="shared" ref="CM99:CU99" si="577">+CM53</f>
        <v>1993</v>
      </c>
      <c r="CN99" s="117">
        <f t="shared" si="577"/>
        <v>2653</v>
      </c>
      <c r="CO99" s="117">
        <f t="shared" si="577"/>
        <v>2667</v>
      </c>
      <c r="CP99" s="117">
        <f t="shared" si="577"/>
        <v>2543</v>
      </c>
      <c r="CQ99" s="117">
        <f t="shared" si="577"/>
        <v>2035</v>
      </c>
      <c r="CR99" s="117">
        <f t="shared" si="577"/>
        <v>2604</v>
      </c>
      <c r="CS99" s="117">
        <f t="shared" si="577"/>
        <v>2997</v>
      </c>
      <c r="CT99" s="117">
        <f t="shared" si="577"/>
        <v>2818</v>
      </c>
      <c r="CU99" s="117">
        <f t="shared" si="577"/>
        <v>2623</v>
      </c>
    </row>
    <row r="100" spans="2:99">
      <c r="B100" s="112" t="s">
        <v>1354</v>
      </c>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M100" s="67"/>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BO100" s="67">
        <v>2071</v>
      </c>
      <c r="CI100" s="114"/>
      <c r="CJ100" s="114"/>
      <c r="CK100" s="114"/>
      <c r="CL100" s="114"/>
      <c r="CM100" s="117">
        <v>2841</v>
      </c>
      <c r="CN100" s="117">
        <f>4220-CM100</f>
        <v>1379</v>
      </c>
      <c r="CO100" s="117">
        <f>5950-CN100-CM100</f>
        <v>1730</v>
      </c>
      <c r="CP100" s="117">
        <f>6717-CO100-CN100-CM100</f>
        <v>767</v>
      </c>
      <c r="CQ100" s="117">
        <v>-113</v>
      </c>
      <c r="CR100" s="117">
        <f>633-CQ100</f>
        <v>746</v>
      </c>
      <c r="CS100" s="117">
        <f>3463-CR100-CQ100</f>
        <v>2830</v>
      </c>
      <c r="CT100" s="117">
        <f>4090-CS100-CR100-CQ100</f>
        <v>627</v>
      </c>
      <c r="CU100" s="117"/>
    </row>
    <row r="101" spans="2:99">
      <c r="B101" s="112" t="s">
        <v>1355</v>
      </c>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M101" s="67">
        <v>252</v>
      </c>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BO101" s="67">
        <v>524</v>
      </c>
      <c r="CI101" s="114"/>
      <c r="CJ101" s="114"/>
      <c r="CK101" s="114"/>
      <c r="CL101" s="114"/>
      <c r="CM101" s="117">
        <v>900</v>
      </c>
      <c r="CN101" s="117">
        <f>1796-CM101</f>
        <v>896</v>
      </c>
      <c r="CO101" s="117">
        <f>2691-CN101-CM101</f>
        <v>895</v>
      </c>
      <c r="CP101" s="117">
        <f>4071-CO101-CN101-CM101</f>
        <v>1380</v>
      </c>
      <c r="CQ101" s="117">
        <v>1399</v>
      </c>
      <c r="CR101" s="117">
        <f>2799-CQ101</f>
        <v>1400</v>
      </c>
      <c r="CS101" s="117">
        <f>4195-CR101-CQ101</f>
        <v>1396</v>
      </c>
      <c r="CT101" s="117">
        <f>5592-CS101-CR101-CQ101</f>
        <v>1397</v>
      </c>
      <c r="CU101" s="117"/>
    </row>
    <row r="102" spans="2:99">
      <c r="B102" s="112" t="s">
        <v>1356</v>
      </c>
      <c r="E102" s="67"/>
      <c r="F102" s="67"/>
      <c r="G102" s="67"/>
      <c r="H102" s="67"/>
      <c r="I102" s="67"/>
      <c r="J102" s="67"/>
      <c r="K102" s="67"/>
      <c r="L102" s="67"/>
      <c r="M102" s="67"/>
      <c r="N102" s="67"/>
      <c r="O102" s="67"/>
      <c r="P102" s="67"/>
      <c r="Q102" s="67"/>
      <c r="R102" s="67"/>
      <c r="S102" s="67"/>
      <c r="T102" s="67"/>
      <c r="U102" s="67"/>
      <c r="V102" s="67"/>
      <c r="W102" s="71">
        <f>29+37</f>
        <v>66</v>
      </c>
      <c r="X102" s="71">
        <f>1+28+24</f>
        <v>53</v>
      </c>
      <c r="Y102" s="71">
        <f>4+21+25</f>
        <v>50</v>
      </c>
      <c r="Z102" s="67"/>
      <c r="AA102" s="67"/>
      <c r="AM102" s="67"/>
      <c r="AR102" s="114"/>
      <c r="AS102" s="114"/>
      <c r="AT102" s="114"/>
      <c r="AU102" s="114"/>
      <c r="AV102" s="114"/>
      <c r="AW102" s="114"/>
      <c r="AX102" s="114"/>
      <c r="AY102" s="114"/>
      <c r="AZ102" s="114"/>
      <c r="BA102" s="114"/>
      <c r="BB102" s="114"/>
      <c r="BC102" s="114"/>
      <c r="BD102" s="114"/>
      <c r="BE102" s="114"/>
      <c r="BF102" s="114"/>
      <c r="BG102" s="114"/>
      <c r="BH102" s="114"/>
      <c r="BO102" s="67">
        <v>60</v>
      </c>
      <c r="CI102" s="114"/>
      <c r="CJ102" s="114"/>
      <c r="CK102" s="114"/>
      <c r="CL102" s="114"/>
      <c r="CM102" s="117">
        <v>0</v>
      </c>
      <c r="CN102" s="114">
        <v>0</v>
      </c>
      <c r="CO102" s="114">
        <v>0</v>
      </c>
      <c r="CP102" s="117">
        <f>431-CO102-CN102-CM102</f>
        <v>431</v>
      </c>
      <c r="CQ102" s="117">
        <v>103</v>
      </c>
      <c r="CR102" s="117">
        <f>260-CQ102</f>
        <v>157</v>
      </c>
      <c r="CS102" s="117">
        <f>396-CR102-CQ102</f>
        <v>136</v>
      </c>
      <c r="CT102" s="117">
        <f>530-CS102-CR102-CQ102</f>
        <v>134</v>
      </c>
      <c r="CU102" s="117"/>
    </row>
    <row r="103" spans="2:99">
      <c r="B103" s="112" t="s">
        <v>1357</v>
      </c>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M103" s="67"/>
      <c r="AR103" s="114"/>
      <c r="AS103" s="114"/>
      <c r="AT103" s="114"/>
      <c r="AU103" s="114"/>
      <c r="AV103" s="114"/>
      <c r="AW103" s="114"/>
      <c r="AX103" s="114"/>
      <c r="BO103" s="67">
        <v>-77</v>
      </c>
      <c r="CI103" s="114"/>
      <c r="CJ103" s="114"/>
      <c r="CK103" s="114"/>
      <c r="CL103" s="114"/>
      <c r="CM103" s="117">
        <v>-49</v>
      </c>
      <c r="CN103" s="117">
        <f>-203-CM103</f>
        <v>-154</v>
      </c>
      <c r="CO103" s="117">
        <f>-650-CN103-CM103</f>
        <v>-447</v>
      </c>
      <c r="CP103" s="117">
        <f>-1273-CO103-CN103-CM103</f>
        <v>-623</v>
      </c>
      <c r="CQ103" s="117">
        <v>-401</v>
      </c>
      <c r="CR103" s="117">
        <f>-784-CQ103</f>
        <v>-383</v>
      </c>
      <c r="CS103" s="117">
        <f>-894-CR103-CQ103</f>
        <v>-110</v>
      </c>
      <c r="CT103" s="117">
        <f>-1228-CS103-CR103-CQ103</f>
        <v>-334</v>
      </c>
    </row>
    <row r="104" spans="2:99">
      <c r="B104" s="112" t="s">
        <v>1358</v>
      </c>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M104" s="67"/>
      <c r="AR104" s="114"/>
      <c r="AS104" s="114"/>
      <c r="AT104" s="114"/>
      <c r="AU104" s="114"/>
      <c r="AV104" s="114"/>
      <c r="AW104" s="114"/>
      <c r="AX104" s="114"/>
      <c r="BO104" s="67">
        <v>0</v>
      </c>
      <c r="CI104" s="114"/>
      <c r="CJ104" s="114"/>
      <c r="CK104" s="114"/>
      <c r="CL104" s="114"/>
      <c r="CM104" s="117">
        <f>-31-1830</f>
        <v>-1861</v>
      </c>
      <c r="CN104" s="117">
        <f>-3-1169-CM104</f>
        <v>689</v>
      </c>
      <c r="CO104" s="117">
        <f>-17-1304-CN104-CM104</f>
        <v>-149</v>
      </c>
      <c r="CP104" s="117">
        <f>11-1565-CO104-CN104-CM104</f>
        <v>-233</v>
      </c>
      <c r="CQ104" s="117">
        <f>-27+515</f>
        <v>488</v>
      </c>
      <c r="CR104" s="117">
        <f>-39+916-CQ104</f>
        <v>389</v>
      </c>
      <c r="CS104" s="117">
        <f>-11-717-CR104-CQ104</f>
        <v>-1605</v>
      </c>
      <c r="CT104" s="117">
        <f>-10-CS104-CR104-CQ104+159</f>
        <v>877</v>
      </c>
    </row>
    <row r="105" spans="2:99">
      <c r="B105" s="112" t="s">
        <v>448</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c r="AR105" s="114"/>
      <c r="AS105" s="114"/>
      <c r="AT105" s="114"/>
      <c r="AU105" s="114"/>
      <c r="AV105" s="114"/>
      <c r="AW105" s="114"/>
      <c r="AX105" s="114"/>
      <c r="BO105" s="67">
        <v>15</v>
      </c>
      <c r="CI105" s="114"/>
      <c r="CJ105" s="114"/>
      <c r="CK105" s="114"/>
      <c r="CL105" s="114"/>
      <c r="CM105" s="117">
        <v>-13</v>
      </c>
      <c r="CN105" s="117">
        <f>171-CM105</f>
        <v>184</v>
      </c>
      <c r="CO105" s="117">
        <f>849-CN105-CM105</f>
        <v>678</v>
      </c>
      <c r="CP105" s="117">
        <f>563-CO105-CN105-CM105</f>
        <v>-286</v>
      </c>
      <c r="CQ105" s="117">
        <v>-95</v>
      </c>
      <c r="CR105" s="117">
        <f>-67-CQ105</f>
        <v>28</v>
      </c>
      <c r="CS105" s="117">
        <f>1-CR105-CQ105</f>
        <v>68</v>
      </c>
      <c r="CT105" s="117">
        <f>-8-CS105-CR105-CQ105</f>
        <v>-9</v>
      </c>
    </row>
    <row r="106" spans="2:99">
      <c r="B106" s="112" t="s">
        <v>1359</v>
      </c>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M106" s="67"/>
      <c r="AR106" s="114"/>
      <c r="AS106" s="114"/>
      <c r="AT106" s="114"/>
      <c r="AU106" s="114"/>
      <c r="AV106" s="114"/>
      <c r="AW106" s="114"/>
      <c r="AX106" s="114"/>
      <c r="BO106" s="67">
        <f>-47-125-155-20+268-129</f>
        <v>-208</v>
      </c>
      <c r="CI106" s="114"/>
      <c r="CJ106" s="114"/>
      <c r="CK106" s="114"/>
      <c r="CL106" s="114"/>
      <c r="CM106" s="117">
        <f>-144-58-139-253+443+107-710</f>
        <v>-754</v>
      </c>
      <c r="CN106" s="117">
        <f>-240-28-69-371+471+196+402-CM106</f>
        <v>1115</v>
      </c>
      <c r="CO106" s="117">
        <f>-582-82-332-215+998+293+334-CN106-CM106</f>
        <v>53</v>
      </c>
      <c r="CP106" s="117">
        <f>-1015+491-564-402-1031+371+935+731-CO106-CN106-CM106</f>
        <v>-898</v>
      </c>
      <c r="CQ106" s="117">
        <f>486+806-89+23+223-715-1054-316-56</f>
        <v>-692</v>
      </c>
      <c r="CR106" s="117">
        <f>310+1528-339+666-1311-637-361-393-33-CQ106</f>
        <v>122</v>
      </c>
      <c r="CS106" s="117">
        <f>-32+2209-638+544-1064-561-636+536-72-CR106-CQ106</f>
        <v>856</v>
      </c>
      <c r="CT106" s="117">
        <f>441+2532-652+312-1011-492+92+1194-51-CS106-CR106-CQ106</f>
        <v>2079</v>
      </c>
    </row>
    <row r="107" spans="2:99">
      <c r="B107" s="4" t="s">
        <v>381</v>
      </c>
      <c r="E107" s="67">
        <f>954.7-D107-C107</f>
        <v>954.7</v>
      </c>
      <c r="F107" s="67">
        <f>1480.2-E107-D107-C107</f>
        <v>525.5</v>
      </c>
      <c r="G107" s="67">
        <v>486.9</v>
      </c>
      <c r="H107" s="67">
        <f>1124.6-G107</f>
        <v>637.69999999999993</v>
      </c>
      <c r="I107" s="67">
        <f>1428.7-H107-G107</f>
        <v>304.10000000000014</v>
      </c>
      <c r="J107" s="67">
        <f>2248.8-I107-H107-G107</f>
        <v>820.1</v>
      </c>
      <c r="K107" s="67">
        <v>780.8</v>
      </c>
      <c r="L107" s="67">
        <f>1720.5-K107</f>
        <v>939.7</v>
      </c>
      <c r="M107" s="67">
        <f>2369-L107-K107</f>
        <v>648.5</v>
      </c>
      <c r="N107" s="67">
        <f>3566.6-M107-L107-K107</f>
        <v>1197.5999999999999</v>
      </c>
      <c r="O107" s="67">
        <v>399</v>
      </c>
      <c r="P107" s="67">
        <f>1514-O107</f>
        <v>1115</v>
      </c>
      <c r="Q107" s="67">
        <f>2587-P107-O107</f>
        <v>1073</v>
      </c>
      <c r="R107" s="67">
        <f>3697-Q107-P107-O107</f>
        <v>1110</v>
      </c>
      <c r="S107" s="67">
        <v>1123</v>
      </c>
      <c r="T107" s="67">
        <f>2340-S107</f>
        <v>1217</v>
      </c>
      <c r="U107" s="67">
        <f>3782-T107-S107</f>
        <v>1442</v>
      </c>
      <c r="V107" s="67">
        <f>4911-U107-T107-S107</f>
        <v>1129</v>
      </c>
      <c r="W107" s="67">
        <v>1183</v>
      </c>
      <c r="X107" s="67">
        <f>2574-W107</f>
        <v>1391</v>
      </c>
      <c r="Y107" s="67">
        <f>4147-X107-W107</f>
        <v>1573</v>
      </c>
      <c r="Z107" s="67"/>
      <c r="AA107" s="67">
        <v>893</v>
      </c>
      <c r="AM107" s="71">
        <v>913</v>
      </c>
      <c r="AR107" s="114"/>
      <c r="AS107" s="114"/>
      <c r="AT107" s="114"/>
      <c r="AU107" s="114"/>
      <c r="AV107" s="114"/>
      <c r="AW107" s="114"/>
      <c r="AX107" s="114"/>
      <c r="BO107" s="67">
        <f>SUM(BO100:BO106)</f>
        <v>2385</v>
      </c>
      <c r="CE107" s="117">
        <f t="shared" ref="CE107" si="578">SUM(CE100:CE106)</f>
        <v>0</v>
      </c>
      <c r="CF107" s="117">
        <f t="shared" ref="CF107" si="579">SUM(CF100:CF106)</f>
        <v>0</v>
      </c>
      <c r="CG107" s="117">
        <f t="shared" ref="CG107" si="580">SUM(CG100:CG106)</f>
        <v>0</v>
      </c>
      <c r="CH107" s="117">
        <f t="shared" ref="CH107" si="581">SUM(CH100:CH106)</f>
        <v>0</v>
      </c>
      <c r="CI107" s="117">
        <f t="shared" ref="CI107:CL107" si="582">SUM(CI100:CI106)</f>
        <v>0</v>
      </c>
      <c r="CJ107" s="117">
        <f t="shared" si="582"/>
        <v>0</v>
      </c>
      <c r="CK107" s="117">
        <f t="shared" si="582"/>
        <v>0</v>
      </c>
      <c r="CL107" s="117">
        <f t="shared" si="582"/>
        <v>0</v>
      </c>
      <c r="CM107" s="117">
        <f>SUM(CM100:CM106)</f>
        <v>1064</v>
      </c>
      <c r="CN107" s="117">
        <f>SUM(CN100:CN106)</f>
        <v>4109</v>
      </c>
      <c r="CO107" s="117">
        <f>SUM(CO100:CO106)</f>
        <v>2760</v>
      </c>
      <c r="CP107" s="117">
        <f t="shared" ref="CP107" si="583">SUM(CP100:CP106)</f>
        <v>538</v>
      </c>
      <c r="CQ107" s="117">
        <f>SUM(CQ100:CQ106)</f>
        <v>689</v>
      </c>
      <c r="CR107" s="117">
        <f>SUM(CR100:CR106)</f>
        <v>2459</v>
      </c>
      <c r="CS107" s="117">
        <f>SUM(CS100:CS106)</f>
        <v>3571</v>
      </c>
      <c r="CT107" s="117">
        <f>SUM(CT100:CT106)</f>
        <v>4771</v>
      </c>
      <c r="CU107" s="117">
        <v>1391</v>
      </c>
    </row>
    <row r="108" spans="2:99">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CI108" s="114"/>
      <c r="CJ108" s="114"/>
      <c r="CK108" s="114"/>
      <c r="CL108" s="114"/>
      <c r="CM108" s="117"/>
      <c r="CQ108" s="117"/>
      <c r="CR108" s="117"/>
    </row>
    <row r="109" spans="2:99">
      <c r="B109" s="112" t="s">
        <v>1361</v>
      </c>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CI109" s="114"/>
      <c r="CJ109" s="114"/>
      <c r="CK109" s="114"/>
      <c r="CL109" s="114"/>
      <c r="CM109" s="117">
        <f>1124+550</f>
        <v>1674</v>
      </c>
      <c r="CN109" s="117">
        <f>1125+550-CM109</f>
        <v>1</v>
      </c>
      <c r="CO109" s="117">
        <f>-1+1125+550-CN109-CM109</f>
        <v>-1</v>
      </c>
      <c r="CP109" s="117">
        <f>-1+1123+550-CO109-CN109-CM109</f>
        <v>-2</v>
      </c>
      <c r="CQ109" s="117">
        <v>-230</v>
      </c>
      <c r="CR109" s="117">
        <f>34-CQ109</f>
        <v>264</v>
      </c>
      <c r="CS109" s="117">
        <f>0-CR109-CQ109+81</f>
        <v>47</v>
      </c>
      <c r="CT109" s="117">
        <f>50-CS109-CR109-CQ109</f>
        <v>-31</v>
      </c>
    </row>
    <row r="110" spans="2:99">
      <c r="B110" s="112" t="s">
        <v>448</v>
      </c>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CI110" s="114"/>
      <c r="CJ110" s="114"/>
      <c r="CK110" s="114"/>
      <c r="CL110" s="114"/>
      <c r="CM110" s="117">
        <v>28</v>
      </c>
      <c r="CN110" s="117">
        <f>87-CM110</f>
        <v>59</v>
      </c>
      <c r="CO110" s="117">
        <f>74-CN110-CM110</f>
        <v>-13</v>
      </c>
      <c r="CP110" s="117">
        <f>225-CO110-CN110-CM110</f>
        <v>151</v>
      </c>
      <c r="CQ110" s="117"/>
      <c r="CR110" s="117"/>
    </row>
    <row r="111" spans="2:99">
      <c r="B111" s="112" t="s">
        <v>1381</v>
      </c>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CI111" s="114"/>
      <c r="CJ111" s="114"/>
      <c r="CK111" s="114"/>
      <c r="CL111" s="114"/>
      <c r="CM111" s="117">
        <v>0</v>
      </c>
      <c r="CN111" s="117">
        <v>0</v>
      </c>
      <c r="CO111" s="117">
        <v>0</v>
      </c>
      <c r="CP111" s="117">
        <f>-26989-CO111-CN111-CM111</f>
        <v>-26989</v>
      </c>
      <c r="CQ111" s="117"/>
      <c r="CR111" s="117"/>
    </row>
    <row r="112" spans="2:99">
      <c r="B112" s="112" t="s">
        <v>1362</v>
      </c>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v>-344</v>
      </c>
      <c r="CN112" s="117">
        <f>-615-CM112</f>
        <v>-271</v>
      </c>
      <c r="CO112" s="117">
        <f>-863-CN112-CM112</f>
        <v>-248</v>
      </c>
      <c r="CP112" s="117">
        <f>-1112-CO112-CN112-CM112</f>
        <v>-249</v>
      </c>
      <c r="CQ112" s="117">
        <v>13</v>
      </c>
      <c r="CR112" s="117">
        <f>-468-CQ112</f>
        <v>-481</v>
      </c>
      <c r="CS112" s="117">
        <f>-725-CR112-CQ112</f>
        <v>-257</v>
      </c>
      <c r="CT112" s="117">
        <f>-1096-CS112-CR112-CQ112</f>
        <v>-371</v>
      </c>
      <c r="CU112" s="114">
        <v>-411</v>
      </c>
    </row>
    <row r="113" spans="2:128">
      <c r="B113" s="112" t="s">
        <v>1360</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E113" s="117">
        <f t="shared" ref="CE113" si="584">SUM(CE109:CE112)</f>
        <v>0</v>
      </c>
      <c r="CF113" s="117">
        <f t="shared" ref="CF113" si="585">SUM(CF109:CF112)</f>
        <v>0</v>
      </c>
      <c r="CG113" s="117">
        <f t="shared" ref="CG113" si="586">SUM(CG109:CG112)</f>
        <v>0</v>
      </c>
      <c r="CH113" s="117">
        <f t="shared" ref="CH113" si="587">SUM(CH109:CH112)</f>
        <v>0</v>
      </c>
      <c r="CI113" s="117">
        <f t="shared" ref="CI113:CL113" si="588">SUM(CI109:CI112)</f>
        <v>0</v>
      </c>
      <c r="CJ113" s="117">
        <f t="shared" si="588"/>
        <v>0</v>
      </c>
      <c r="CK113" s="117">
        <f t="shared" si="588"/>
        <v>0</v>
      </c>
      <c r="CL113" s="117">
        <f t="shared" si="588"/>
        <v>0</v>
      </c>
      <c r="CM113" s="117">
        <f>SUM(CM109:CM112)</f>
        <v>1358</v>
      </c>
      <c r="CN113" s="117">
        <f>SUM(CN109:CN112)</f>
        <v>-211</v>
      </c>
      <c r="CO113" s="117">
        <f>SUM(CO109:CO112)</f>
        <v>-262</v>
      </c>
      <c r="CP113" s="117">
        <f>SUM(CP109:CP112)</f>
        <v>-27089</v>
      </c>
      <c r="CQ113" s="117">
        <f t="shared" ref="CQ113:CT113" si="589">SUM(CQ109:CQ112)</f>
        <v>-217</v>
      </c>
      <c r="CR113" s="117">
        <f t="shared" si="589"/>
        <v>-217</v>
      </c>
      <c r="CS113" s="117">
        <f t="shared" si="589"/>
        <v>-210</v>
      </c>
      <c r="CT113" s="117">
        <f t="shared" si="589"/>
        <v>-402</v>
      </c>
    </row>
    <row r="114" spans="2:128">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c r="CQ114" s="117"/>
      <c r="CR114" s="117"/>
    </row>
    <row r="115" spans="2:128">
      <c r="B115" s="112" t="s">
        <v>1011</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f>23798-420-704</f>
        <v>22674</v>
      </c>
      <c r="CN115" s="117">
        <f>23780-420-704-CM115</f>
        <v>-18</v>
      </c>
      <c r="CO115" s="117">
        <f>23781-550-1454-CN115-CM115</f>
        <v>-879</v>
      </c>
      <c r="CP115" s="117">
        <f>27777-647-1454-CO115-CN115-CM115</f>
        <v>3899</v>
      </c>
      <c r="CQ115" s="117">
        <f>-410-1208</f>
        <v>-1618</v>
      </c>
      <c r="CR115" s="117">
        <f>-410-1400-CQ115</f>
        <v>-192</v>
      </c>
      <c r="CS115" s="117">
        <f>-659-3600-CR115-CQ115</f>
        <v>-2449</v>
      </c>
      <c r="CT115" s="117">
        <f>-659-3600-CS115-CR115-CQ115</f>
        <v>0</v>
      </c>
    </row>
    <row r="116" spans="2:128">
      <c r="B116" s="112" t="s">
        <v>1536</v>
      </c>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v>0</v>
      </c>
      <c r="CN116" s="117">
        <v>0</v>
      </c>
      <c r="CO116" s="117">
        <v>0</v>
      </c>
      <c r="CP116" s="117">
        <v>0</v>
      </c>
      <c r="CQ116" s="117">
        <v>0</v>
      </c>
      <c r="CR116" s="117">
        <v>0</v>
      </c>
      <c r="CS116" s="117">
        <v>0</v>
      </c>
      <c r="CT116" s="117">
        <f>-200-CS116-CR116-CQ116</f>
        <v>-200</v>
      </c>
    </row>
    <row r="117" spans="2:128">
      <c r="B117" s="112" t="s">
        <v>1364</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v>-1137</v>
      </c>
      <c r="CN117" s="117">
        <f>-2276-CM117</f>
        <v>-1139</v>
      </c>
      <c r="CO117" s="117">
        <f>-3416-CN117-CM117</f>
        <v>-1140</v>
      </c>
      <c r="CP117" s="117">
        <f>-4556-CO117-CN117-CM117</f>
        <v>-1140</v>
      </c>
      <c r="CQ117" s="117">
        <v>-90</v>
      </c>
      <c r="CR117" s="117">
        <f>-2417-CQ117</f>
        <v>-2327</v>
      </c>
      <c r="CS117" s="117">
        <f>-3627-CR117-CQ117</f>
        <v>-1210</v>
      </c>
      <c r="CT117" s="117">
        <f>-4832-CS117-CR117-CQ117</f>
        <v>-1205</v>
      </c>
    </row>
    <row r="118" spans="2:128">
      <c r="B118" s="112" t="s">
        <v>448</v>
      </c>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v>-28</v>
      </c>
      <c r="CN118" s="117">
        <f>-81-CM118</f>
        <v>-53</v>
      </c>
      <c r="CO118" s="117">
        <f>-67-CN118-CM118</f>
        <v>14</v>
      </c>
      <c r="CP118" s="117">
        <f>-72-CO118-CN118-CM118</f>
        <v>-5</v>
      </c>
      <c r="CQ118" s="117">
        <v>0</v>
      </c>
      <c r="CR118" s="117">
        <f>-130-CQ118</f>
        <v>-130</v>
      </c>
      <c r="CS118" s="117">
        <f>-122-CR118-CQ118</f>
        <v>8</v>
      </c>
      <c r="CT118" s="117">
        <f>-124-CS118-CR118-CQ118</f>
        <v>-2</v>
      </c>
    </row>
    <row r="119" spans="2:128">
      <c r="B119" s="112" t="s">
        <v>1363</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E119" s="117">
        <f t="shared" ref="CE119:CH119" si="590">SUM(CE115:CE118)</f>
        <v>0</v>
      </c>
      <c r="CF119" s="117">
        <f t="shared" si="590"/>
        <v>0</v>
      </c>
      <c r="CG119" s="117">
        <f t="shared" si="590"/>
        <v>0</v>
      </c>
      <c r="CH119" s="117">
        <f t="shared" si="590"/>
        <v>0</v>
      </c>
      <c r="CI119" s="117">
        <f t="shared" ref="CI119:CL119" si="591">SUM(CI115:CI118)</f>
        <v>0</v>
      </c>
      <c r="CJ119" s="117">
        <f t="shared" si="591"/>
        <v>0</v>
      </c>
      <c r="CK119" s="117">
        <f t="shared" si="591"/>
        <v>0</v>
      </c>
      <c r="CL119" s="117">
        <f t="shared" si="591"/>
        <v>0</v>
      </c>
      <c r="CM119" s="117">
        <f t="shared" ref="CM119:CT119" si="592">SUM(CM115:CM118)</f>
        <v>21509</v>
      </c>
      <c r="CN119" s="117">
        <f t="shared" si="592"/>
        <v>-1210</v>
      </c>
      <c r="CO119" s="117">
        <f t="shared" si="592"/>
        <v>-2005</v>
      </c>
      <c r="CP119" s="117">
        <f t="shared" si="592"/>
        <v>2754</v>
      </c>
      <c r="CQ119" s="117">
        <f t="shared" si="592"/>
        <v>-1708</v>
      </c>
      <c r="CR119" s="117">
        <f t="shared" si="592"/>
        <v>-2649</v>
      </c>
      <c r="CS119" s="117">
        <f t="shared" si="592"/>
        <v>-3651</v>
      </c>
      <c r="CT119" s="117">
        <f t="shared" si="592"/>
        <v>-1407</v>
      </c>
    </row>
    <row r="120" spans="2:128">
      <c r="B120" s="112" t="s">
        <v>1365</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E120" s="117">
        <f t="shared" ref="CE120:CH120" si="593">+CE119+CE113+CE107</f>
        <v>0</v>
      </c>
      <c r="CF120" s="117">
        <f t="shared" si="593"/>
        <v>0</v>
      </c>
      <c r="CG120" s="117">
        <f t="shared" si="593"/>
        <v>0</v>
      </c>
      <c r="CH120" s="117">
        <f t="shared" si="593"/>
        <v>0</v>
      </c>
      <c r="CI120" s="117">
        <f t="shared" ref="CI120:CL120" si="594">+CI119+CI113+CI107</f>
        <v>0</v>
      </c>
      <c r="CJ120" s="117">
        <f t="shared" si="594"/>
        <v>0</v>
      </c>
      <c r="CK120" s="117">
        <f t="shared" si="594"/>
        <v>0</v>
      </c>
      <c r="CL120" s="117">
        <f t="shared" si="594"/>
        <v>0</v>
      </c>
      <c r="CM120" s="117">
        <f t="shared" ref="CM120:CT120" si="595">+CM119+CM113+CM107</f>
        <v>23931</v>
      </c>
      <c r="CN120" s="117">
        <f t="shared" si="595"/>
        <v>2688</v>
      </c>
      <c r="CO120" s="117">
        <f t="shared" si="595"/>
        <v>493</v>
      </c>
      <c r="CP120" s="117">
        <f t="shared" si="595"/>
        <v>-23797</v>
      </c>
      <c r="CQ120" s="117">
        <f t="shared" si="595"/>
        <v>-1236</v>
      </c>
      <c r="CR120" s="117">
        <f t="shared" si="595"/>
        <v>-407</v>
      </c>
      <c r="CS120" s="117">
        <f t="shared" si="595"/>
        <v>-290</v>
      </c>
      <c r="CT120" s="117">
        <f t="shared" si="595"/>
        <v>2962</v>
      </c>
    </row>
    <row r="121" spans="2:128">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R121" s="117"/>
    </row>
    <row r="122" spans="2:128">
      <c r="B122" s="4" t="s">
        <v>382</v>
      </c>
      <c r="CI122" s="114"/>
      <c r="CJ122" s="114"/>
      <c r="CK122" s="114"/>
      <c r="CL122" s="114"/>
      <c r="DC122" s="67">
        <v>2084</v>
      </c>
      <c r="DD122" s="67">
        <v>2686</v>
      </c>
      <c r="DE122" s="67">
        <v>3406</v>
      </c>
      <c r="DF122" s="67">
        <v>4760</v>
      </c>
      <c r="DV122" s="71">
        <v>14783</v>
      </c>
      <c r="DW122" s="71">
        <v>15443</v>
      </c>
      <c r="DX122" s="71">
        <v>16625</v>
      </c>
    </row>
    <row r="123" spans="2:128">
      <c r="B123" s="4" t="s">
        <v>383</v>
      </c>
      <c r="CI123" s="114"/>
      <c r="CJ123" s="114"/>
      <c r="CK123" s="114"/>
      <c r="CL123" s="114"/>
      <c r="DC123" s="67">
        <v>989</v>
      </c>
      <c r="DD123" s="67">
        <v>1596</v>
      </c>
      <c r="DE123" s="67">
        <v>1683</v>
      </c>
      <c r="DF123" s="67">
        <v>2370</v>
      </c>
      <c r="DV123" s="71">
        <v>7681</v>
      </c>
      <c r="DW123" s="71">
        <v>8319</v>
      </c>
      <c r="DX123" s="71">
        <v>9775</v>
      </c>
    </row>
    <row r="124" spans="2:128">
      <c r="B124" s="4" t="s">
        <v>384</v>
      </c>
      <c r="CI124" s="114"/>
      <c r="CJ124" s="114"/>
      <c r="CK124" s="114"/>
      <c r="CL124" s="114"/>
      <c r="DC124" s="67">
        <v>844</v>
      </c>
      <c r="DD124" s="67">
        <v>1340</v>
      </c>
      <c r="DE124" s="67">
        <v>1809</v>
      </c>
      <c r="DF124" s="67">
        <v>2140</v>
      </c>
      <c r="DV124" s="71">
        <v>15187</v>
      </c>
      <c r="DW124" s="71">
        <v>17305</v>
      </c>
      <c r="DX124" s="71">
        <v>19035</v>
      </c>
    </row>
    <row r="125" spans="2:128">
      <c r="B125" s="4" t="s">
        <v>386</v>
      </c>
      <c r="CI125" s="114"/>
      <c r="CJ125" s="114"/>
      <c r="CK125" s="114"/>
      <c r="CL125" s="114"/>
      <c r="DC125" s="67"/>
      <c r="DD125" s="67">
        <v>1359</v>
      </c>
      <c r="DE125" s="67">
        <v>2592</v>
      </c>
      <c r="DF125" s="67">
        <v>3794</v>
      </c>
    </row>
    <row r="126" spans="2:128">
      <c r="CI126" s="114"/>
      <c r="CJ126" s="114"/>
      <c r="CK126" s="114"/>
      <c r="CL126" s="114"/>
      <c r="DD126" s="67"/>
      <c r="DE126" s="67"/>
      <c r="DF126" s="67"/>
    </row>
    <row r="127" spans="2:128">
      <c r="CI127" s="114"/>
      <c r="CJ127" s="114"/>
      <c r="CK127" s="114"/>
      <c r="CL127" s="114"/>
    </row>
    <row r="128" spans="2:128">
      <c r="B128" s="4" t="s">
        <v>385</v>
      </c>
      <c r="CI128" s="114"/>
      <c r="CJ128" s="114"/>
      <c r="CK128" s="114"/>
      <c r="CL128" s="114"/>
      <c r="DC128" s="67">
        <v>10100</v>
      </c>
      <c r="DD128" s="67">
        <v>12900</v>
      </c>
      <c r="DE128" s="67">
        <v>14400</v>
      </c>
      <c r="DF128" s="67">
        <v>16500</v>
      </c>
    </row>
    <row r="129" spans="2:110">
      <c r="B129" s="4" t="s">
        <v>443</v>
      </c>
      <c r="CI129" s="114"/>
      <c r="CJ129" s="114"/>
      <c r="CK129" s="114"/>
      <c r="CL129" s="114"/>
      <c r="DC129" s="67">
        <v>3400</v>
      </c>
      <c r="DD129" s="67">
        <v>4700</v>
      </c>
      <c r="DE129" s="67">
        <v>5600</v>
      </c>
      <c r="DF129" s="67">
        <v>6500</v>
      </c>
    </row>
    <row r="130" spans="2:110">
      <c r="B130" s="4" t="s">
        <v>444</v>
      </c>
      <c r="CI130" s="114"/>
      <c r="CJ130" s="114"/>
      <c r="CK130" s="114"/>
      <c r="CL130" s="114"/>
      <c r="DC130" s="67">
        <v>2200</v>
      </c>
      <c r="DD130" s="67">
        <v>2600</v>
      </c>
      <c r="DE130" s="67">
        <v>2700</v>
      </c>
      <c r="DF130" s="67">
        <v>3000</v>
      </c>
    </row>
    <row r="131" spans="2:110">
      <c r="CI131" s="114"/>
      <c r="CJ131" s="114"/>
      <c r="CK131" s="114"/>
      <c r="CL131" s="114"/>
    </row>
    <row r="132" spans="2:110">
      <c r="B132" s="4" t="s">
        <v>522</v>
      </c>
      <c r="K132" s="80">
        <f t="shared" ref="K132:AA132" si="596">K57</f>
        <v>0.84193493442343725</v>
      </c>
      <c r="L132" s="80">
        <f t="shared" si="596"/>
        <v>0.8411640781931311</v>
      </c>
      <c r="M132" s="80">
        <f t="shared" si="596"/>
        <v>0.84783986957703106</v>
      </c>
      <c r="N132" s="80">
        <f t="shared" si="596"/>
        <v>0.8365720617062985</v>
      </c>
      <c r="O132" s="80">
        <f t="shared" si="596"/>
        <v>0.84143582739340128</v>
      </c>
      <c r="P132" s="80">
        <f t="shared" si="596"/>
        <v>0.83169542675849262</v>
      </c>
      <c r="Q132" s="80">
        <f t="shared" si="596"/>
        <v>0.83523774419461849</v>
      </c>
      <c r="R132" s="80">
        <f t="shared" si="596"/>
        <v>0.83636988655895494</v>
      </c>
      <c r="S132" s="80">
        <f t="shared" si="596"/>
        <v>0.82739145781856693</v>
      </c>
      <c r="T132" s="80">
        <f t="shared" si="596"/>
        <v>0.83291298865069352</v>
      </c>
      <c r="U132" s="80">
        <f t="shared" si="596"/>
        <v>0.83988585922637915</v>
      </c>
      <c r="V132" s="80">
        <f t="shared" si="596"/>
        <v>0.84377866095995113</v>
      </c>
      <c r="W132" s="80">
        <f t="shared" si="596"/>
        <v>0.82841156356854218</v>
      </c>
      <c r="X132" s="80">
        <f t="shared" si="596"/>
        <v>0.86348501664816868</v>
      </c>
      <c r="Y132" s="80">
        <f t="shared" si="596"/>
        <v>0.86572535991140642</v>
      </c>
      <c r="Z132" s="80">
        <f t="shared" si="596"/>
        <v>0.85632333767926994</v>
      </c>
      <c r="AA132" s="80">
        <f t="shared" si="596"/>
        <v>0.84838622186059132</v>
      </c>
      <c r="CI132" s="114"/>
      <c r="CJ132" s="114"/>
      <c r="CK132" s="114"/>
      <c r="CL132" s="114"/>
    </row>
    <row r="133" spans="2:110">
      <c r="B133" s="14" t="s">
        <v>1006</v>
      </c>
      <c r="K133" s="87">
        <f>K136+K139+K142+K145+K148</f>
        <v>0.82697041957644934</v>
      </c>
      <c r="L133" s="87">
        <f>L136+L139+L142+L145+L148</f>
        <v>0.83118465533290853</v>
      </c>
      <c r="M133" s="87">
        <f>M136+M139+M142+M145+M148</f>
        <v>0.83268906801920117</v>
      </c>
      <c r="N133" s="87">
        <f>N136+N139+N142+N145+N148</f>
        <v>0.83712477627205317</v>
      </c>
      <c r="O133" s="87">
        <f t="shared" ref="O133:AA133" si="597">O136+O139+O142+O145+O148</f>
        <v>0.83289726407443776</v>
      </c>
      <c r="P133" s="87">
        <f t="shared" si="597"/>
        <v>0.83182117155459245</v>
      </c>
      <c r="Q133" s="87">
        <f t="shared" si="597"/>
        <v>0.8328179137486178</v>
      </c>
      <c r="R133" s="87">
        <f t="shared" si="597"/>
        <v>0.83671983499484348</v>
      </c>
      <c r="S133" s="87">
        <f t="shared" si="597"/>
        <v>0.83914719378750435</v>
      </c>
      <c r="T133" s="87">
        <f t="shared" si="597"/>
        <v>0.84101576292559899</v>
      </c>
      <c r="U133" s="87">
        <f t="shared" si="597"/>
        <v>0.83964013950538996</v>
      </c>
      <c r="V133" s="87">
        <f t="shared" si="597"/>
        <v>0.84082788138184039</v>
      </c>
      <c r="W133" s="87">
        <f t="shared" si="597"/>
        <v>0.84216195212931289</v>
      </c>
      <c r="X133" s="87">
        <f t="shared" si="597"/>
        <v>0.8605649278579357</v>
      </c>
      <c r="Y133" s="87">
        <f t="shared" si="597"/>
        <v>0.86576550387596896</v>
      </c>
      <c r="Z133" s="87">
        <f t="shared" si="597"/>
        <v>0.86224250325945251</v>
      </c>
      <c r="AA133" s="87">
        <f t="shared" si="597"/>
        <v>0.85791971792785471</v>
      </c>
      <c r="CI133" s="114"/>
      <c r="CJ133" s="114"/>
      <c r="CK133" s="114"/>
      <c r="CL133" s="114"/>
    </row>
    <row r="134" spans="2:110">
      <c r="B134" s="4" t="s">
        <v>1007</v>
      </c>
      <c r="K134" s="62">
        <f t="shared" ref="K134:AA134" si="598">K5/K43</f>
        <v>0.45528870720490555</v>
      </c>
      <c r="L134" s="62">
        <f t="shared" si="598"/>
        <v>0.46974670520797607</v>
      </c>
      <c r="M134" s="62">
        <f t="shared" si="598"/>
        <v>0.4819309845122724</v>
      </c>
      <c r="N134" s="62">
        <f t="shared" si="598"/>
        <v>0.49160487513849821</v>
      </c>
      <c r="O134" s="62">
        <f t="shared" si="598"/>
        <v>0.48358871484058225</v>
      </c>
      <c r="P134" s="62">
        <f t="shared" si="598"/>
        <v>0.48347906832778764</v>
      </c>
      <c r="Q134" s="62">
        <f t="shared" si="598"/>
        <v>0.47511979358643569</v>
      </c>
      <c r="R134" s="62">
        <f t="shared" si="598"/>
        <v>0.48195256101753181</v>
      </c>
      <c r="S134" s="62">
        <f t="shared" si="598"/>
        <v>0.46099541122484999</v>
      </c>
      <c r="T134" s="62">
        <f t="shared" si="598"/>
        <v>0.46784363177805799</v>
      </c>
      <c r="U134" s="62">
        <f t="shared" si="598"/>
        <v>0.45624603677869374</v>
      </c>
      <c r="V134" s="62">
        <f t="shared" si="598"/>
        <v>0.4582696423112198</v>
      </c>
      <c r="W134" s="62">
        <f t="shared" si="598"/>
        <v>0.46534037923531241</v>
      </c>
      <c r="X134" s="62">
        <f t="shared" si="598"/>
        <v>0.462819089900111</v>
      </c>
      <c r="Y134" s="62">
        <f t="shared" si="598"/>
        <v>0.47065337763012183</v>
      </c>
      <c r="Z134" s="62">
        <f t="shared" si="598"/>
        <v>0.46075619295958281</v>
      </c>
      <c r="AA134" s="62">
        <f t="shared" si="598"/>
        <v>0.44616219148359099</v>
      </c>
      <c r="CI134" s="114"/>
      <c r="CJ134" s="114"/>
      <c r="CK134" s="114"/>
      <c r="CL134" s="114"/>
    </row>
    <row r="135" spans="2:110">
      <c r="B135" s="4" t="s">
        <v>1008</v>
      </c>
      <c r="K135" s="79">
        <v>0.87</v>
      </c>
      <c r="L135" s="79">
        <v>0.87</v>
      </c>
      <c r="M135" s="79">
        <v>0.87</v>
      </c>
      <c r="N135" s="79">
        <v>0.87</v>
      </c>
      <c r="O135" s="79">
        <v>0.87</v>
      </c>
      <c r="P135" s="79">
        <v>0.87</v>
      </c>
      <c r="Q135" s="79">
        <f>P135+0.001</f>
        <v>0.871</v>
      </c>
      <c r="R135" s="79">
        <f t="shared" ref="R135:X135" si="599">Q135+0.001</f>
        <v>0.872</v>
      </c>
      <c r="S135" s="79">
        <f t="shared" si="599"/>
        <v>0.873</v>
      </c>
      <c r="T135" s="79">
        <f t="shared" si="599"/>
        <v>0.874</v>
      </c>
      <c r="U135" s="79">
        <f t="shared" si="599"/>
        <v>0.875</v>
      </c>
      <c r="V135" s="79">
        <f t="shared" si="599"/>
        <v>0.876</v>
      </c>
      <c r="W135" s="79">
        <f t="shared" si="599"/>
        <v>0.877</v>
      </c>
      <c r="X135" s="79">
        <f t="shared" si="599"/>
        <v>0.878</v>
      </c>
      <c r="Y135" s="79">
        <v>0.9</v>
      </c>
      <c r="Z135" s="79">
        <v>0.9</v>
      </c>
      <c r="AA135" s="79">
        <v>0.9</v>
      </c>
      <c r="CI135" s="114"/>
      <c r="CJ135" s="114"/>
      <c r="CK135" s="114"/>
      <c r="CL135" s="114"/>
    </row>
    <row r="136" spans="2:110">
      <c r="B136" s="4" t="s">
        <v>182</v>
      </c>
      <c r="K136" s="88">
        <f>K135*K134</f>
        <v>0.39610117526826782</v>
      </c>
      <c r="L136" s="88">
        <f>L135*L134</f>
        <v>0.40867963353093917</v>
      </c>
      <c r="M136" s="88">
        <f>M135*M134</f>
        <v>0.41927995652567701</v>
      </c>
      <c r="N136" s="88">
        <f>N135*N134</f>
        <v>0.42769624137049345</v>
      </c>
      <c r="O136" s="88">
        <f t="shared" ref="O136:X136" si="600">O135*O134</f>
        <v>0.42072218191130656</v>
      </c>
      <c r="P136" s="88">
        <f t="shared" si="600"/>
        <v>0.42062678944517523</v>
      </c>
      <c r="Q136" s="88">
        <f t="shared" si="600"/>
        <v>0.41382934021378548</v>
      </c>
      <c r="R136" s="88">
        <f t="shared" si="600"/>
        <v>0.42026263320728774</v>
      </c>
      <c r="S136" s="88">
        <f t="shared" si="600"/>
        <v>0.40244899399929407</v>
      </c>
      <c r="T136" s="88">
        <f t="shared" si="600"/>
        <v>0.40889533417402268</v>
      </c>
      <c r="U136" s="88">
        <f t="shared" si="600"/>
        <v>0.39921528218135705</v>
      </c>
      <c r="V136" s="88">
        <f t="shared" si="600"/>
        <v>0.40144420666462854</v>
      </c>
      <c r="W136" s="88">
        <f t="shared" si="600"/>
        <v>0.408103512589369</v>
      </c>
      <c r="X136" s="88">
        <f t="shared" si="600"/>
        <v>0.40635516093229745</v>
      </c>
      <c r="Y136" s="88">
        <f>Y135*Y134</f>
        <v>0.42358803986710963</v>
      </c>
      <c r="Z136" s="88">
        <f>Z135*Z134</f>
        <v>0.41468057366362454</v>
      </c>
      <c r="AA136" s="88">
        <f>AA135*AA134</f>
        <v>0.40154597233523187</v>
      </c>
      <c r="CI136" s="114"/>
      <c r="CJ136" s="114"/>
      <c r="CK136" s="114"/>
      <c r="CL136" s="114"/>
    </row>
    <row r="137" spans="2:110">
      <c r="B137" s="4" t="s">
        <v>180</v>
      </c>
      <c r="K137" s="62">
        <f t="shared" ref="K137:AA137" si="601">(K6+K7)/K43</f>
        <v>0.30772724691988873</v>
      </c>
      <c r="L137" s="62">
        <f t="shared" si="601"/>
        <v>0.31076380383126745</v>
      </c>
      <c r="M137" s="62">
        <f t="shared" si="601"/>
        <v>0.29752739788062676</v>
      </c>
      <c r="N137" s="62">
        <f t="shared" si="601"/>
        <v>0.29357368107048498</v>
      </c>
      <c r="O137" s="62">
        <f t="shared" si="601"/>
        <v>0.28328140338896246</v>
      </c>
      <c r="P137" s="62">
        <f t="shared" si="601"/>
        <v>0.27899868451597926</v>
      </c>
      <c r="Q137" s="62">
        <f t="shared" si="601"/>
        <v>0.27718392922963508</v>
      </c>
      <c r="R137" s="62">
        <f t="shared" si="601"/>
        <v>0.26744585768305257</v>
      </c>
      <c r="S137" s="62">
        <f t="shared" si="601"/>
        <v>0.2806212495587716</v>
      </c>
      <c r="T137" s="62">
        <f t="shared" si="601"/>
        <v>0.28341740226986128</v>
      </c>
      <c r="U137" s="62">
        <f t="shared" si="601"/>
        <v>0.27964489537095749</v>
      </c>
      <c r="V137" s="62">
        <f t="shared" si="601"/>
        <v>0.28370528890247632</v>
      </c>
      <c r="W137" s="62">
        <f t="shared" si="601"/>
        <v>0.27852036058439539</v>
      </c>
      <c r="X137" s="62">
        <f t="shared" si="601"/>
        <v>0.27885682574916759</v>
      </c>
      <c r="Y137" s="62">
        <f t="shared" si="601"/>
        <v>0.27630121816168329</v>
      </c>
      <c r="Z137" s="62">
        <f t="shared" si="601"/>
        <v>0.26701434159061277</v>
      </c>
      <c r="AA137" s="62">
        <f t="shared" si="601"/>
        <v>0.27610523460808245</v>
      </c>
      <c r="CI137" s="114"/>
      <c r="CJ137" s="114"/>
      <c r="CK137" s="114"/>
      <c r="CL137" s="114"/>
    </row>
    <row r="138" spans="2:110">
      <c r="B138" s="4" t="s">
        <v>181</v>
      </c>
      <c r="K138" s="62">
        <v>0.85</v>
      </c>
      <c r="L138" s="62">
        <v>0.85</v>
      </c>
      <c r="M138" s="62">
        <v>0.85</v>
      </c>
      <c r="N138" s="62">
        <v>0.85</v>
      </c>
      <c r="O138" s="62">
        <v>0.85</v>
      </c>
      <c r="P138" s="62">
        <v>0.85</v>
      </c>
      <c r="Q138" s="62">
        <v>0.85</v>
      </c>
      <c r="R138" s="62">
        <v>0.85</v>
      </c>
      <c r="S138" s="62">
        <v>0.85</v>
      </c>
      <c r="T138" s="62">
        <v>0.85</v>
      </c>
      <c r="U138" s="62">
        <v>0.85</v>
      </c>
      <c r="V138" s="62">
        <v>0.85</v>
      </c>
      <c r="W138" s="62">
        <v>0.85</v>
      </c>
      <c r="X138" s="62">
        <v>0.92</v>
      </c>
      <c r="Y138" s="62">
        <v>0.9</v>
      </c>
      <c r="Z138" s="62">
        <v>0.9</v>
      </c>
      <c r="AA138" s="62">
        <v>0.9</v>
      </c>
      <c r="CI138" s="114"/>
      <c r="CJ138" s="114"/>
      <c r="CK138" s="114"/>
      <c r="CL138" s="114"/>
    </row>
    <row r="139" spans="2:110">
      <c r="B139" s="4" t="s">
        <v>183</v>
      </c>
      <c r="K139" s="88">
        <f>K138*K137</f>
        <v>0.2615681598819054</v>
      </c>
      <c r="L139" s="88">
        <f>L138*L137</f>
        <v>0.2641492332565773</v>
      </c>
      <c r="M139" s="88">
        <f>M138*M137</f>
        <v>0.25289828819853272</v>
      </c>
      <c r="N139" s="88">
        <f>N138*N137</f>
        <v>0.24953762890991224</v>
      </c>
      <c r="O139" s="88">
        <f>O138*O137</f>
        <v>0.24078919288061809</v>
      </c>
      <c r="P139" s="88">
        <f t="shared" ref="P139:X139" si="602">P138*P137</f>
        <v>0.23714888183858235</v>
      </c>
      <c r="Q139" s="88">
        <f t="shared" si="602"/>
        <v>0.2356063398451898</v>
      </c>
      <c r="R139" s="88">
        <f t="shared" si="602"/>
        <v>0.22732897903059468</v>
      </c>
      <c r="S139" s="88">
        <f t="shared" si="602"/>
        <v>0.23852806212495586</v>
      </c>
      <c r="T139" s="88">
        <f t="shared" si="602"/>
        <v>0.24090479192938208</v>
      </c>
      <c r="U139" s="88">
        <f t="shared" si="602"/>
        <v>0.23769816106531386</v>
      </c>
      <c r="V139" s="88">
        <f t="shared" si="602"/>
        <v>0.24114949556710485</v>
      </c>
      <c r="W139" s="88">
        <f t="shared" si="602"/>
        <v>0.23674230649673608</v>
      </c>
      <c r="X139" s="88">
        <f t="shared" si="602"/>
        <v>0.25654827968923422</v>
      </c>
      <c r="Y139" s="88">
        <f>Y138*Y137</f>
        <v>0.24867109634551496</v>
      </c>
      <c r="Z139" s="88">
        <f>Z138*Z137</f>
        <v>0.24031290743155151</v>
      </c>
      <c r="AA139" s="88">
        <f>AA138*AA137</f>
        <v>0.2484947111472742</v>
      </c>
      <c r="CI139" s="114"/>
      <c r="CJ139" s="114"/>
      <c r="CK139" s="114"/>
      <c r="CL139" s="114"/>
    </row>
    <row r="140" spans="2:110">
      <c r="B140" s="4" t="s">
        <v>642</v>
      </c>
      <c r="K140" s="62">
        <f t="shared" ref="K140:AA140" si="603">K8/K43</f>
        <v>0.1555669108045194</v>
      </c>
      <c r="L140" s="62">
        <f t="shared" si="603"/>
        <v>0.14893929743765616</v>
      </c>
      <c r="M140" s="62">
        <f t="shared" si="603"/>
        <v>0.1548772756090934</v>
      </c>
      <c r="N140" s="62">
        <f t="shared" si="603"/>
        <v>0.16193641864825706</v>
      </c>
      <c r="O140" s="62">
        <f t="shared" si="603"/>
        <v>0.16944811985146616</v>
      </c>
      <c r="P140" s="62">
        <f t="shared" si="603"/>
        <v>0.17039387139209161</v>
      </c>
      <c r="Q140" s="62">
        <f t="shared" si="603"/>
        <v>0.18282344268337633</v>
      </c>
      <c r="R140" s="62">
        <f t="shared" si="603"/>
        <v>0.19491234101065658</v>
      </c>
      <c r="S140" s="62">
        <f t="shared" si="603"/>
        <v>0.20896576067772679</v>
      </c>
      <c r="T140" s="62">
        <f t="shared" si="603"/>
        <v>0.20145018915510718</v>
      </c>
      <c r="U140" s="62">
        <f t="shared" si="603"/>
        <v>0.21179454660748256</v>
      </c>
      <c r="V140" s="62">
        <f t="shared" si="603"/>
        <v>0.20605319474166922</v>
      </c>
      <c r="W140" s="62">
        <f t="shared" si="603"/>
        <v>0.20453838980416536</v>
      </c>
      <c r="X140" s="62">
        <f t="shared" si="603"/>
        <v>0.20088790233074361</v>
      </c>
      <c r="Y140" s="62">
        <f t="shared" si="603"/>
        <v>0.1951827242524917</v>
      </c>
      <c r="Z140" s="62">
        <f t="shared" si="603"/>
        <v>0.20651890482398957</v>
      </c>
      <c r="AA140" s="62">
        <f t="shared" si="603"/>
        <v>0.19799294819636562</v>
      </c>
      <c r="CI140" s="114"/>
      <c r="CJ140" s="114"/>
      <c r="CK140" s="114"/>
      <c r="CL140" s="114"/>
    </row>
    <row r="141" spans="2:110">
      <c r="B141" s="4" t="s">
        <v>643</v>
      </c>
      <c r="K141" s="79">
        <v>0.82</v>
      </c>
      <c r="L141" s="79">
        <v>0.82</v>
      </c>
      <c r="M141" s="79">
        <v>0.82</v>
      </c>
      <c r="N141" s="79">
        <v>0.82</v>
      </c>
      <c r="O141" s="79">
        <v>0.82</v>
      </c>
      <c r="P141" s="79">
        <v>0.82</v>
      </c>
      <c r="Q141" s="79">
        <f>P141+0.001</f>
        <v>0.82099999999999995</v>
      </c>
      <c r="R141" s="79">
        <f t="shared" ref="R141:Y141" si="604">Q141+0.001</f>
        <v>0.82199999999999995</v>
      </c>
      <c r="S141" s="79">
        <f t="shared" si="604"/>
        <v>0.82299999999999995</v>
      </c>
      <c r="T141" s="79">
        <f t="shared" si="604"/>
        <v>0.82399999999999995</v>
      </c>
      <c r="U141" s="79">
        <f t="shared" si="604"/>
        <v>0.82499999999999996</v>
      </c>
      <c r="V141" s="79">
        <f t="shared" si="604"/>
        <v>0.82599999999999996</v>
      </c>
      <c r="W141" s="79">
        <f t="shared" si="604"/>
        <v>0.82699999999999996</v>
      </c>
      <c r="X141" s="79">
        <f t="shared" si="604"/>
        <v>0.82799999999999996</v>
      </c>
      <c r="Y141" s="79">
        <f t="shared" si="604"/>
        <v>0.82899999999999996</v>
      </c>
      <c r="Z141" s="79">
        <v>0.82499999999999996</v>
      </c>
      <c r="AA141" s="79">
        <v>0.82499999999999996</v>
      </c>
      <c r="CI141" s="114"/>
      <c r="CJ141" s="114"/>
      <c r="CK141" s="114"/>
      <c r="CL141" s="114"/>
    </row>
    <row r="142" spans="2:110">
      <c r="B142" s="4" t="s">
        <v>644</v>
      </c>
      <c r="K142" s="88">
        <f>K141*K140</f>
        <v>0.12756486685970589</v>
      </c>
      <c r="L142" s="88">
        <f>L141*L140</f>
        <v>0.12213022389887804</v>
      </c>
      <c r="M142" s="88">
        <f>M141*M140</f>
        <v>0.12699936599945658</v>
      </c>
      <c r="N142" s="88">
        <f>N141*N140</f>
        <v>0.13278786329157077</v>
      </c>
      <c r="O142" s="88">
        <f>O141*O140</f>
        <v>0.13894745827820223</v>
      </c>
      <c r="P142" s="88">
        <f t="shared" ref="P142:X142" si="605">P141*P140</f>
        <v>0.13972297454151511</v>
      </c>
      <c r="Q142" s="88">
        <f t="shared" si="605"/>
        <v>0.15009804644305197</v>
      </c>
      <c r="R142" s="88">
        <f t="shared" si="605"/>
        <v>0.1602179443107597</v>
      </c>
      <c r="S142" s="88">
        <f t="shared" si="605"/>
        <v>0.17197882103776915</v>
      </c>
      <c r="T142" s="88">
        <f t="shared" si="605"/>
        <v>0.1659949558638083</v>
      </c>
      <c r="U142" s="88">
        <f t="shared" si="605"/>
        <v>0.1747305009511731</v>
      </c>
      <c r="V142" s="88">
        <f t="shared" si="605"/>
        <v>0.17019993885661877</v>
      </c>
      <c r="W142" s="88">
        <f t="shared" si="605"/>
        <v>0.16915324836804474</v>
      </c>
      <c r="X142" s="88">
        <f t="shared" si="605"/>
        <v>0.16633518312985571</v>
      </c>
      <c r="Y142" s="88">
        <f>Y141*Y140</f>
        <v>0.16180647840531562</v>
      </c>
      <c r="Z142" s="88">
        <f>Z141*Z140</f>
        <v>0.17037809647979138</v>
      </c>
      <c r="AA142" s="88">
        <f>AA141*AA140</f>
        <v>0.16334418226200162</v>
      </c>
      <c r="CI142" s="114"/>
      <c r="CJ142" s="114"/>
      <c r="CK142" s="114"/>
      <c r="CL142" s="114"/>
    </row>
    <row r="143" spans="2:110">
      <c r="B143" s="4" t="s">
        <v>648</v>
      </c>
      <c r="K143" s="62">
        <f t="shared" ref="K143:AA143" si="606">(K15+K16+K18)/K43</f>
        <v>1.0276500312269348E-2</v>
      </c>
      <c r="L143" s="62">
        <f t="shared" si="606"/>
        <v>9.5046788496398991E-3</v>
      </c>
      <c r="M143" s="62">
        <f t="shared" si="606"/>
        <v>6.7928629653111134E-3</v>
      </c>
      <c r="N143" s="62">
        <f t="shared" si="606"/>
        <v>6.6053012869683797E-3</v>
      </c>
      <c r="O143" s="62">
        <f t="shared" si="606"/>
        <v>5.9755004481625348E-3</v>
      </c>
      <c r="P143" s="62">
        <f t="shared" si="606"/>
        <v>7.5833784724909084E-3</v>
      </c>
      <c r="Q143" s="62">
        <f t="shared" si="606"/>
        <v>8.4776999631404355E-3</v>
      </c>
      <c r="R143" s="62">
        <f t="shared" si="606"/>
        <v>1.0656583018219319E-2</v>
      </c>
      <c r="S143" s="62">
        <f t="shared" si="606"/>
        <v>1.4825273561595482E-2</v>
      </c>
      <c r="T143" s="62">
        <f t="shared" si="606"/>
        <v>1.5762925598991173E-2</v>
      </c>
      <c r="U143" s="62">
        <f t="shared" si="606"/>
        <v>1.8389346861128725E-2</v>
      </c>
      <c r="V143" s="62">
        <f t="shared" si="606"/>
        <v>2.0483032711708957E-2</v>
      </c>
      <c r="W143" s="62">
        <f t="shared" si="606"/>
        <v>2.3624494870997825E-2</v>
      </c>
      <c r="X143" s="62">
        <f t="shared" si="606"/>
        <v>2.6082130965593784E-2</v>
      </c>
      <c r="Y143" s="62">
        <f t="shared" si="606"/>
        <v>2.768549280177187E-2</v>
      </c>
      <c r="Z143" s="62">
        <f t="shared" si="606"/>
        <v>4.0156453715775753E-2</v>
      </c>
      <c r="AA143" s="62">
        <f t="shared" si="606"/>
        <v>4.6650393273664228E-2</v>
      </c>
      <c r="CI143" s="114"/>
      <c r="CJ143" s="114"/>
      <c r="CK143" s="114"/>
      <c r="CL143" s="114"/>
    </row>
    <row r="144" spans="2:110">
      <c r="B144" s="4" t="s">
        <v>649</v>
      </c>
      <c r="K144" s="86">
        <v>0.6</v>
      </c>
      <c r="L144" s="86">
        <v>0.6</v>
      </c>
      <c r="M144" s="86">
        <v>0.6</v>
      </c>
      <c r="N144" s="86">
        <v>0.6</v>
      </c>
      <c r="O144" s="86">
        <v>0.6</v>
      </c>
      <c r="P144" s="86">
        <v>0.6</v>
      </c>
      <c r="Q144" s="86">
        <v>0.6</v>
      </c>
      <c r="R144" s="86">
        <v>0.6</v>
      </c>
      <c r="S144" s="86">
        <v>0.6</v>
      </c>
      <c r="T144" s="86">
        <v>0.6</v>
      </c>
      <c r="U144" s="86">
        <v>0.6</v>
      </c>
      <c r="V144" s="86">
        <v>0.6</v>
      </c>
      <c r="W144" s="86">
        <v>0.6</v>
      </c>
      <c r="X144" s="86">
        <v>0.6</v>
      </c>
      <c r="Y144" s="86">
        <v>0.6</v>
      </c>
      <c r="Z144" s="86">
        <v>0.6</v>
      </c>
      <c r="AA144" s="86">
        <v>0.6</v>
      </c>
      <c r="CI144" s="114"/>
      <c r="CJ144" s="114"/>
      <c r="CK144" s="114"/>
      <c r="CL144" s="114"/>
    </row>
    <row r="145" spans="2:90">
      <c r="B145" s="4" t="s">
        <v>650</v>
      </c>
      <c r="K145" s="88">
        <f>K144*K143</f>
        <v>6.1659001873616091E-3</v>
      </c>
      <c r="L145" s="88">
        <f>L144*L143</f>
        <v>5.7028073097839397E-3</v>
      </c>
      <c r="M145" s="88">
        <f>M144*M143</f>
        <v>4.0757177791866678E-3</v>
      </c>
      <c r="N145" s="88">
        <f>N144*N143</f>
        <v>3.9631807721810276E-3</v>
      </c>
      <c r="O145" s="88">
        <f>O144*O143</f>
        <v>3.5853002688975206E-3</v>
      </c>
      <c r="P145" s="88">
        <f t="shared" ref="P145:X145" si="607">P144*P143</f>
        <v>4.5500270834945445E-3</v>
      </c>
      <c r="Q145" s="88">
        <f t="shared" si="607"/>
        <v>5.0866199778842611E-3</v>
      </c>
      <c r="R145" s="88">
        <f t="shared" si="607"/>
        <v>6.3939498109315913E-3</v>
      </c>
      <c r="S145" s="88">
        <f t="shared" si="607"/>
        <v>8.8951641369572881E-3</v>
      </c>
      <c r="T145" s="88">
        <f t="shared" si="607"/>
        <v>9.4577553593947032E-3</v>
      </c>
      <c r="U145" s="88">
        <f t="shared" si="607"/>
        <v>1.1033608116677234E-2</v>
      </c>
      <c r="V145" s="88">
        <f t="shared" si="607"/>
        <v>1.2289819627025375E-2</v>
      </c>
      <c r="W145" s="88">
        <f t="shared" si="607"/>
        <v>1.4174696922598694E-2</v>
      </c>
      <c r="X145" s="88">
        <f t="shared" si="607"/>
        <v>1.564927857935627E-2</v>
      </c>
      <c r="Y145" s="88">
        <f>Y144*Y143</f>
        <v>1.6611295681063121E-2</v>
      </c>
      <c r="Z145" s="88">
        <f>Z144*Z143</f>
        <v>2.4093872229465452E-2</v>
      </c>
      <c r="AA145" s="88">
        <f>AA144*AA143</f>
        <v>2.7990235964198536E-2</v>
      </c>
      <c r="CI145" s="114"/>
      <c r="CJ145" s="114"/>
      <c r="CK145" s="114"/>
      <c r="CL145" s="114"/>
    </row>
    <row r="146" spans="2:90">
      <c r="B146" s="4" t="s">
        <v>647</v>
      </c>
      <c r="K146" s="62">
        <f t="shared" ref="K146:AA146" si="608">K42/K43</f>
        <v>7.1140634758417073E-2</v>
      </c>
      <c r="L146" s="62">
        <f t="shared" si="608"/>
        <v>6.1045514673460387E-2</v>
      </c>
      <c r="M146" s="62">
        <f t="shared" si="608"/>
        <v>5.8871479032696315E-2</v>
      </c>
      <c r="N146" s="62">
        <f t="shared" si="608"/>
        <v>4.6279723855791356E-2</v>
      </c>
      <c r="O146" s="62">
        <f t="shared" si="608"/>
        <v>5.7706261470826754E-2</v>
      </c>
      <c r="P146" s="62">
        <f t="shared" si="608"/>
        <v>5.9544997291650553E-2</v>
      </c>
      <c r="Q146" s="62">
        <f t="shared" si="608"/>
        <v>5.6395134537412461E-2</v>
      </c>
      <c r="R146" s="62">
        <f t="shared" si="608"/>
        <v>4.5032657270539705E-2</v>
      </c>
      <c r="S146" s="62">
        <f t="shared" si="608"/>
        <v>3.4592304977056121E-2</v>
      </c>
      <c r="T146" s="62">
        <f t="shared" si="608"/>
        <v>3.1525851197982346E-2</v>
      </c>
      <c r="U146" s="62">
        <f t="shared" si="608"/>
        <v>3.3925174381737477E-2</v>
      </c>
      <c r="V146" s="62">
        <f t="shared" si="608"/>
        <v>3.1488841332925711E-2</v>
      </c>
      <c r="W146" s="62">
        <f t="shared" si="608"/>
        <v>2.7976375505129002E-2</v>
      </c>
      <c r="X146" s="62">
        <f t="shared" si="608"/>
        <v>3.1354051054384019E-2</v>
      </c>
      <c r="Y146" s="62">
        <f t="shared" si="608"/>
        <v>3.0177187153931341E-2</v>
      </c>
      <c r="Z146" s="62">
        <f t="shared" si="608"/>
        <v>2.5554106910039114E-2</v>
      </c>
      <c r="AA146" s="62">
        <f t="shared" si="608"/>
        <v>3.3089232438296722E-2</v>
      </c>
      <c r="CI146" s="114"/>
      <c r="CJ146" s="114"/>
      <c r="CK146" s="114"/>
      <c r="CL146" s="114"/>
    </row>
    <row r="147" spans="2:90">
      <c r="B147" s="4" t="s">
        <v>743</v>
      </c>
      <c r="K147" s="86">
        <v>0.5</v>
      </c>
      <c r="L147" s="86">
        <v>0.5</v>
      </c>
      <c r="M147" s="86">
        <v>0.5</v>
      </c>
      <c r="N147" s="86">
        <v>0.5</v>
      </c>
      <c r="O147" s="86">
        <v>0.5</v>
      </c>
      <c r="P147" s="86">
        <v>0.5</v>
      </c>
      <c r="Q147" s="86">
        <v>0.5</v>
      </c>
      <c r="R147" s="86">
        <v>0.5</v>
      </c>
      <c r="S147" s="86">
        <v>0.5</v>
      </c>
      <c r="T147" s="86">
        <v>0.5</v>
      </c>
      <c r="U147" s="86">
        <v>0.5</v>
      </c>
      <c r="V147" s="86">
        <v>0.5</v>
      </c>
      <c r="W147" s="86">
        <v>0.5</v>
      </c>
      <c r="X147" s="86">
        <v>0.5</v>
      </c>
      <c r="Y147" s="86">
        <v>0.5</v>
      </c>
      <c r="Z147" s="86">
        <v>0.5</v>
      </c>
      <c r="AA147" s="86">
        <v>0.5</v>
      </c>
      <c r="CI147" s="114"/>
      <c r="CJ147" s="114"/>
      <c r="CK147" s="114"/>
      <c r="CL147" s="114"/>
    </row>
    <row r="148" spans="2:90">
      <c r="B148" s="4" t="s">
        <v>645</v>
      </c>
      <c r="K148" s="62">
        <f>K147*K146</f>
        <v>3.5570317379208537E-2</v>
      </c>
      <c r="L148" s="62">
        <f>L147*L146</f>
        <v>3.0522757336730193E-2</v>
      </c>
      <c r="M148" s="62">
        <f>M147*M146</f>
        <v>2.9435739516348158E-2</v>
      </c>
      <c r="N148" s="62">
        <f>N147*N146</f>
        <v>2.3139861927895678E-2</v>
      </c>
      <c r="O148" s="62">
        <f>O147*O146</f>
        <v>2.8853130735413377E-2</v>
      </c>
      <c r="P148" s="62">
        <f t="shared" ref="P148:Z148" si="609">P147*P146</f>
        <v>2.9772498645825277E-2</v>
      </c>
      <c r="Q148" s="62">
        <f t="shared" si="609"/>
        <v>2.8197567268706231E-2</v>
      </c>
      <c r="R148" s="62">
        <f t="shared" si="609"/>
        <v>2.2516328635269853E-2</v>
      </c>
      <c r="S148" s="62">
        <f t="shared" si="609"/>
        <v>1.729615248852806E-2</v>
      </c>
      <c r="T148" s="62">
        <f t="shared" si="609"/>
        <v>1.5762925598991173E-2</v>
      </c>
      <c r="U148" s="62">
        <f t="shared" si="609"/>
        <v>1.6962587190868739E-2</v>
      </c>
      <c r="V148" s="62">
        <f t="shared" si="609"/>
        <v>1.5744420666462856E-2</v>
      </c>
      <c r="W148" s="62">
        <f t="shared" si="609"/>
        <v>1.3988187752564501E-2</v>
      </c>
      <c r="X148" s="62">
        <f t="shared" si="609"/>
        <v>1.5677025527192009E-2</v>
      </c>
      <c r="Y148" s="62">
        <f t="shared" si="609"/>
        <v>1.5088593576965671E-2</v>
      </c>
      <c r="Z148" s="62">
        <f t="shared" si="609"/>
        <v>1.2777053455019557E-2</v>
      </c>
      <c r="AA148" s="62">
        <f>AA147*AA146</f>
        <v>1.6544616219148361E-2</v>
      </c>
      <c r="CI148" s="114"/>
      <c r="CJ148" s="114"/>
      <c r="CK148" s="114"/>
      <c r="CL148" s="114"/>
    </row>
    <row r="149" spans="2:90">
      <c r="CI149" s="114"/>
      <c r="CJ149" s="114"/>
      <c r="CK149" s="114"/>
      <c r="CL149" s="114"/>
    </row>
    <row r="150" spans="2:90">
      <c r="B150" s="4" t="s">
        <v>455</v>
      </c>
      <c r="X150" s="67">
        <v>965</v>
      </c>
      <c r="CI150" s="114"/>
      <c r="CJ150" s="114"/>
      <c r="CK150" s="114"/>
      <c r="CL150" s="114"/>
    </row>
    <row r="151" spans="2:90">
      <c r="B151" s="4" t="s">
        <v>456</v>
      </c>
      <c r="X151" s="67">
        <v>634</v>
      </c>
      <c r="CI151" s="114"/>
      <c r="CJ151" s="114"/>
      <c r="CK151" s="114"/>
      <c r="CL151" s="114"/>
    </row>
    <row r="152" spans="2:90">
      <c r="B152" s="4" t="s">
        <v>457</v>
      </c>
      <c r="X152" s="67">
        <v>668</v>
      </c>
      <c r="CI152" s="114"/>
      <c r="CJ152" s="114"/>
      <c r="CK152" s="114"/>
      <c r="CL152" s="114"/>
    </row>
    <row r="153" spans="2:90">
      <c r="B153" s="4" t="s">
        <v>458</v>
      </c>
      <c r="X153" s="67">
        <v>302</v>
      </c>
      <c r="CI153" s="114"/>
      <c r="CJ153" s="114"/>
      <c r="CK153" s="114"/>
      <c r="CL153" s="114"/>
    </row>
    <row r="154" spans="2:90">
      <c r="B154" s="4" t="s">
        <v>766</v>
      </c>
      <c r="X154" s="67">
        <v>694</v>
      </c>
      <c r="CI154" s="114"/>
      <c r="CJ154" s="114"/>
      <c r="CK154" s="114"/>
      <c r="CL154" s="114"/>
    </row>
    <row r="155" spans="2:90">
      <c r="B155" s="4" t="s">
        <v>469</v>
      </c>
      <c r="X155" s="71">
        <v>3470</v>
      </c>
      <c r="AN155" s="67">
        <v>3740.5</v>
      </c>
      <c r="CI155" s="114"/>
      <c r="CJ155" s="114"/>
      <c r="CK155" s="114"/>
      <c r="CL155" s="114"/>
    </row>
    <row r="156" spans="2:90">
      <c r="B156" s="4" t="s">
        <v>470</v>
      </c>
      <c r="X156" s="62">
        <v>0.84</v>
      </c>
      <c r="CI156" s="114"/>
      <c r="CJ156" s="114"/>
      <c r="CK156" s="114"/>
      <c r="CL156" s="114"/>
    </row>
    <row r="157" spans="2:90">
      <c r="B157" s="4" t="s">
        <v>602</v>
      </c>
      <c r="X157" s="71">
        <v>721</v>
      </c>
      <c r="CI157" s="114"/>
      <c r="CJ157" s="114"/>
      <c r="CK157" s="114"/>
      <c r="CL157" s="114"/>
    </row>
    <row r="158" spans="2:90">
      <c r="B158" s="4" t="s">
        <v>603</v>
      </c>
      <c r="X158" s="71">
        <v>708</v>
      </c>
      <c r="CI158" s="114"/>
      <c r="CJ158" s="114"/>
      <c r="CK158" s="114"/>
      <c r="CL158" s="114"/>
    </row>
    <row r="159" spans="2:90">
      <c r="B159" s="4" t="s">
        <v>604</v>
      </c>
      <c r="X159" s="62">
        <v>0.24</v>
      </c>
      <c r="CI159" s="114"/>
      <c r="CJ159" s="114"/>
      <c r="CK159" s="114"/>
      <c r="CL159" s="114"/>
    </row>
    <row r="160" spans="2:90">
      <c r="B160" s="4" t="s">
        <v>1041</v>
      </c>
      <c r="X160" s="71">
        <v>0.91</v>
      </c>
      <c r="CI160" s="114"/>
      <c r="CJ160" s="114"/>
      <c r="CK160" s="114"/>
      <c r="CL160" s="114"/>
    </row>
    <row r="161" spans="2:145">
      <c r="B161" s="4" t="s">
        <v>1042</v>
      </c>
      <c r="X161" s="71">
        <v>0.94</v>
      </c>
      <c r="CI161" s="114"/>
      <c r="CJ161" s="114"/>
      <c r="CK161" s="114"/>
      <c r="CL161" s="114"/>
    </row>
    <row r="162" spans="2:145">
      <c r="CI162" s="114"/>
      <c r="CJ162" s="114"/>
      <c r="CK162" s="114"/>
      <c r="CL162" s="114"/>
    </row>
    <row r="163" spans="2:145" s="26" customFormat="1">
      <c r="B163" s="97" t="s">
        <v>1371</v>
      </c>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R163" s="67"/>
      <c r="BS163" s="67"/>
      <c r="BT163" s="67"/>
      <c r="BU163" s="67"/>
      <c r="BV163" s="67"/>
      <c r="BW163" s="67"/>
      <c r="BX163" s="67"/>
      <c r="BY163" s="67"/>
      <c r="BZ163" s="67"/>
      <c r="CA163" s="67"/>
      <c r="CB163" s="67"/>
      <c r="CC163" s="67"/>
      <c r="CD163" s="67"/>
      <c r="CE163" s="67"/>
      <c r="CF163" s="67"/>
      <c r="CG163" s="67"/>
      <c r="CH163" s="67"/>
      <c r="CI163" s="117"/>
      <c r="CJ163" s="117"/>
      <c r="CK163" s="117"/>
      <c r="CL163" s="117"/>
      <c r="CM163" s="117"/>
      <c r="CN163" s="117"/>
      <c r="CO163" s="117"/>
      <c r="CP163" s="117"/>
      <c r="CQ163" s="117"/>
      <c r="CR163" s="117"/>
      <c r="CS163" s="117"/>
      <c r="CT163" s="117"/>
      <c r="CU163" s="117"/>
      <c r="CV163" s="117"/>
      <c r="CW163" s="117"/>
      <c r="CX163" s="117"/>
      <c r="CY163" s="117"/>
      <c r="CZ163" s="67"/>
      <c r="DA163" s="67"/>
      <c r="DB163" s="67"/>
      <c r="DC163" s="67"/>
      <c r="DD163" s="67"/>
      <c r="DE163" s="67"/>
      <c r="DF163" s="67"/>
      <c r="DG163" s="67"/>
      <c r="DH163" s="67"/>
      <c r="DI163" s="67"/>
      <c r="DJ163" s="67"/>
      <c r="DK163" s="67"/>
      <c r="DL163" s="67"/>
      <c r="DM163" s="67"/>
      <c r="DN163" s="67"/>
      <c r="DO163" s="67"/>
      <c r="DP163" s="67"/>
      <c r="DQ163" s="67"/>
      <c r="DR163" s="67"/>
      <c r="DS163" s="67"/>
      <c r="DT163" s="67"/>
      <c r="DU163" s="67"/>
      <c r="DV163" s="67">
        <v>17286</v>
      </c>
      <c r="DW163" s="67">
        <v>17743</v>
      </c>
      <c r="DX163" s="67">
        <v>19272</v>
      </c>
      <c r="DY163" s="67"/>
      <c r="DZ163" s="67"/>
      <c r="EA163" s="67"/>
      <c r="EB163" s="67"/>
      <c r="EC163" s="67"/>
      <c r="ED163" s="67"/>
      <c r="EE163" s="67"/>
    </row>
    <row r="164" spans="2:145" s="26" customFormat="1">
      <c r="B164" s="97" t="s">
        <v>1372</v>
      </c>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117"/>
      <c r="CJ164" s="117"/>
      <c r="CK164" s="117"/>
      <c r="CL164" s="117"/>
      <c r="CM164" s="117"/>
      <c r="CN164" s="117"/>
      <c r="CO164" s="117"/>
      <c r="CP164" s="117"/>
      <c r="CQ164" s="117"/>
      <c r="CR164" s="117"/>
      <c r="CS164" s="117"/>
      <c r="CT164" s="117"/>
      <c r="CU164" s="117"/>
      <c r="CV164" s="117"/>
      <c r="CW164" s="117"/>
      <c r="CX164" s="117"/>
      <c r="CY164" s="117"/>
      <c r="CZ164" s="67"/>
      <c r="DA164" s="67"/>
      <c r="DB164" s="67"/>
      <c r="DC164" s="67"/>
      <c r="DD164" s="67"/>
      <c r="DE164" s="67"/>
      <c r="DF164" s="67"/>
      <c r="DG164" s="67"/>
      <c r="DH164" s="67"/>
      <c r="DI164" s="67"/>
      <c r="DJ164" s="67"/>
      <c r="DK164" s="67"/>
      <c r="DL164" s="67"/>
      <c r="DM164" s="67"/>
      <c r="DN164" s="67"/>
      <c r="DO164" s="67"/>
      <c r="DP164" s="67"/>
      <c r="DQ164" s="67"/>
      <c r="DR164" s="67"/>
      <c r="DS164" s="67"/>
      <c r="DT164" s="67"/>
      <c r="DU164" s="67"/>
      <c r="DV164" s="67">
        <v>7011</v>
      </c>
      <c r="DW164" s="67">
        <v>7058</v>
      </c>
      <c r="DX164" s="67">
        <v>7638</v>
      </c>
      <c r="DY164" s="67"/>
      <c r="DZ164" s="67"/>
      <c r="EA164" s="67"/>
      <c r="EB164" s="67"/>
      <c r="EC164" s="67"/>
      <c r="ED164" s="67"/>
      <c r="EE164" s="67"/>
    </row>
    <row r="165" spans="2:145" s="32" customFormat="1">
      <c r="B165" s="32" t="s">
        <v>442</v>
      </c>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119"/>
      <c r="CJ165" s="119"/>
      <c r="CK165" s="119"/>
      <c r="CL165" s="119"/>
      <c r="CM165" s="119"/>
      <c r="CN165" s="119"/>
      <c r="CO165" s="119"/>
      <c r="CP165" s="119"/>
      <c r="CQ165" s="119"/>
      <c r="CR165" s="119"/>
      <c r="CS165" s="119"/>
      <c r="CT165" s="119"/>
      <c r="CU165" s="119"/>
      <c r="CV165" s="119"/>
      <c r="CW165" s="119"/>
      <c r="CX165" s="119"/>
      <c r="CY165" s="119"/>
      <c r="CZ165" s="75"/>
      <c r="DA165" s="75"/>
      <c r="DB165" s="75"/>
      <c r="DC165" s="75"/>
      <c r="DD165" s="75"/>
      <c r="DE165" s="75"/>
      <c r="DF165" s="75"/>
      <c r="DG165" s="75"/>
      <c r="DH165" s="75"/>
      <c r="DI165" s="75"/>
      <c r="DJ165" s="75"/>
      <c r="DK165" s="75"/>
      <c r="DL165" s="75"/>
      <c r="DM165" s="75"/>
      <c r="DN165" s="75"/>
      <c r="DO165" s="75"/>
      <c r="DP165" s="75"/>
      <c r="DQ165" s="75"/>
      <c r="DR165" s="75"/>
      <c r="DS165" s="75"/>
      <c r="DT165" s="75"/>
      <c r="DU165" s="75"/>
      <c r="DV165" s="75">
        <f>+DV164+DV163</f>
        <v>24297</v>
      </c>
      <c r="DW165" s="75">
        <f>+DW164+DW163</f>
        <v>24801</v>
      </c>
      <c r="DX165" s="75">
        <f>+DX164+DX163</f>
        <v>26910</v>
      </c>
      <c r="DY165" s="75"/>
      <c r="DZ165" s="75"/>
      <c r="EA165" s="75"/>
      <c r="EB165" s="75"/>
      <c r="EC165" s="75"/>
      <c r="ED165" s="75"/>
      <c r="EE165" s="75"/>
    </row>
    <row r="166" spans="2:145">
      <c r="CI166" s="114"/>
      <c r="CJ166" s="114"/>
      <c r="CK166" s="114"/>
      <c r="CL166" s="114"/>
    </row>
    <row r="167" spans="2:145">
      <c r="CI167" s="114"/>
      <c r="CJ167" s="114"/>
      <c r="CK167" s="114"/>
      <c r="CL167" s="114"/>
    </row>
    <row r="168" spans="2:145">
      <c r="CI168" s="114"/>
      <c r="CJ168" s="114"/>
      <c r="CK168" s="114"/>
      <c r="CL168" s="114"/>
    </row>
    <row r="169" spans="2:145">
      <c r="CI169" s="114"/>
      <c r="CJ169" s="114"/>
      <c r="CK169" s="114"/>
      <c r="CL169" s="114"/>
    </row>
    <row r="170" spans="2:145">
      <c r="CI170" s="114"/>
      <c r="CJ170" s="114"/>
      <c r="CK170" s="114"/>
      <c r="CL170" s="114"/>
    </row>
    <row r="171" spans="2:145" s="37" customFormat="1">
      <c r="B171" s="30" t="s">
        <v>177</v>
      </c>
      <c r="C171" s="82"/>
      <c r="D171" s="82"/>
      <c r="E171" s="82"/>
      <c r="F171" s="82"/>
      <c r="G171" s="82"/>
      <c r="H171" s="79"/>
      <c r="I171" s="86">
        <f t="shared" ref="I171:AV171" si="610">I4/E4-1</f>
        <v>21.74</v>
      </c>
      <c r="J171" s="86">
        <f t="shared" si="610"/>
        <v>4.5945945945945947</v>
      </c>
      <c r="K171" s="86">
        <f t="shared" si="610"/>
        <v>5.5</v>
      </c>
      <c r="L171" s="86">
        <f t="shared" si="610"/>
        <v>5.2423698384201076</v>
      </c>
      <c r="M171" s="86">
        <f t="shared" si="610"/>
        <v>2.8548812664907652</v>
      </c>
      <c r="N171" s="86">
        <f t="shared" si="610"/>
        <v>1.4299516908212562</v>
      </c>
      <c r="O171" s="86">
        <f t="shared" si="610"/>
        <v>1.1310832025117739</v>
      </c>
      <c r="P171" s="79">
        <f t="shared" si="610"/>
        <v>0.77451826287029046</v>
      </c>
      <c r="Q171" s="79">
        <f t="shared" si="610"/>
        <v>0.38717773214693141</v>
      </c>
      <c r="R171" s="79">
        <f t="shared" si="610"/>
        <v>0.40159045725646125</v>
      </c>
      <c r="S171" s="79">
        <f t="shared" si="610"/>
        <v>0.33149171270718236</v>
      </c>
      <c r="T171" s="79">
        <f t="shared" si="610"/>
        <v>0.35656401944894656</v>
      </c>
      <c r="U171" s="79">
        <f t="shared" si="610"/>
        <v>0.38157894736842102</v>
      </c>
      <c r="V171" s="79">
        <f t="shared" si="610"/>
        <v>0.23829787234042543</v>
      </c>
      <c r="W171" s="79">
        <f t="shared" si="610"/>
        <v>0.23513139695712315</v>
      </c>
      <c r="X171" s="79">
        <f t="shared" si="610"/>
        <v>0.26045400238948635</v>
      </c>
      <c r="Y171" s="79">
        <f t="shared" si="610"/>
        <v>0.27023809523809517</v>
      </c>
      <c r="Z171" s="79">
        <f t="shared" si="610"/>
        <v>0.26689576174112251</v>
      </c>
      <c r="AA171" s="79">
        <f t="shared" si="610"/>
        <v>0.14221724524076151</v>
      </c>
      <c r="AB171" s="79">
        <f t="shared" si="610"/>
        <v>-0.10047393364928914</v>
      </c>
      <c r="AC171" s="79">
        <f t="shared" si="610"/>
        <v>-0.23336457357075913</v>
      </c>
      <c r="AD171" s="79">
        <f t="shared" si="610"/>
        <v>-0.25226039783001808</v>
      </c>
      <c r="AE171" s="79">
        <f t="shared" si="610"/>
        <v>-0.25392156862745097</v>
      </c>
      <c r="AF171" s="79">
        <f t="shared" si="610"/>
        <v>-0.13066385669125391</v>
      </c>
      <c r="AG171" s="79">
        <f t="shared" si="610"/>
        <v>3.3007334963325086E-2</v>
      </c>
      <c r="AH171" s="79">
        <f t="shared" si="610"/>
        <v>-0.14631197097944382</v>
      </c>
      <c r="AI171" s="79">
        <f t="shared" si="610"/>
        <v>-0.17739816031537448</v>
      </c>
      <c r="AJ171" s="79">
        <f t="shared" si="610"/>
        <v>-0.16000000000000003</v>
      </c>
      <c r="AK171" s="79">
        <f t="shared" si="610"/>
        <v>-0.18934911242603547</v>
      </c>
      <c r="AL171" s="79">
        <f t="shared" si="610"/>
        <v>-8.2152974504249299E-2</v>
      </c>
      <c r="AM171" s="79">
        <f t="shared" si="610"/>
        <v>1.5974440894568342E-3</v>
      </c>
      <c r="AN171" s="79">
        <f t="shared" si="610"/>
        <v>-0.12987012987012991</v>
      </c>
      <c r="AO171" s="79">
        <f t="shared" si="610"/>
        <v>-9.0510948905109467E-2</v>
      </c>
      <c r="AP171" s="79">
        <f t="shared" si="610"/>
        <v>-2.314814814814814E-2</v>
      </c>
      <c r="AQ171" s="79">
        <f t="shared" si="610"/>
        <v>-7.496012759170656E-2</v>
      </c>
      <c r="AR171" s="79">
        <f t="shared" si="610"/>
        <v>-2.9850746268656692E-2</v>
      </c>
      <c r="AS171" s="79">
        <f t="shared" si="610"/>
        <v>-3.6918138041733495E-2</v>
      </c>
      <c r="AT171" s="79">
        <f t="shared" si="610"/>
        <v>-0.15007898894154814</v>
      </c>
      <c r="AU171" s="79">
        <f t="shared" si="610"/>
        <v>-0.10689655172413792</v>
      </c>
      <c r="AV171" s="79">
        <f t="shared" si="610"/>
        <v>-8.3760683760683796E-2</v>
      </c>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121"/>
      <c r="CJ171" s="121"/>
      <c r="CK171" s="121"/>
      <c r="CL171" s="121"/>
      <c r="CM171" s="121"/>
      <c r="CN171" s="121"/>
      <c r="CO171" s="121"/>
      <c r="CP171" s="121"/>
      <c r="CQ171" s="121"/>
      <c r="CR171" s="121"/>
      <c r="CS171" s="121"/>
      <c r="CT171" s="121"/>
      <c r="CU171" s="121"/>
      <c r="CV171" s="121"/>
      <c r="CW171" s="121"/>
      <c r="CX171" s="121"/>
      <c r="CY171" s="121"/>
      <c r="CZ171" s="99"/>
      <c r="DA171" s="79"/>
      <c r="DB171" s="79"/>
      <c r="DC171" s="86">
        <f t="shared" ref="DC171:DJ171" si="611">DC4/DB4-1</f>
        <v>8.8952380952380956</v>
      </c>
      <c r="DD171" s="86">
        <f t="shared" si="611"/>
        <v>2.7146294513955724</v>
      </c>
      <c r="DE171" s="79">
        <f t="shared" si="611"/>
        <v>0.60189143671460044</v>
      </c>
      <c r="DF171" s="79">
        <f t="shared" si="611"/>
        <v>0.32349373230893641</v>
      </c>
      <c r="DG171" s="79">
        <f t="shared" si="611"/>
        <v>0.25908952031775123</v>
      </c>
      <c r="DH171" s="79">
        <f t="shared" si="611"/>
        <v>-0.12302839116719244</v>
      </c>
      <c r="DI171" s="79">
        <f t="shared" si="611"/>
        <v>-0.13198671831765352</v>
      </c>
      <c r="DJ171" s="79">
        <f t="shared" si="611"/>
        <v>-0.15460631176283068</v>
      </c>
      <c r="DK171" s="79">
        <v>-0.05</v>
      </c>
      <c r="DL171" s="79">
        <v>-0.05</v>
      </c>
      <c r="DM171" s="79">
        <v>-0.05</v>
      </c>
      <c r="DN171" s="79">
        <v>-0.1</v>
      </c>
      <c r="DO171" s="79">
        <v>-0.1</v>
      </c>
      <c r="DP171" s="79">
        <v>-0.1</v>
      </c>
      <c r="DQ171" s="99"/>
      <c r="DR171" s="99"/>
      <c r="DS171" s="99"/>
      <c r="DT171" s="99"/>
      <c r="DU171" s="99"/>
      <c r="DV171" s="99"/>
      <c r="DW171" s="99"/>
      <c r="DX171" s="99"/>
      <c r="DY171" s="99"/>
      <c r="DZ171" s="99"/>
      <c r="EA171" s="99"/>
      <c r="EB171" s="99"/>
      <c r="EC171" s="99"/>
      <c r="ED171" s="99"/>
      <c r="EE171" s="99"/>
    </row>
    <row r="172" spans="2:145" s="15" customFormat="1">
      <c r="B172" s="30" t="s">
        <v>176</v>
      </c>
      <c r="C172" s="82"/>
      <c r="D172" s="82"/>
      <c r="E172" s="82"/>
      <c r="F172" s="82"/>
      <c r="G172" s="79">
        <f t="shared" ref="G172:AV172" si="612">G3/C3-1</f>
        <v>1.829025844930432E-2</v>
      </c>
      <c r="H172" s="79">
        <f t="shared" si="612"/>
        <v>0.10096525096525077</v>
      </c>
      <c r="I172" s="79">
        <f t="shared" si="612"/>
        <v>8.4271844660194217E-2</v>
      </c>
      <c r="J172" s="79">
        <f t="shared" si="612"/>
        <v>8.3391608391608418E-2</v>
      </c>
      <c r="K172" s="79">
        <f t="shared" si="612"/>
        <v>6.8137446310035044E-2</v>
      </c>
      <c r="L172" s="79">
        <f t="shared" si="612"/>
        <v>7.1541294055760263E-2</v>
      </c>
      <c r="M172" s="79">
        <f t="shared" si="612"/>
        <v>0.12088108882521498</v>
      </c>
      <c r="N172" s="79">
        <f t="shared" si="612"/>
        <v>4.9862836856543469E-2</v>
      </c>
      <c r="O172" s="79">
        <f t="shared" si="612"/>
        <v>7.8413452750868196E-2</v>
      </c>
      <c r="P172" s="79">
        <f t="shared" si="612"/>
        <v>3.5182457862870331E-2</v>
      </c>
      <c r="Q172" s="79">
        <f t="shared" si="612"/>
        <v>8.8033232145710238E-2</v>
      </c>
      <c r="R172" s="79">
        <f t="shared" si="612"/>
        <v>7.1318782662157965E-2</v>
      </c>
      <c r="S172" s="79">
        <f t="shared" si="612"/>
        <v>-1.1864406779661052E-2</v>
      </c>
      <c r="T172" s="79">
        <f t="shared" si="612"/>
        <v>2.2763199494151065E-2</v>
      </c>
      <c r="U172" s="79">
        <f t="shared" si="612"/>
        <v>-0.1204111600587372</v>
      </c>
      <c r="V172" s="79">
        <f t="shared" si="612"/>
        <v>-0.10186513629842175</v>
      </c>
      <c r="W172" s="79">
        <f t="shared" si="612"/>
        <v>3.6020583190394584E-2</v>
      </c>
      <c r="X172" s="79">
        <f t="shared" si="612"/>
        <v>-5.255023183925811E-2</v>
      </c>
      <c r="Y172" s="79">
        <f t="shared" si="612"/>
        <v>5.6761268781302165E-2</v>
      </c>
      <c r="Z172" s="79">
        <f t="shared" si="612"/>
        <v>5.5910543130990309E-2</v>
      </c>
      <c r="AA172" s="79">
        <f t="shared" si="612"/>
        <v>3.4768211920529701E-2</v>
      </c>
      <c r="AB172" s="79">
        <f t="shared" si="612"/>
        <v>1.794453507340954E-2</v>
      </c>
      <c r="AC172" s="79">
        <f t="shared" si="612"/>
        <v>-4.8973143759873605E-2</v>
      </c>
      <c r="AD172" s="79">
        <f t="shared" si="612"/>
        <v>-3.479576399394857E-2</v>
      </c>
      <c r="AE172" s="79">
        <f t="shared" si="612"/>
        <v>-0.11360000000000003</v>
      </c>
      <c r="AF172" s="79">
        <f t="shared" si="612"/>
        <v>-3.2051282051281937E-3</v>
      </c>
      <c r="AG172" s="79">
        <f t="shared" si="612"/>
        <v>5.3156146179401897E-2</v>
      </c>
      <c r="AH172" s="79">
        <f t="shared" si="612"/>
        <v>1.2539184952978122E-2</v>
      </c>
      <c r="AI172" s="79">
        <f t="shared" si="612"/>
        <v>1.9855595667870096E-2</v>
      </c>
      <c r="AJ172" s="79">
        <f t="shared" si="612"/>
        <v>2.5723472668810254E-2</v>
      </c>
      <c r="AK172" s="79">
        <f t="shared" si="612"/>
        <v>4.5741324921135584E-2</v>
      </c>
      <c r="AL172" s="79">
        <f t="shared" si="612"/>
        <v>8.8235294117646967E-2</v>
      </c>
      <c r="AM172" s="79">
        <f t="shared" si="612"/>
        <v>0.10265486725663719</v>
      </c>
      <c r="AN172" s="79">
        <f t="shared" si="612"/>
        <v>2.9780564263322873E-2</v>
      </c>
      <c r="AO172" s="79">
        <f t="shared" si="612"/>
        <v>-1.5082956259426794E-2</v>
      </c>
      <c r="AP172" s="79">
        <f t="shared" si="612"/>
        <v>-0.15931721194879089</v>
      </c>
      <c r="AQ172" s="79">
        <f t="shared" si="612"/>
        <v>-0.14125200642054569</v>
      </c>
      <c r="AR172" s="79">
        <f t="shared" si="612"/>
        <v>-0.17351598173515981</v>
      </c>
      <c r="AS172" s="79">
        <f t="shared" si="612"/>
        <v>-0.27105666156202146</v>
      </c>
      <c r="AT172" s="79">
        <f t="shared" si="612"/>
        <v>-0.17766497461928932</v>
      </c>
      <c r="AU172" s="79">
        <f t="shared" si="612"/>
        <v>-0.16635514018691588</v>
      </c>
      <c r="AV172" s="79">
        <f t="shared" si="612"/>
        <v>-3.3149171270718258E-2</v>
      </c>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121"/>
      <c r="CJ172" s="121"/>
      <c r="CK172" s="121"/>
      <c r="CL172" s="121"/>
      <c r="CM172" s="121"/>
      <c r="CN172" s="121"/>
      <c r="CO172" s="121"/>
      <c r="CP172" s="121"/>
      <c r="CQ172" s="121"/>
      <c r="CR172" s="121"/>
      <c r="CS172" s="121"/>
      <c r="CT172" s="121"/>
      <c r="CU172" s="121"/>
      <c r="CV172" s="121"/>
      <c r="CW172" s="121"/>
      <c r="CX172" s="121"/>
      <c r="CY172" s="121"/>
      <c r="CZ172" s="72"/>
      <c r="DA172" s="79"/>
      <c r="DB172" s="79">
        <f t="shared" ref="DB172:DI172" si="613">DB3/DA3-1</f>
        <v>7.4245821443130744E-2</v>
      </c>
      <c r="DC172" s="79">
        <f t="shared" si="613"/>
        <v>7.2055405341302725E-2</v>
      </c>
      <c r="DD172" s="79">
        <f t="shared" si="613"/>
        <v>7.7300884955752158E-2</v>
      </c>
      <c r="DE172" s="79">
        <f t="shared" si="613"/>
        <v>6.8139811886474666E-2</v>
      </c>
      <c r="DF172" s="79">
        <f t="shared" si="613"/>
        <v>-5.598707990463736E-2</v>
      </c>
      <c r="DG172" s="79">
        <f t="shared" si="613"/>
        <v>2.281059063136448E-2</v>
      </c>
      <c r="DH172" s="79">
        <f t="shared" si="613"/>
        <v>-8.7614496216646964E-3</v>
      </c>
      <c r="DI172" s="79">
        <f t="shared" si="613"/>
        <v>-1.3258336681398197E-2</v>
      </c>
      <c r="DJ172" s="79">
        <v>0.02</v>
      </c>
      <c r="DK172" s="79">
        <v>0</v>
      </c>
      <c r="DL172" s="79">
        <v>-0.1</v>
      </c>
      <c r="DM172" s="79">
        <v>-0.1</v>
      </c>
      <c r="DN172" s="79">
        <v>-0.1</v>
      </c>
      <c r="DO172" s="79">
        <v>-0.1</v>
      </c>
      <c r="DP172" s="79">
        <v>-0.1</v>
      </c>
      <c r="DQ172" s="72"/>
      <c r="DR172" s="72"/>
      <c r="DS172" s="72"/>
      <c r="DT172" s="72"/>
      <c r="DU172" s="72"/>
      <c r="DV172" s="72"/>
      <c r="DW172" s="72"/>
      <c r="DX172" s="72"/>
      <c r="DY172" s="72"/>
      <c r="DZ172" s="72"/>
      <c r="EA172" s="72"/>
      <c r="EB172" s="72"/>
      <c r="EC172" s="72"/>
      <c r="ED172" s="72"/>
      <c r="EE172" s="72"/>
    </row>
    <row r="173" spans="2:145" s="15" customFormat="1">
      <c r="B173" s="30" t="s">
        <v>437</v>
      </c>
      <c r="C173" s="82"/>
      <c r="D173" s="82"/>
      <c r="E173" s="82"/>
      <c r="F173" s="82"/>
      <c r="G173" s="82"/>
      <c r="H173" s="82"/>
      <c r="I173" s="82"/>
      <c r="J173" s="79"/>
      <c r="K173" s="86"/>
      <c r="L173" s="86">
        <f t="shared" ref="L173:AV173" si="614">L7/H7-1</f>
        <v>1.7590909090909093</v>
      </c>
      <c r="M173" s="86">
        <f t="shared" si="614"/>
        <v>1.3076923076923079</v>
      </c>
      <c r="N173" s="79">
        <f t="shared" si="614"/>
        <v>0.72971698113207539</v>
      </c>
      <c r="O173" s="79">
        <f t="shared" si="614"/>
        <v>0.52984496124031</v>
      </c>
      <c r="P173" s="79">
        <f t="shared" si="614"/>
        <v>0.40329489291598009</v>
      </c>
      <c r="Q173" s="79">
        <f t="shared" si="614"/>
        <v>0.37614678899082565</v>
      </c>
      <c r="R173" s="79">
        <f t="shared" si="614"/>
        <v>0.27897463866921202</v>
      </c>
      <c r="S173" s="79">
        <f t="shared" si="614"/>
        <v>0.26931846972384088</v>
      </c>
      <c r="T173" s="79">
        <f t="shared" si="614"/>
        <v>0.37825780699694778</v>
      </c>
      <c r="U173" s="79">
        <f t="shared" si="614"/>
        <v>0.28222222222222215</v>
      </c>
      <c r="V173" s="79">
        <f t="shared" si="614"/>
        <v>0.32835820895522394</v>
      </c>
      <c r="W173" s="79">
        <f t="shared" si="614"/>
        <v>0.21357285429141726</v>
      </c>
      <c r="X173" s="79">
        <f t="shared" si="614"/>
        <v>0.1942078364565587</v>
      </c>
      <c r="Y173" s="79">
        <f t="shared" si="614"/>
        <v>0.19584055459272087</v>
      </c>
      <c r="Z173" s="79">
        <f t="shared" si="614"/>
        <v>0.14125200642054581</v>
      </c>
      <c r="AA173" s="79">
        <f t="shared" si="614"/>
        <v>0.18256578947368429</v>
      </c>
      <c r="AB173" s="79">
        <f t="shared" si="614"/>
        <v>4.707560627674745E-2</v>
      </c>
      <c r="AC173" s="79">
        <f t="shared" si="614"/>
        <v>0.10579710144927534</v>
      </c>
      <c r="AD173" s="79">
        <f t="shared" si="614"/>
        <v>0.1026722925457102</v>
      </c>
      <c r="AE173" s="79">
        <f t="shared" si="614"/>
        <v>5.1460361613351768E-2</v>
      </c>
      <c r="AF173" s="79">
        <f t="shared" si="614"/>
        <v>0.17438692098092634</v>
      </c>
      <c r="AG173" s="79">
        <f t="shared" si="614"/>
        <v>0.11664482306684132</v>
      </c>
      <c r="AH173" s="79">
        <f t="shared" si="614"/>
        <v>8.163265306122458E-2</v>
      </c>
      <c r="AI173" s="79">
        <f t="shared" si="614"/>
        <v>2.7777777777777679E-2</v>
      </c>
      <c r="AJ173" s="79">
        <f t="shared" si="614"/>
        <v>-3.5962877030162432E-2</v>
      </c>
      <c r="AK173" s="79">
        <f t="shared" si="614"/>
        <v>2.2300469483568008E-2</v>
      </c>
      <c r="AL173" s="79">
        <f t="shared" si="614"/>
        <v>3.3018867924528239E-2</v>
      </c>
      <c r="AM173" s="79">
        <f t="shared" si="614"/>
        <v>0.11068211068211076</v>
      </c>
      <c r="AN173" s="79">
        <f t="shared" si="614"/>
        <v>3.6101083032491044E-2</v>
      </c>
      <c r="AO173" s="79">
        <f t="shared" si="614"/>
        <v>5.1664753157290466E-2</v>
      </c>
      <c r="AP173" s="79">
        <f t="shared" si="614"/>
        <v>4.7945205479452024E-2</v>
      </c>
      <c r="AQ173" s="79">
        <f t="shared" si="614"/>
        <v>8.4588644264194768E-2</v>
      </c>
      <c r="AR173" s="79">
        <f t="shared" si="614"/>
        <v>0.17886178861788626</v>
      </c>
      <c r="AS173" s="79">
        <f t="shared" si="614"/>
        <v>9.4978165938864656E-2</v>
      </c>
      <c r="AT173" s="79">
        <f t="shared" si="614"/>
        <v>8.7145969498910736E-2</v>
      </c>
      <c r="AU173" s="79">
        <f t="shared" si="614"/>
        <v>0.1100427350427351</v>
      </c>
      <c r="AV173" s="79">
        <f t="shared" si="614"/>
        <v>0</v>
      </c>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121"/>
      <c r="CJ173" s="121"/>
      <c r="CK173" s="121"/>
      <c r="CL173" s="121"/>
      <c r="CM173" s="121"/>
      <c r="CN173" s="121"/>
      <c r="CO173" s="121"/>
      <c r="CP173" s="121"/>
      <c r="CQ173" s="121"/>
      <c r="CR173" s="121"/>
      <c r="CS173" s="121"/>
      <c r="CT173" s="121"/>
      <c r="CU173" s="121"/>
      <c r="CV173" s="121"/>
      <c r="CW173" s="121"/>
      <c r="CX173" s="121"/>
      <c r="CY173" s="121"/>
      <c r="CZ173" s="72"/>
      <c r="DA173" s="79"/>
      <c r="DB173" s="79"/>
      <c r="DC173" s="79"/>
      <c r="DD173" s="79"/>
      <c r="DE173" s="82"/>
      <c r="DF173" s="79">
        <f>DF7/DE7-1</f>
        <v>0.31524488388135219</v>
      </c>
      <c r="DG173" s="79">
        <f>DG7/DF7-1</f>
        <v>0.18444055944055937</v>
      </c>
      <c r="DH173" s="79">
        <f>DH7/DG7-1</f>
        <v>0.10701107011070121</v>
      </c>
      <c r="DI173" s="79">
        <f>DI7/DH7-1</f>
        <v>0.10600000000000009</v>
      </c>
      <c r="DJ173" s="79">
        <v>0.08</v>
      </c>
      <c r="DK173" s="79">
        <v>0.05</v>
      </c>
      <c r="DL173" s="79">
        <v>0.02</v>
      </c>
      <c r="DM173" s="79">
        <v>0</v>
      </c>
      <c r="DN173" s="79">
        <v>0</v>
      </c>
      <c r="DO173" s="79">
        <v>0</v>
      </c>
      <c r="DP173" s="79"/>
      <c r="DQ173" s="72"/>
      <c r="DR173" s="72"/>
      <c r="DS173" s="72"/>
      <c r="DT173" s="72"/>
      <c r="DU173" s="72"/>
      <c r="DV173" s="72"/>
      <c r="DW173" s="72"/>
      <c r="DX173" s="72"/>
      <c r="DY173" s="72"/>
      <c r="DZ173" s="72"/>
      <c r="EA173" s="72"/>
      <c r="EB173" s="72"/>
      <c r="EC173" s="72"/>
      <c r="ED173" s="72"/>
      <c r="EE173" s="72"/>
    </row>
    <row r="174" spans="2:145" s="15" customFormat="1">
      <c r="B174" s="30" t="s">
        <v>178</v>
      </c>
      <c r="C174" s="82"/>
      <c r="D174" s="82"/>
      <c r="E174" s="79"/>
      <c r="F174" s="79"/>
      <c r="G174" s="79">
        <f t="shared" ref="G174:AV174" si="615">G5/C5-1</f>
        <v>9.6222664015904735E-2</v>
      </c>
      <c r="H174" s="79">
        <f t="shared" si="615"/>
        <v>0.20849420849420852</v>
      </c>
      <c r="I174" s="79">
        <f t="shared" si="615"/>
        <v>0.29249999999999976</v>
      </c>
      <c r="J174" s="79">
        <f t="shared" si="615"/>
        <v>0.35747126436781618</v>
      </c>
      <c r="K174" s="79">
        <f t="shared" si="615"/>
        <v>0.45429815016322084</v>
      </c>
      <c r="L174" s="79">
        <f t="shared" si="615"/>
        <v>0.5316293929712459</v>
      </c>
      <c r="M174" s="79">
        <f t="shared" si="615"/>
        <v>0.583395328076179</v>
      </c>
      <c r="N174" s="79">
        <f t="shared" si="615"/>
        <v>0.39542760372565611</v>
      </c>
      <c r="O174" s="79">
        <f t="shared" si="615"/>
        <v>0.41289437585733868</v>
      </c>
      <c r="P174" s="79">
        <f t="shared" si="615"/>
        <v>0.30329578639966615</v>
      </c>
      <c r="Q174" s="79">
        <f t="shared" si="615"/>
        <v>0.21123848900582609</v>
      </c>
      <c r="R174" s="79">
        <f t="shared" si="615"/>
        <v>0.21532593619972262</v>
      </c>
      <c r="S174" s="79">
        <f t="shared" si="615"/>
        <v>0.15269196822594888</v>
      </c>
      <c r="T174" s="79">
        <f t="shared" si="615"/>
        <v>0.18758002560819476</v>
      </c>
      <c r="U174" s="79">
        <f t="shared" si="615"/>
        <v>0.1163692785104733</v>
      </c>
      <c r="V174" s="79">
        <f t="shared" si="615"/>
        <v>6.9186875891583455E-2</v>
      </c>
      <c r="W174" s="79">
        <f t="shared" si="615"/>
        <v>0.14624808575803971</v>
      </c>
      <c r="X174" s="79">
        <f t="shared" si="615"/>
        <v>0.12398921832884091</v>
      </c>
      <c r="Y174" s="79">
        <f t="shared" si="615"/>
        <v>0.1813759555246699</v>
      </c>
      <c r="Z174" s="79">
        <f t="shared" si="615"/>
        <v>0.17878585723815887</v>
      </c>
      <c r="AA174" s="79">
        <f t="shared" si="615"/>
        <v>9.8864395457581855E-2</v>
      </c>
      <c r="AB174" s="79">
        <f t="shared" si="615"/>
        <v>-5.6954436450839308E-2</v>
      </c>
      <c r="AC174" s="79">
        <f t="shared" si="615"/>
        <v>-0.16470588235294115</v>
      </c>
      <c r="AD174" s="79">
        <f t="shared" si="615"/>
        <v>-0.17091114883984149</v>
      </c>
      <c r="AE174" s="79">
        <f t="shared" si="615"/>
        <v>-0.20060790273556228</v>
      </c>
      <c r="AF174" s="79">
        <f t="shared" si="615"/>
        <v>-8.0101716465352801E-2</v>
      </c>
      <c r="AG174" s="79">
        <f t="shared" si="615"/>
        <v>4.1549295774647943E-2</v>
      </c>
      <c r="AH174" s="79">
        <f t="shared" si="615"/>
        <v>-7.7133105802047797E-2</v>
      </c>
      <c r="AI174" s="79">
        <f t="shared" si="615"/>
        <v>-9.4296577946768045E-2</v>
      </c>
      <c r="AJ174" s="79">
        <f t="shared" si="615"/>
        <v>-8.0165860400829292E-2</v>
      </c>
      <c r="AK174" s="79">
        <f t="shared" si="615"/>
        <v>-8.8573360378634169E-2</v>
      </c>
      <c r="AL174" s="79">
        <f t="shared" si="615"/>
        <v>-7.3964497041423272E-4</v>
      </c>
      <c r="AM174" s="79">
        <f t="shared" si="615"/>
        <v>4.9538203190596208E-2</v>
      </c>
      <c r="AN174" s="79">
        <f t="shared" si="615"/>
        <v>-5.3343350864011985E-2</v>
      </c>
      <c r="AO174" s="79">
        <f t="shared" si="615"/>
        <v>-5.3412462908011826E-2</v>
      </c>
      <c r="AP174" s="79">
        <f t="shared" si="615"/>
        <v>-1</v>
      </c>
      <c r="AQ174" s="79">
        <f t="shared" si="615"/>
        <v>-1</v>
      </c>
      <c r="AR174" s="79">
        <f t="shared" si="615"/>
        <v>-1</v>
      </c>
      <c r="AS174" s="79">
        <f t="shared" si="615"/>
        <v>-1</v>
      </c>
      <c r="AT174" s="79" t="e">
        <f t="shared" si="615"/>
        <v>#DIV/0!</v>
      </c>
      <c r="AU174" s="79" t="e">
        <f t="shared" si="615"/>
        <v>#DIV/0!</v>
      </c>
      <c r="AV174" s="79" t="e">
        <f t="shared" si="615"/>
        <v>#DIV/0!</v>
      </c>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121"/>
      <c r="CJ174" s="121"/>
      <c r="CK174" s="121"/>
      <c r="CL174" s="121"/>
      <c r="CM174" s="121"/>
      <c r="CN174" s="121"/>
      <c r="CO174" s="121"/>
      <c r="CP174" s="121"/>
      <c r="CQ174" s="121"/>
      <c r="CR174" s="121"/>
      <c r="CS174" s="121"/>
      <c r="CT174" s="121"/>
      <c r="CU174" s="121"/>
      <c r="CV174" s="121"/>
      <c r="CW174" s="121"/>
      <c r="CX174" s="121"/>
      <c r="CY174" s="121"/>
      <c r="CZ174" s="72"/>
      <c r="DA174" s="79"/>
      <c r="DB174" s="79">
        <f t="shared" ref="DB174:DP174" si="616">DB5/DA5-1</f>
        <v>9.5648185894822602E-2</v>
      </c>
      <c r="DC174" s="79">
        <f t="shared" si="616"/>
        <v>0.24440723687270371</v>
      </c>
      <c r="DD174" s="79">
        <f t="shared" si="616"/>
        <v>0.48695619674091795</v>
      </c>
      <c r="DE174" s="79">
        <f t="shared" si="616"/>
        <v>0.2752544928993339</v>
      </c>
      <c r="DF174" s="79">
        <f t="shared" si="616"/>
        <v>0.12898139388205609</v>
      </c>
      <c r="DG174" s="79">
        <f t="shared" si="616"/>
        <v>0.1578212290502794</v>
      </c>
      <c r="DH174" s="79">
        <f t="shared" si="616"/>
        <v>-7.9764776839565732E-2</v>
      </c>
      <c r="DI174" s="79">
        <f t="shared" si="616"/>
        <v>-8.3565459610027815E-2</v>
      </c>
      <c r="DJ174" s="79">
        <f t="shared" si="616"/>
        <v>-6.6511711067405721E-2</v>
      </c>
      <c r="DK174" s="79">
        <f t="shared" si="616"/>
        <v>-4.0413713847921806E-2</v>
      </c>
      <c r="DL174" s="79">
        <f t="shared" si="616"/>
        <v>-0.1331337325349301</v>
      </c>
      <c r="DM174" s="79">
        <f t="shared" si="616"/>
        <v>-0.12045820861155887</v>
      </c>
      <c r="DN174" s="79">
        <f t="shared" si="616"/>
        <v>-0.14272419074047404</v>
      </c>
      <c r="DO174" s="79">
        <f t="shared" si="616"/>
        <v>-9.9999999999999867E-2</v>
      </c>
      <c r="DP174" s="79">
        <f t="shared" si="616"/>
        <v>-0.10000000000000009</v>
      </c>
      <c r="DQ174" s="72"/>
      <c r="DR174" s="72"/>
      <c r="DS174" s="72"/>
      <c r="DT174" s="72"/>
      <c r="DU174" s="72"/>
      <c r="DV174" s="72"/>
      <c r="DW174" s="72"/>
      <c r="DX174" s="72"/>
      <c r="DY174" s="72"/>
      <c r="DZ174" s="72"/>
      <c r="EA174" s="72"/>
      <c r="EB174" s="72"/>
      <c r="EC174" s="72"/>
      <c r="ED174" s="72"/>
      <c r="EE174" s="72"/>
    </row>
    <row r="175" spans="2:145" s="15" customFormat="1">
      <c r="B175" s="30" t="s">
        <v>27</v>
      </c>
      <c r="C175" s="82"/>
      <c r="D175" s="82"/>
      <c r="E175" s="82"/>
      <c r="F175" s="82"/>
      <c r="G175" s="82"/>
      <c r="H175" s="82"/>
      <c r="I175" s="82"/>
      <c r="J175" s="82"/>
      <c r="K175" s="82"/>
      <c r="L175" s="82"/>
      <c r="M175" s="79"/>
      <c r="N175" s="79"/>
      <c r="O175" s="79"/>
      <c r="P175" s="79"/>
      <c r="Q175" s="79"/>
      <c r="R175" s="79"/>
      <c r="S175" s="79"/>
      <c r="T175" s="86">
        <f t="shared" ref="T175:AV175" si="617">T16/P16-1</f>
        <v>10.612903225806452</v>
      </c>
      <c r="U175" s="86">
        <f t="shared" si="617"/>
        <v>3.2</v>
      </c>
      <c r="V175" s="86">
        <f t="shared" si="617"/>
        <v>1.6842105263157894</v>
      </c>
      <c r="W175" s="86">
        <f t="shared" si="617"/>
        <v>1.2592592592592591</v>
      </c>
      <c r="X175" s="86">
        <f t="shared" si="617"/>
        <v>1.1944444444444446</v>
      </c>
      <c r="Y175" s="79">
        <f t="shared" si="617"/>
        <v>0.97619047619047628</v>
      </c>
      <c r="Z175" s="79">
        <f t="shared" si="617"/>
        <v>0.92156862745098045</v>
      </c>
      <c r="AA175" s="79">
        <f t="shared" si="617"/>
        <v>0.72131147540983598</v>
      </c>
      <c r="AB175" s="79">
        <f t="shared" si="617"/>
        <v>0.36708860759493667</v>
      </c>
      <c r="AC175" s="79">
        <f t="shared" si="617"/>
        <v>0.46987951807228923</v>
      </c>
      <c r="AD175" s="79">
        <f t="shared" si="617"/>
        <v>0.30612244897959173</v>
      </c>
      <c r="AE175" s="79">
        <f t="shared" si="617"/>
        <v>0.26666666666666661</v>
      </c>
      <c r="AF175" s="79">
        <f t="shared" si="617"/>
        <v>0.38888888888888884</v>
      </c>
      <c r="AG175" s="79">
        <f t="shared" si="617"/>
        <v>0.31967213114754101</v>
      </c>
      <c r="AH175" s="79">
        <f t="shared" si="617"/>
        <v>0.1953125</v>
      </c>
      <c r="AI175" s="79">
        <f t="shared" si="617"/>
        <v>0.11278195488721798</v>
      </c>
      <c r="AJ175" s="79">
        <f t="shared" si="617"/>
        <v>0.11333333333333329</v>
      </c>
      <c r="AK175" s="79">
        <f t="shared" si="617"/>
        <v>2.4844720496894457E-2</v>
      </c>
      <c r="AL175" s="79">
        <f t="shared" si="617"/>
        <v>0.11764705882352944</v>
      </c>
      <c r="AM175" s="79">
        <f t="shared" si="617"/>
        <v>0.20945945945945943</v>
      </c>
      <c r="AN175" s="79">
        <f t="shared" si="617"/>
        <v>2.9940119760478945E-2</v>
      </c>
      <c r="AO175" s="79">
        <f t="shared" si="617"/>
        <v>6.0606060606060552E-2</v>
      </c>
      <c r="AP175" s="79">
        <f t="shared" si="617"/>
        <v>9.9415204678362512E-2</v>
      </c>
      <c r="AQ175" s="79">
        <f t="shared" si="617"/>
        <v>4.4692737430167551E-2</v>
      </c>
      <c r="AR175" s="79">
        <f t="shared" si="617"/>
        <v>0.15697674418604657</v>
      </c>
      <c r="AS175" s="79">
        <f t="shared" si="617"/>
        <v>0.17714285714285705</v>
      </c>
      <c r="AT175" s="79">
        <f t="shared" si="617"/>
        <v>0.14893617021276606</v>
      </c>
      <c r="AU175" s="79">
        <f t="shared" si="617"/>
        <v>0.17112299465240643</v>
      </c>
      <c r="AV175" s="79">
        <f t="shared" si="617"/>
        <v>0.16582914572864316</v>
      </c>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121"/>
      <c r="CJ175" s="121"/>
      <c r="CK175" s="121"/>
      <c r="CL175" s="121"/>
      <c r="CM175" s="121"/>
      <c r="CN175" s="121"/>
      <c r="CO175" s="121"/>
      <c r="CP175" s="121"/>
      <c r="CQ175" s="121"/>
      <c r="CR175" s="121"/>
      <c r="CS175" s="121"/>
      <c r="CT175" s="121"/>
      <c r="CU175" s="121"/>
      <c r="CV175" s="121"/>
      <c r="CW175" s="121"/>
      <c r="CX175" s="121"/>
      <c r="CY175" s="121"/>
      <c r="CZ175" s="72"/>
      <c r="DA175" s="79"/>
      <c r="DB175" s="79"/>
      <c r="DC175" s="79"/>
      <c r="DD175" s="79"/>
      <c r="DE175" s="82"/>
      <c r="DF175" s="79"/>
      <c r="DG175" s="79"/>
      <c r="DH175" s="79">
        <f>DH16/DG16-1</f>
        <v>0.44236760124610597</v>
      </c>
      <c r="DI175" s="79">
        <v>0.2</v>
      </c>
      <c r="DJ175" s="79">
        <v>0.15</v>
      </c>
      <c r="DK175" s="79">
        <v>0.1</v>
      </c>
      <c r="DL175" s="79">
        <v>0.08</v>
      </c>
      <c r="DM175" s="79">
        <v>0.02</v>
      </c>
      <c r="DN175" s="79">
        <v>0</v>
      </c>
      <c r="DO175" s="79">
        <v>0</v>
      </c>
      <c r="DP175" s="79"/>
      <c r="DQ175" s="72"/>
      <c r="DR175" s="72"/>
      <c r="DS175" s="72"/>
      <c r="DT175" s="72"/>
      <c r="DU175" s="72"/>
      <c r="DV175" s="72"/>
      <c r="DW175" s="72"/>
      <c r="DX175" s="72"/>
      <c r="DY175" s="72"/>
      <c r="DZ175" s="72"/>
      <c r="EA175" s="72"/>
      <c r="EB175" s="72"/>
      <c r="EC175" s="72"/>
      <c r="EE175" s="72"/>
    </row>
    <row r="176" spans="2:145" s="15" customFormat="1">
      <c r="B176" s="30" t="s">
        <v>944</v>
      </c>
      <c r="C176" s="82"/>
      <c r="D176" s="82"/>
      <c r="E176" s="82"/>
      <c r="F176" s="82"/>
      <c r="G176" s="82"/>
      <c r="H176" s="82"/>
      <c r="I176" s="82"/>
      <c r="J176" s="82"/>
      <c r="K176" s="82"/>
      <c r="L176" s="82"/>
      <c r="M176" s="79"/>
      <c r="N176" s="79"/>
      <c r="O176" s="79"/>
      <c r="P176" s="79"/>
      <c r="Q176" s="79"/>
      <c r="R176" s="79"/>
      <c r="S176" s="79"/>
      <c r="T176" s="79"/>
      <c r="U176" s="79"/>
      <c r="V176" s="79"/>
      <c r="W176" s="79"/>
      <c r="X176" s="79"/>
      <c r="Y176" s="79"/>
      <c r="Z176" s="79"/>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125"/>
      <c r="CJ176" s="125"/>
      <c r="CK176" s="125"/>
      <c r="CL176" s="125"/>
      <c r="CM176" s="125"/>
      <c r="CN176" s="125"/>
      <c r="CO176" s="125"/>
      <c r="CP176" s="125"/>
      <c r="CQ176" s="125"/>
      <c r="CR176" s="125"/>
      <c r="CS176" s="125"/>
      <c r="CT176" s="125"/>
      <c r="CU176" s="125"/>
      <c r="CV176" s="125"/>
      <c r="CW176" s="125"/>
      <c r="CX176" s="125"/>
      <c r="CY176" s="125"/>
      <c r="CZ176" s="72"/>
      <c r="DA176" s="79"/>
      <c r="DB176" s="79"/>
      <c r="DC176" s="79"/>
      <c r="DD176" s="79"/>
      <c r="DE176" s="82"/>
      <c r="DF176" s="79"/>
      <c r="DG176" s="79"/>
      <c r="DH176" s="86">
        <f>DH18/DG18-1</f>
        <v>3.3589743589743586</v>
      </c>
      <c r="DI176" s="79">
        <v>0.1</v>
      </c>
      <c r="DJ176" s="79">
        <v>0.05</v>
      </c>
      <c r="DK176" s="79">
        <v>0.05</v>
      </c>
      <c r="DL176" s="79">
        <v>0.05</v>
      </c>
      <c r="DM176" s="79">
        <v>0.05</v>
      </c>
      <c r="DN176" s="79"/>
      <c r="DO176" s="79"/>
      <c r="DP176" s="79"/>
      <c r="DQ176" s="72"/>
      <c r="DR176" s="72"/>
      <c r="DS176" s="72"/>
      <c r="DT176" s="72"/>
      <c r="DU176" s="72"/>
      <c r="DV176" s="72"/>
      <c r="DW176" s="72"/>
      <c r="DX176" s="72"/>
      <c r="DY176" s="72"/>
      <c r="DZ176" s="72"/>
      <c r="EA176" s="72"/>
      <c r="EB176" s="72"/>
      <c r="EC176" s="72"/>
      <c r="EE176" s="72"/>
      <c r="EO176" s="37" t="s">
        <v>1111</v>
      </c>
    </row>
    <row r="177" spans="4:90">
      <c r="CI177" s="114"/>
      <c r="CJ177" s="114"/>
      <c r="CK177" s="114"/>
      <c r="CL177" s="114"/>
    </row>
    <row r="178" spans="4:90">
      <c r="CI178" s="114"/>
      <c r="CJ178" s="114"/>
      <c r="CK178" s="114"/>
      <c r="CL178" s="114"/>
    </row>
    <row r="179" spans="4:90">
      <c r="CI179" s="114"/>
      <c r="CJ179" s="114"/>
      <c r="CK179" s="114"/>
      <c r="CL179" s="114"/>
    </row>
    <row r="180" spans="4:90">
      <c r="D180" s="90">
        <f>EM59/Main!J3</f>
        <v>290.67197183781292</v>
      </c>
      <c r="CI180" s="114"/>
      <c r="CJ180" s="114"/>
      <c r="CK180" s="114"/>
      <c r="CL180" s="114"/>
    </row>
    <row r="181" spans="4:90">
      <c r="CI181" s="114"/>
      <c r="CJ181" s="114"/>
      <c r="CK181" s="114"/>
      <c r="CL181" s="114"/>
    </row>
    <row r="182" spans="4:90">
      <c r="CI182" s="114"/>
      <c r="CJ182" s="114"/>
      <c r="CK182" s="114"/>
      <c r="CL182" s="114"/>
    </row>
    <row r="183" spans="4:90">
      <c r="CI183" s="114"/>
      <c r="CJ183" s="114"/>
      <c r="CK183" s="114"/>
      <c r="CL183" s="114"/>
    </row>
    <row r="184" spans="4:90">
      <c r="CI184" s="114"/>
      <c r="CJ184" s="114"/>
      <c r="CK184" s="114"/>
      <c r="CL184" s="114"/>
    </row>
    <row r="185" spans="4:90">
      <c r="CI185" s="114"/>
      <c r="CJ185" s="114"/>
      <c r="CK185" s="114"/>
      <c r="CL185" s="114"/>
    </row>
    <row r="186" spans="4:90">
      <c r="CI186" s="114"/>
      <c r="CJ186" s="114"/>
      <c r="CK186" s="114"/>
      <c r="CL186" s="114"/>
    </row>
    <row r="187" spans="4:90">
      <c r="CI187" s="114"/>
      <c r="CJ187" s="114"/>
      <c r="CK187" s="114"/>
      <c r="CL187" s="114"/>
    </row>
    <row r="188" spans="4:90">
      <c r="CI188" s="114"/>
      <c r="CJ188" s="114"/>
      <c r="CK188" s="114"/>
      <c r="CL188" s="114"/>
    </row>
    <row r="189" spans="4:90">
      <c r="CI189" s="114"/>
      <c r="CJ189" s="114"/>
      <c r="CK189" s="114"/>
      <c r="CL189" s="114"/>
    </row>
    <row r="190" spans="4:90">
      <c r="CI190" s="114"/>
      <c r="CJ190" s="114"/>
      <c r="CK190" s="114"/>
      <c r="CL190" s="114"/>
    </row>
    <row r="191" spans="4:90">
      <c r="CI191" s="114"/>
      <c r="CJ191" s="114"/>
      <c r="CK191" s="114"/>
      <c r="CL191" s="114"/>
    </row>
    <row r="192" spans="4: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row r="237" spans="87:90">
      <c r="CI237" s="114"/>
      <c r="CJ237" s="114"/>
      <c r="CK237" s="114"/>
      <c r="CL237" s="114"/>
    </row>
    <row r="238" spans="87:90">
      <c r="CI238" s="114"/>
      <c r="CJ238" s="114"/>
      <c r="CK238" s="114"/>
      <c r="CL238" s="114"/>
    </row>
    <row r="239" spans="87:90">
      <c r="CI239" s="114"/>
      <c r="CJ239" s="114"/>
      <c r="CK239" s="114"/>
      <c r="CL239" s="114"/>
    </row>
    <row r="240" spans="87:90">
      <c r="CI240" s="114"/>
      <c r="CJ240" s="114"/>
      <c r="CK240" s="114"/>
      <c r="CL240" s="114"/>
    </row>
    <row r="241" spans="87:90">
      <c r="CI241" s="114"/>
      <c r="CJ241" s="114"/>
      <c r="CK241" s="114"/>
      <c r="CL241"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43:Z43"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432</v>
      </c>
    </row>
    <row r="8" spans="1:8" s="4" customFormat="1">
      <c r="B8" s="22" t="s">
        <v>732</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454</v>
      </c>
    </row>
    <row r="15" spans="1:8">
      <c r="C15" t="s">
        <v>845</v>
      </c>
    </row>
    <row r="16" spans="1:8">
      <c r="B16" t="s">
        <v>316</v>
      </c>
    </row>
    <row r="17" spans="2:3">
      <c r="B17" t="s">
        <v>339</v>
      </c>
    </row>
    <row r="18" spans="2:3">
      <c r="B18" t="s">
        <v>343</v>
      </c>
    </row>
    <row r="19" spans="2:3">
      <c r="C19" t="s">
        <v>344</v>
      </c>
    </row>
    <row r="20" spans="2:3">
      <c r="C20" t="s">
        <v>345</v>
      </c>
    </row>
    <row r="21" spans="2:3">
      <c r="B21" t="s">
        <v>346</v>
      </c>
    </row>
    <row r="23" spans="2:3">
      <c r="B23" t="s">
        <v>347</v>
      </c>
    </row>
    <row r="24" spans="2:3">
      <c r="B24" t="s">
        <v>408</v>
      </c>
    </row>
    <row r="25" spans="2:3">
      <c r="B25" t="s">
        <v>409</v>
      </c>
    </row>
    <row r="27" spans="2:3">
      <c r="B27" t="s">
        <v>410</v>
      </c>
    </row>
    <row r="28" spans="2:3">
      <c r="B28" t="s">
        <v>411</v>
      </c>
    </row>
    <row r="29" spans="2:3">
      <c r="B29" t="s">
        <v>669</v>
      </c>
    </row>
    <row r="30" spans="2:3">
      <c r="B30" t="s">
        <v>670</v>
      </c>
    </row>
    <row r="31" spans="2:3">
      <c r="B31" t="s">
        <v>671</v>
      </c>
    </row>
    <row r="33" spans="2:2">
      <c r="B33" t="s">
        <v>672</v>
      </c>
    </row>
    <row r="34" spans="2:2">
      <c r="B34" t="s">
        <v>482</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97</v>
      </c>
    </row>
    <row r="3" spans="1:3">
      <c r="B3" s="4" t="s">
        <v>287</v>
      </c>
      <c r="C3" s="4" t="s">
        <v>486</v>
      </c>
    </row>
    <row r="4" spans="1:3">
      <c r="B4" s="4" t="s">
        <v>806</v>
      </c>
      <c r="C4" s="4" t="s">
        <v>487</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4F8D-4883-44B7-A16D-E402D8A9D559}">
  <dimension ref="A1:C6"/>
  <sheetViews>
    <sheetView zoomScale="190" zoomScaleNormal="190" workbookViewId="0"/>
  </sheetViews>
  <sheetFormatPr defaultRowHeight="12.75"/>
  <cols>
    <col min="1" max="1" width="4.5703125" bestFit="1" customWidth="1"/>
    <col min="2" max="2" width="11.7109375" bestFit="1" customWidth="1"/>
  </cols>
  <sheetData>
    <row r="1" spans="1:3">
      <c r="A1" s="11" t="s">
        <v>5</v>
      </c>
    </row>
    <row r="2" spans="1:3">
      <c r="B2" s="102" t="s">
        <v>1201</v>
      </c>
      <c r="C2" s="102" t="s">
        <v>1528</v>
      </c>
    </row>
    <row r="3" spans="1:3">
      <c r="B3" s="102" t="s">
        <v>1210</v>
      </c>
    </row>
    <row r="4" spans="1:3">
      <c r="B4" s="102" t="s">
        <v>1202</v>
      </c>
      <c r="C4" s="102" t="s">
        <v>1325</v>
      </c>
    </row>
    <row r="5" spans="1:3">
      <c r="B5" s="102" t="s">
        <v>322</v>
      </c>
    </row>
    <row r="6" spans="1:3">
      <c r="C6" s="48" t="s">
        <v>1529</v>
      </c>
    </row>
  </sheetData>
  <hyperlinks>
    <hyperlink ref="A1" location="Main!A1" display="Main" xr:uid="{891AD7B5-9455-4F7C-AFC9-A44E6693FA2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286</v>
      </c>
      <c r="C2" s="4" t="s">
        <v>594</v>
      </c>
    </row>
    <row r="3" spans="1:3">
      <c r="B3" s="4" t="s">
        <v>287</v>
      </c>
      <c r="C3" s="4" t="s">
        <v>1040</v>
      </c>
    </row>
    <row r="4" spans="1:3">
      <c r="B4" s="4" t="s">
        <v>806</v>
      </c>
      <c r="C4" s="4" t="s">
        <v>699</v>
      </c>
    </row>
    <row r="5" spans="1:3">
      <c r="C5" s="4" t="s">
        <v>273</v>
      </c>
    </row>
    <row r="6" spans="1:3">
      <c r="C6" s="4" t="s">
        <v>976</v>
      </c>
    </row>
    <row r="7" spans="1:3">
      <c r="B7" s="4" t="s">
        <v>451</v>
      </c>
      <c r="C7" s="4" t="s">
        <v>982</v>
      </c>
    </row>
    <row r="8" spans="1:3">
      <c r="B8" s="4" t="s">
        <v>981</v>
      </c>
      <c r="C8" s="4" t="s">
        <v>338</v>
      </c>
    </row>
    <row r="9" spans="1:3">
      <c r="B9" s="4" t="s">
        <v>322</v>
      </c>
    </row>
    <row r="10" spans="1:3">
      <c r="C10" s="22" t="s">
        <v>709</v>
      </c>
    </row>
    <row r="11" spans="1:3">
      <c r="C11" s="16" t="s">
        <v>595</v>
      </c>
    </row>
    <row r="12" spans="1:3">
      <c r="C12" s="16"/>
    </row>
    <row r="13" spans="1:3">
      <c r="C13" s="22" t="s">
        <v>809</v>
      </c>
    </row>
    <row r="14" spans="1:3">
      <c r="C14" s="4" t="s">
        <v>223</v>
      </c>
    </row>
    <row r="15" spans="1:3">
      <c r="C15" s="4" t="s">
        <v>888</v>
      </c>
    </row>
    <row r="16" spans="1:3">
      <c r="C16" s="4" t="s">
        <v>746</v>
      </c>
    </row>
    <row r="17" spans="3:4">
      <c r="C17" s="4" t="s">
        <v>747</v>
      </c>
    </row>
    <row r="18" spans="3:4">
      <c r="C18" s="4" t="s">
        <v>810</v>
      </c>
    </row>
    <row r="20" spans="3:4">
      <c r="C20" s="22" t="s">
        <v>516</v>
      </c>
    </row>
    <row r="21" spans="3:4">
      <c r="C21" s="16" t="s">
        <v>635</v>
      </c>
    </row>
    <row r="22" spans="3:4">
      <c r="C22" s="14"/>
    </row>
    <row r="23" spans="3:4">
      <c r="C23" s="22" t="s">
        <v>710</v>
      </c>
    </row>
    <row r="24" spans="3:4">
      <c r="C24" s="16" t="s">
        <v>711</v>
      </c>
    </row>
    <row r="25" spans="3:4">
      <c r="C25" s="16"/>
    </row>
    <row r="26" spans="3:4">
      <c r="C26" s="28" t="s">
        <v>846</v>
      </c>
    </row>
    <row r="27" spans="3:4">
      <c r="C27" s="4" t="s">
        <v>274</v>
      </c>
      <c r="D27" s="4" t="s">
        <v>275</v>
      </c>
    </row>
    <row r="28" spans="3:4">
      <c r="C28" s="4" t="s">
        <v>357</v>
      </c>
      <c r="D28" s="4" t="s">
        <v>323</v>
      </c>
    </row>
    <row r="29" spans="3:4">
      <c r="C29" s="4" t="s">
        <v>324</v>
      </c>
      <c r="D29" s="4" t="s">
        <v>298</v>
      </c>
    </row>
    <row r="30" spans="3:4">
      <c r="C30" s="4" t="s">
        <v>10</v>
      </c>
      <c r="D30" s="4" t="s">
        <v>276</v>
      </c>
    </row>
    <row r="31" spans="3:4">
      <c r="C31" s="4" t="s">
        <v>11</v>
      </c>
      <c r="D31" s="4" t="s">
        <v>299</v>
      </c>
    </row>
    <row r="32" spans="3:4">
      <c r="D32" s="4" t="s">
        <v>300</v>
      </c>
    </row>
    <row r="33" spans="3:4">
      <c r="D33" s="4" t="s">
        <v>301</v>
      </c>
    </row>
    <row r="34" spans="3:4">
      <c r="C34" s="4" t="s">
        <v>1005</v>
      </c>
      <c r="D34" s="4" t="s">
        <v>302</v>
      </c>
    </row>
    <row r="35" spans="3:4">
      <c r="D35" s="4" t="s">
        <v>277</v>
      </c>
    </row>
    <row r="36" spans="3:4">
      <c r="D36" s="4" t="s">
        <v>278</v>
      </c>
    </row>
    <row r="38" spans="3:4">
      <c r="C38" s="22" t="s">
        <v>889</v>
      </c>
    </row>
    <row r="39" spans="3:4">
      <c r="C39" s="4" t="s">
        <v>770</v>
      </c>
    </row>
    <row r="41" spans="3:4">
      <c r="C41" s="22" t="s">
        <v>637</v>
      </c>
    </row>
    <row r="42" spans="3:4">
      <c r="C42" s="16" t="s">
        <v>638</v>
      </c>
    </row>
    <row r="43" spans="3:4">
      <c r="C43" s="14"/>
    </row>
    <row r="44" spans="3:4">
      <c r="C44" s="16" t="s">
        <v>676</v>
      </c>
    </row>
    <row r="45" spans="3:4">
      <c r="C45" s="16" t="s">
        <v>677</v>
      </c>
    </row>
    <row r="46" spans="3:4">
      <c r="C46" s="16"/>
    </row>
    <row r="47" spans="3:4">
      <c r="C47" s="4" t="s">
        <v>224</v>
      </c>
    </row>
    <row r="48" spans="3:4">
      <c r="C48" s="14" t="s">
        <v>636</v>
      </c>
    </row>
    <row r="49" spans="3:4">
      <c r="C49" s="14"/>
    </row>
    <row r="50" spans="3:4">
      <c r="C50" s="4" t="s">
        <v>692</v>
      </c>
    </row>
    <row r="51" spans="3:4">
      <c r="D51" s="4" t="s">
        <v>693</v>
      </c>
    </row>
    <row r="52" spans="3:4">
      <c r="C52" s="4" t="s">
        <v>434</v>
      </c>
    </row>
    <row r="54" spans="3:4">
      <c r="C54" s="22" t="s">
        <v>903</v>
      </c>
    </row>
    <row r="55" spans="3:4">
      <c r="C55" s="4" t="s">
        <v>834</v>
      </c>
    </row>
    <row r="56" spans="3:4">
      <c r="C56" s="4" t="s">
        <v>835</v>
      </c>
    </row>
    <row r="57" spans="3:4">
      <c r="C57" s="4" t="s">
        <v>440</v>
      </c>
    </row>
    <row r="58" spans="3:4">
      <c r="C58" s="4" t="s">
        <v>340</v>
      </c>
    </row>
    <row r="59" spans="3:4">
      <c r="C59" s="4" t="s">
        <v>341</v>
      </c>
    </row>
    <row r="60" spans="3:4">
      <c r="C60" s="4" t="s">
        <v>901</v>
      </c>
    </row>
    <row r="61" spans="3:4">
      <c r="C61" s="4" t="s">
        <v>902</v>
      </c>
    </row>
    <row r="63" spans="3:4">
      <c r="C63" s="4" t="s">
        <v>459</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628</v>
      </c>
    </row>
    <row r="4" spans="2:2">
      <c r="B4" t="s">
        <v>967</v>
      </c>
    </row>
  </sheetData>
  <phoneticPr fontId="3"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342</v>
      </c>
    </row>
    <row r="4" spans="1:2">
      <c r="B4" t="s">
        <v>717</v>
      </c>
    </row>
    <row r="5" spans="1:2">
      <c r="B5" t="s">
        <v>435</v>
      </c>
    </row>
    <row r="7" spans="1:2">
      <c r="B7" t="s">
        <v>433</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851</v>
      </c>
    </row>
    <row r="3" spans="1:3">
      <c r="B3" t="s">
        <v>287</v>
      </c>
    </row>
    <row r="4" spans="1:3">
      <c r="B4" t="s">
        <v>322</v>
      </c>
    </row>
    <row r="5" spans="1:3">
      <c r="C5" s="48" t="s">
        <v>852</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279</v>
      </c>
    </row>
    <row r="3" spans="1:3">
      <c r="B3" t="s">
        <v>806</v>
      </c>
      <c r="C3" t="s">
        <v>921</v>
      </c>
    </row>
    <row r="4" spans="1:3">
      <c r="B4" t="s">
        <v>322</v>
      </c>
    </row>
    <row r="5" spans="1:3">
      <c r="C5" s="48" t="s">
        <v>1101</v>
      </c>
    </row>
    <row r="6" spans="1:3">
      <c r="C6" s="53" t="s">
        <v>1102</v>
      </c>
    </row>
    <row r="7" spans="1:3">
      <c r="C7" s="53"/>
    </row>
    <row r="8" spans="1:3">
      <c r="C8" s="53"/>
    </row>
    <row r="10" spans="1:3">
      <c r="C10" s="48" t="s">
        <v>922</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286</v>
      </c>
      <c r="C2" t="s">
        <v>126</v>
      </c>
    </row>
    <row r="3" spans="1:4">
      <c r="B3" t="s">
        <v>287</v>
      </c>
    </row>
    <row r="4" spans="1:4">
      <c r="B4" t="s">
        <v>806</v>
      </c>
      <c r="C4" t="s">
        <v>722</v>
      </c>
    </row>
    <row r="5" spans="1:4">
      <c r="C5" t="s">
        <v>913</v>
      </c>
    </row>
    <row r="6" spans="1:4">
      <c r="C6" t="s">
        <v>914</v>
      </c>
    </row>
    <row r="7" spans="1:4">
      <c r="C7" t="s">
        <v>280</v>
      </c>
    </row>
    <row r="8" spans="1:4">
      <c r="C8" t="s">
        <v>320</v>
      </c>
    </row>
    <row r="9" spans="1:4">
      <c r="C9" t="s">
        <v>753</v>
      </c>
    </row>
    <row r="10" spans="1:4">
      <c r="C10" t="s">
        <v>755</v>
      </c>
    </row>
    <row r="12" spans="1:4">
      <c r="B12" t="s">
        <v>7</v>
      </c>
      <c r="C12" t="s">
        <v>754</v>
      </c>
    </row>
    <row r="13" spans="1:4">
      <c r="C13" t="s">
        <v>756</v>
      </c>
    </row>
    <row r="14" spans="1:4">
      <c r="D14" t="s">
        <v>757</v>
      </c>
    </row>
    <row r="15" spans="1:4">
      <c r="C15" t="s">
        <v>758</v>
      </c>
    </row>
    <row r="16" spans="1:4">
      <c r="D16" t="s">
        <v>305</v>
      </c>
    </row>
    <row r="17" spans="2:4">
      <c r="C17" t="s">
        <v>438</v>
      </c>
    </row>
    <row r="18" spans="2:4">
      <c r="C18" t="s">
        <v>439</v>
      </c>
    </row>
    <row r="19" spans="2:4">
      <c r="C19" t="s">
        <v>995</v>
      </c>
    </row>
    <row r="20" spans="2:4">
      <c r="D20" t="s">
        <v>404</v>
      </c>
    </row>
    <row r="21" spans="2:4">
      <c r="C21" t="s">
        <v>405</v>
      </c>
    </row>
    <row r="23" spans="2:4">
      <c r="C23" t="s">
        <v>833</v>
      </c>
    </row>
    <row r="24" spans="2:4">
      <c r="C24" t="s">
        <v>127</v>
      </c>
    </row>
    <row r="25" spans="2:4">
      <c r="C25" t="s">
        <v>80</v>
      </c>
    </row>
    <row r="26" spans="2:4">
      <c r="C26" t="s">
        <v>406</v>
      </c>
    </row>
    <row r="27" spans="2:4">
      <c r="C27" t="s">
        <v>498</v>
      </c>
    </row>
    <row r="28" spans="2:4">
      <c r="C28" t="s">
        <v>407</v>
      </c>
    </row>
    <row r="29" spans="2:4">
      <c r="C29" t="s">
        <v>348</v>
      </c>
    </row>
    <row r="30" spans="2:4">
      <c r="C30" t="s">
        <v>349</v>
      </c>
    </row>
    <row r="31" spans="2:4">
      <c r="B31" t="s">
        <v>322</v>
      </c>
    </row>
    <row r="32" spans="2:4">
      <c r="C32" s="48" t="s">
        <v>927</v>
      </c>
    </row>
    <row r="35" spans="3:3">
      <c r="C35" s="48" t="s">
        <v>1103</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219</v>
      </c>
    </row>
    <row r="3" spans="1:3">
      <c r="B3" s="4" t="s">
        <v>287</v>
      </c>
    </row>
    <row r="4" spans="1:3">
      <c r="B4" s="4" t="s">
        <v>806</v>
      </c>
      <c r="C4" s="4" t="s">
        <v>968</v>
      </c>
    </row>
    <row r="5" spans="1:3">
      <c r="B5" s="4" t="s">
        <v>322</v>
      </c>
      <c r="C5" s="4" t="s">
        <v>350</v>
      </c>
    </row>
    <row r="8" spans="1:3">
      <c r="C8" s="22" t="s">
        <v>662</v>
      </c>
    </row>
    <row r="9" spans="1:3">
      <c r="C9" s="4" t="s">
        <v>533</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397E-B072-4B73-8353-E945D19C1CC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1189</v>
      </c>
    </row>
    <row r="3" spans="1:3">
      <c r="B3" s="102" t="s">
        <v>1210</v>
      </c>
      <c r="C3" s="102" t="s">
        <v>1409</v>
      </c>
    </row>
    <row r="4" spans="1:3">
      <c r="B4" s="102" t="s">
        <v>3</v>
      </c>
      <c r="C4" s="102" t="s">
        <v>1410</v>
      </c>
    </row>
    <row r="5" spans="1:3">
      <c r="B5" s="102" t="s">
        <v>806</v>
      </c>
      <c r="C5" s="102" t="s">
        <v>1411</v>
      </c>
    </row>
    <row r="6" spans="1:3">
      <c r="B6" s="102" t="s">
        <v>899</v>
      </c>
      <c r="C6" s="102" t="s">
        <v>1412</v>
      </c>
    </row>
    <row r="7" spans="1:3">
      <c r="B7" s="102" t="s">
        <v>322</v>
      </c>
    </row>
    <row r="8" spans="1:3">
      <c r="C8" s="48" t="s">
        <v>1413</v>
      </c>
    </row>
    <row r="11" spans="1:3">
      <c r="C11" s="48" t="s">
        <v>1414</v>
      </c>
    </row>
  </sheetData>
  <hyperlinks>
    <hyperlink ref="A1" location="Main!A1" display="Main" xr:uid="{B9F3CBDE-A728-4727-BBA8-605155945F0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s="53" t="s">
        <v>31</v>
      </c>
    </row>
    <row r="3" spans="1:3">
      <c r="B3" s="53" t="s">
        <v>806</v>
      </c>
      <c r="C3" s="53" t="s">
        <v>1056</v>
      </c>
    </row>
    <row r="4" spans="1:3">
      <c r="B4" s="53" t="s">
        <v>1104</v>
      </c>
      <c r="C4" s="53" t="s">
        <v>1105</v>
      </c>
    </row>
    <row r="5" spans="1:3">
      <c r="B5" s="53" t="s">
        <v>322</v>
      </c>
      <c r="C5" s="48"/>
    </row>
    <row r="6" spans="1:3">
      <c r="B6" s="53"/>
      <c r="C6" s="48" t="s">
        <v>1063</v>
      </c>
    </row>
    <row r="7" spans="1:3">
      <c r="B7" s="53"/>
      <c r="C7" s="53" t="s">
        <v>1064</v>
      </c>
    </row>
    <row r="8" spans="1:3">
      <c r="B8" s="53"/>
      <c r="C8" s="48"/>
    </row>
    <row r="9" spans="1:3">
      <c r="B9" s="53"/>
      <c r="C9" s="48"/>
    </row>
    <row r="10" spans="1:3">
      <c r="C10" s="48" t="s">
        <v>1058</v>
      </c>
    </row>
    <row r="11" spans="1:3">
      <c r="C11" s="53" t="s">
        <v>1057</v>
      </c>
    </row>
  </sheetData>
  <hyperlinks>
    <hyperlink ref="A1" location="Main!A1" display="Main" xr:uid="{00000000-0004-0000-2C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t="s">
        <v>108</v>
      </c>
    </row>
    <row r="3" spans="1:3">
      <c r="B3" t="s">
        <v>322</v>
      </c>
    </row>
    <row r="4" spans="1:3">
      <c r="C4" s="48" t="s">
        <v>688</v>
      </c>
    </row>
    <row r="5" spans="1:3">
      <c r="C5" t="s">
        <v>689</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924</v>
      </c>
    </row>
    <row r="3" spans="1:3">
      <c r="B3" t="s">
        <v>806</v>
      </c>
      <c r="C3" t="s">
        <v>925</v>
      </c>
    </row>
    <row r="4" spans="1:3">
      <c r="B4" t="s">
        <v>322</v>
      </c>
    </row>
    <row r="5" spans="1:3">
      <c r="C5" s="48" t="s">
        <v>926</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286</v>
      </c>
      <c r="C2" t="s">
        <v>918</v>
      </c>
    </row>
    <row r="3" spans="1:3">
      <c r="B3" t="s">
        <v>806</v>
      </c>
      <c r="C3" t="s">
        <v>919</v>
      </c>
    </row>
    <row r="4" spans="1:3">
      <c r="B4" t="s">
        <v>322</v>
      </c>
    </row>
    <row r="5" spans="1:3">
      <c r="C5" s="48" t="s">
        <v>920</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652</v>
      </c>
    </row>
    <row r="3" spans="1:3">
      <c r="B3" t="s">
        <v>806</v>
      </c>
      <c r="C3" t="s">
        <v>520</v>
      </c>
    </row>
    <row r="4" spans="1:3">
      <c r="B4" t="s">
        <v>328</v>
      </c>
      <c r="C4" t="s">
        <v>521</v>
      </c>
    </row>
    <row r="5" spans="1:3">
      <c r="B5" t="s">
        <v>322</v>
      </c>
      <c r="C5" t="s">
        <v>965</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554</v>
      </c>
    </row>
    <row r="4" spans="1:10">
      <c r="B4" t="s">
        <v>555</v>
      </c>
    </row>
    <row r="5" spans="1:10">
      <c r="B5" t="s">
        <v>556</v>
      </c>
    </row>
    <row r="7" spans="1:10" s="4" customFormat="1">
      <c r="C7" s="5" t="s">
        <v>220</v>
      </c>
      <c r="D7" s="4" t="s">
        <v>229</v>
      </c>
      <c r="E7" s="4" t="s">
        <v>807</v>
      </c>
      <c r="F7" s="6">
        <v>2</v>
      </c>
      <c r="G7" s="6" t="s">
        <v>221</v>
      </c>
      <c r="H7" s="6"/>
      <c r="I7" s="24"/>
      <c r="J7" s="4" t="s">
        <v>864</v>
      </c>
    </row>
    <row r="8" spans="1:10" s="4" customFormat="1">
      <c r="C8" s="5" t="s">
        <v>220</v>
      </c>
      <c r="D8" s="4" t="s">
        <v>230</v>
      </c>
      <c r="E8" s="4" t="s">
        <v>807</v>
      </c>
      <c r="F8" s="6">
        <v>2</v>
      </c>
      <c r="G8" s="6"/>
      <c r="H8" s="6"/>
      <c r="I8" s="24"/>
    </row>
    <row r="10" spans="1:10">
      <c r="B10" t="s">
        <v>65</v>
      </c>
      <c r="C10" t="s">
        <v>254</v>
      </c>
      <c r="D10" t="s">
        <v>179</v>
      </c>
    </row>
    <row r="11" spans="1:10">
      <c r="B11" t="s">
        <v>69</v>
      </c>
    </row>
    <row r="12" spans="1:10">
      <c r="B12" t="s">
        <v>68</v>
      </c>
    </row>
    <row r="13" spans="1:10">
      <c r="B13" t="s">
        <v>750</v>
      </c>
    </row>
    <row r="14" spans="1:10">
      <c r="B14" t="s">
        <v>1037</v>
      </c>
    </row>
    <row r="15" spans="1:10">
      <c r="B15" t="s">
        <v>1038</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291</v>
      </c>
    </row>
    <row r="3" spans="1:3">
      <c r="B3" s="4" t="s">
        <v>286</v>
      </c>
      <c r="C3" s="4" t="s">
        <v>474</v>
      </c>
    </row>
    <row r="4" spans="1:3">
      <c r="B4" s="4" t="s">
        <v>287</v>
      </c>
      <c r="C4" s="4" t="s">
        <v>56</v>
      </c>
    </row>
    <row r="5" spans="1:3">
      <c r="B5" s="4" t="s">
        <v>3</v>
      </c>
      <c r="C5" s="4" t="s">
        <v>881</v>
      </c>
    </row>
    <row r="6" spans="1:3">
      <c r="C6" s="4" t="s">
        <v>882</v>
      </c>
    </row>
    <row r="7" spans="1:3">
      <c r="B7" s="4" t="s">
        <v>806</v>
      </c>
      <c r="C7" s="4" t="s">
        <v>485</v>
      </c>
    </row>
    <row r="8" spans="1:3">
      <c r="B8" s="4" t="s">
        <v>441</v>
      </c>
      <c r="C8" s="4" t="s">
        <v>235</v>
      </c>
    </row>
    <row r="9" spans="1:3">
      <c r="C9" s="4" t="s">
        <v>236</v>
      </c>
    </row>
    <row r="10" spans="1:3">
      <c r="C10" s="4" t="s">
        <v>908</v>
      </c>
    </row>
    <row r="11" spans="1:3">
      <c r="B11" s="4" t="s">
        <v>453</v>
      </c>
      <c r="C11" s="4" t="s">
        <v>909</v>
      </c>
    </row>
    <row r="12" spans="1:3">
      <c r="C12" s="4" t="s">
        <v>910</v>
      </c>
    </row>
    <row r="13" spans="1:3">
      <c r="B13" s="4" t="s">
        <v>322</v>
      </c>
    </row>
    <row r="14" spans="1:3">
      <c r="C14" s="4" t="s">
        <v>911</v>
      </c>
    </row>
    <row r="16" spans="1:3">
      <c r="C16" s="4" t="s">
        <v>57</v>
      </c>
    </row>
    <row r="18" spans="2:2">
      <c r="B18" s="4" t="s">
        <v>330</v>
      </c>
    </row>
    <row r="19" spans="2:2">
      <c r="B19" s="4" t="s">
        <v>331</v>
      </c>
    </row>
    <row r="23" spans="2:2">
      <c r="B23" s="4" t="s">
        <v>414</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9081-5A72-4958-9392-17F4A8CB6636}">
  <dimension ref="A1:C29"/>
  <sheetViews>
    <sheetView zoomScale="175" zoomScaleNormal="175" workbookViewId="0"/>
  </sheetViews>
  <sheetFormatPr defaultRowHeight="12.75"/>
  <cols>
    <col min="1" max="1" width="4.5703125" bestFit="1" customWidth="1"/>
    <col min="2" max="2" width="13.28515625" customWidth="1"/>
  </cols>
  <sheetData>
    <row r="1" spans="1:3">
      <c r="A1" s="11" t="s">
        <v>5</v>
      </c>
    </row>
    <row r="2" spans="1:3">
      <c r="B2" s="102" t="s">
        <v>1201</v>
      </c>
      <c r="C2" s="102" t="s">
        <v>1506</v>
      </c>
    </row>
    <row r="3" spans="1:3">
      <c r="B3" s="102" t="s">
        <v>1210</v>
      </c>
      <c r="C3" s="102" t="s">
        <v>1504</v>
      </c>
    </row>
    <row r="4" spans="1:3">
      <c r="B4" s="102" t="s">
        <v>806</v>
      </c>
      <c r="C4" s="102" t="s">
        <v>1497</v>
      </c>
    </row>
    <row r="5" spans="1:3">
      <c r="B5" s="102" t="s">
        <v>3</v>
      </c>
      <c r="C5" s="102" t="s">
        <v>1299</v>
      </c>
    </row>
    <row r="6" spans="1:3">
      <c r="B6" s="102" t="s">
        <v>899</v>
      </c>
      <c r="C6" s="102" t="s">
        <v>1505</v>
      </c>
    </row>
    <row r="7" spans="1:3">
      <c r="B7" s="102" t="s">
        <v>981</v>
      </c>
      <c r="C7" s="102" t="s">
        <v>1507</v>
      </c>
    </row>
    <row r="8" spans="1:3">
      <c r="B8" s="102" t="s">
        <v>6</v>
      </c>
    </row>
    <row r="9" spans="1:3">
      <c r="B9" s="102" t="s">
        <v>322</v>
      </c>
    </row>
    <row r="10" spans="1:3">
      <c r="B10" s="102"/>
      <c r="C10" s="48" t="s">
        <v>1508</v>
      </c>
    </row>
    <row r="11" spans="1:3">
      <c r="B11" s="102"/>
      <c r="C11" s="102" t="s">
        <v>1509</v>
      </c>
    </row>
    <row r="12" spans="1:3">
      <c r="B12" s="102"/>
    </row>
    <row r="13" spans="1:3">
      <c r="B13" s="102"/>
    </row>
    <row r="14" spans="1:3">
      <c r="B14" s="102"/>
    </row>
    <row r="15" spans="1:3">
      <c r="C15" s="48" t="s">
        <v>1498</v>
      </c>
    </row>
    <row r="18" spans="3:3">
      <c r="C18" s="48" t="s">
        <v>1499</v>
      </c>
    </row>
    <row r="21" spans="3:3">
      <c r="C21" s="48" t="s">
        <v>1500</v>
      </c>
    </row>
    <row r="24" spans="3:3">
      <c r="C24" s="48" t="s">
        <v>1501</v>
      </c>
    </row>
    <row r="27" spans="3:3">
      <c r="C27" s="48" t="s">
        <v>1502</v>
      </c>
    </row>
    <row r="29" spans="3:3">
      <c r="C29" s="48" t="s">
        <v>1503</v>
      </c>
    </row>
  </sheetData>
  <hyperlinks>
    <hyperlink ref="A1" location="Main!A1" display="Main" xr:uid="{63FA3FB4-D1A7-49B3-853F-990645F160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D5D4-3FD9-470E-8E64-F390D179BB28}">
  <dimension ref="A1:C11"/>
  <sheetViews>
    <sheetView workbookViewId="0"/>
  </sheetViews>
  <sheetFormatPr defaultRowHeight="12.75"/>
  <cols>
    <col min="1" max="1" width="4.5703125" bestFit="1" customWidth="1"/>
    <col min="2" max="2" width="11.28515625" bestFit="1" customWidth="1"/>
  </cols>
  <sheetData>
    <row r="1" spans="1:3">
      <c r="A1" s="11" t="s">
        <v>5</v>
      </c>
    </row>
    <row r="2" spans="1:3">
      <c r="B2" s="102" t="s">
        <v>1201</v>
      </c>
      <c r="C2" s="102" t="s">
        <v>1230</v>
      </c>
    </row>
    <row r="3" spans="1:3">
      <c r="B3" s="102" t="s">
        <v>1210</v>
      </c>
      <c r="C3" s="102" t="s">
        <v>1433</v>
      </c>
    </row>
    <row r="4" spans="1:3">
      <c r="B4" s="102" t="s">
        <v>3</v>
      </c>
      <c r="C4" s="102" t="s">
        <v>1367</v>
      </c>
    </row>
    <row r="5" spans="1:3">
      <c r="B5" s="102" t="s">
        <v>899</v>
      </c>
      <c r="C5" s="102" t="s">
        <v>1434</v>
      </c>
    </row>
    <row r="6" spans="1:3">
      <c r="B6" s="102" t="s">
        <v>806</v>
      </c>
    </row>
    <row r="7" spans="1:3">
      <c r="B7" s="102" t="s">
        <v>322</v>
      </c>
    </row>
    <row r="8" spans="1:3">
      <c r="C8" s="48" t="s">
        <v>1431</v>
      </c>
    </row>
    <row r="9" spans="1:3">
      <c r="C9" s="102" t="s">
        <v>1432</v>
      </c>
    </row>
    <row r="11" spans="1:3">
      <c r="C11" s="48" t="s">
        <v>1430</v>
      </c>
    </row>
  </sheetData>
  <hyperlinks>
    <hyperlink ref="A1" location="Main!A1" display="Main" xr:uid="{C072C92A-6B65-45C8-BCD5-B332FBB0D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A4C2-36DA-40D5-BCF5-9E7EF72B78E6}">
  <dimension ref="A1:C22"/>
  <sheetViews>
    <sheetView zoomScale="145" zoomScaleNormal="145" workbookViewId="0"/>
  </sheetViews>
  <sheetFormatPr defaultRowHeight="12.75"/>
  <cols>
    <col min="1" max="1" width="4.5703125" bestFit="1" customWidth="1"/>
    <col min="2" max="2" width="13.7109375" customWidth="1"/>
  </cols>
  <sheetData>
    <row r="1" spans="1:3">
      <c r="A1" s="11" t="s">
        <v>5</v>
      </c>
    </row>
    <row r="2" spans="1:3">
      <c r="B2" s="102" t="s">
        <v>1201</v>
      </c>
      <c r="C2" s="102" t="s">
        <v>1487</v>
      </c>
    </row>
    <row r="3" spans="1:3">
      <c r="B3" s="102" t="s">
        <v>1210</v>
      </c>
      <c r="C3" s="102" t="s">
        <v>1483</v>
      </c>
    </row>
    <row r="4" spans="1:3">
      <c r="B4" s="102" t="s">
        <v>3</v>
      </c>
      <c r="C4" s="102" t="s">
        <v>1484</v>
      </c>
    </row>
    <row r="5" spans="1:3">
      <c r="B5" s="102" t="s">
        <v>806</v>
      </c>
      <c r="C5" s="102" t="s">
        <v>1485</v>
      </c>
    </row>
    <row r="6" spans="1:3">
      <c r="B6" s="102" t="s">
        <v>899</v>
      </c>
      <c r="C6" s="102" t="s">
        <v>1486</v>
      </c>
    </row>
    <row r="7" spans="1:3">
      <c r="B7" s="102" t="s">
        <v>981</v>
      </c>
      <c r="C7" s="102" t="s">
        <v>1496</v>
      </c>
    </row>
    <row r="8" spans="1:3">
      <c r="B8" s="102" t="s">
        <v>6</v>
      </c>
    </row>
    <row r="9" spans="1:3">
      <c r="B9" s="102" t="s">
        <v>322</v>
      </c>
    </row>
    <row r="10" spans="1:3">
      <c r="C10" s="48" t="s">
        <v>1488</v>
      </c>
    </row>
    <row r="11" spans="1:3">
      <c r="C11" s="102" t="s">
        <v>1489</v>
      </c>
    </row>
    <row r="14" spans="1:3">
      <c r="C14" s="48" t="s">
        <v>1490</v>
      </c>
    </row>
    <row r="19" spans="3:3">
      <c r="C19" s="48" t="s">
        <v>1494</v>
      </c>
    </row>
    <row r="22" spans="3:3">
      <c r="C22" s="48" t="s">
        <v>1495</v>
      </c>
    </row>
  </sheetData>
  <hyperlinks>
    <hyperlink ref="A1" location="Main!A1" display="Main" xr:uid="{AC7CD245-464F-41F1-90F8-27ABAC88C8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A504-3832-44CF-BCF5-60E45D891A5E}">
  <dimension ref="A1:C21"/>
  <sheetViews>
    <sheetView workbookViewId="0"/>
  </sheetViews>
  <sheetFormatPr defaultRowHeight="12.75"/>
  <cols>
    <col min="1" max="1" width="4.5703125" bestFit="1" customWidth="1"/>
    <col min="2" max="2" width="12.28515625" bestFit="1" customWidth="1"/>
  </cols>
  <sheetData>
    <row r="1" spans="1:3">
      <c r="A1" s="11" t="s">
        <v>5</v>
      </c>
    </row>
    <row r="2" spans="1:3">
      <c r="B2" s="102" t="s">
        <v>1201</v>
      </c>
      <c r="C2" s="102" t="s">
        <v>1479</v>
      </c>
    </row>
    <row r="3" spans="1:3">
      <c r="B3" s="102" t="s">
        <v>1210</v>
      </c>
      <c r="C3" s="102" t="s">
        <v>1472</v>
      </c>
    </row>
    <row r="4" spans="1:3">
      <c r="B4" s="102" t="s">
        <v>3</v>
      </c>
      <c r="C4" s="102" t="s">
        <v>1473</v>
      </c>
    </row>
    <row r="5" spans="1:3">
      <c r="B5" s="102" t="s">
        <v>899</v>
      </c>
      <c r="C5" s="102" t="s">
        <v>1470</v>
      </c>
    </row>
    <row r="6" spans="1:3">
      <c r="B6" s="102" t="s">
        <v>806</v>
      </c>
      <c r="C6" s="102" t="s">
        <v>1471</v>
      </c>
    </row>
    <row r="7" spans="1:3">
      <c r="B7" s="102" t="s">
        <v>322</v>
      </c>
    </row>
    <row r="8" spans="1:3">
      <c r="C8" s="48" t="s">
        <v>1474</v>
      </c>
    </row>
    <row r="11" spans="1:3">
      <c r="C11" s="48" t="s">
        <v>1475</v>
      </c>
    </row>
    <row r="12" spans="1:3">
      <c r="C12" s="102" t="s">
        <v>1480</v>
      </c>
    </row>
    <row r="14" spans="1:3">
      <c r="C14" s="48" t="s">
        <v>1476</v>
      </c>
    </row>
    <row r="15" spans="1:3">
      <c r="C15" s="102" t="s">
        <v>1481</v>
      </c>
    </row>
    <row r="17" spans="3:3">
      <c r="C17" s="48" t="s">
        <v>1477</v>
      </c>
    </row>
    <row r="18" spans="3:3">
      <c r="C18" s="102" t="s">
        <v>1482</v>
      </c>
    </row>
    <row r="21" spans="3:3">
      <c r="C21" s="48" t="s">
        <v>1478</v>
      </c>
    </row>
  </sheetData>
  <hyperlinks>
    <hyperlink ref="A1" location="Main!A1" display="Main" xr:uid="{DEFC525E-317C-4EA6-9633-91D8A89AD9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7171-047C-474A-985E-96C9DAF46637}">
  <dimension ref="A1:C30"/>
  <sheetViews>
    <sheetView zoomScale="160" zoomScaleNormal="160" workbookViewId="0"/>
  </sheetViews>
  <sheetFormatPr defaultRowHeight="12.75"/>
  <cols>
    <col min="1" max="1" width="4.5703125" bestFit="1" customWidth="1"/>
    <col min="2" max="2" width="13" customWidth="1"/>
  </cols>
  <sheetData>
    <row r="1" spans="1:3">
      <c r="A1" s="11" t="s">
        <v>5</v>
      </c>
    </row>
    <row r="2" spans="1:3">
      <c r="B2" s="102" t="s">
        <v>1201</v>
      </c>
      <c r="C2" s="102" t="s">
        <v>1191</v>
      </c>
    </row>
    <row r="3" spans="1:3">
      <c r="B3" s="102" t="s">
        <v>1210</v>
      </c>
      <c r="C3" s="102" t="s">
        <v>1447</v>
      </c>
    </row>
    <row r="4" spans="1:3">
      <c r="B4" s="102" t="s">
        <v>3</v>
      </c>
      <c r="C4" s="102" t="s">
        <v>1450</v>
      </c>
    </row>
    <row r="5" spans="1:3">
      <c r="B5" s="102" t="s">
        <v>6</v>
      </c>
      <c r="C5" s="102" t="s">
        <v>1136</v>
      </c>
    </row>
    <row r="6" spans="1:3">
      <c r="B6" s="102" t="s">
        <v>806</v>
      </c>
    </row>
    <row r="7" spans="1:3">
      <c r="B7" s="102" t="s">
        <v>899</v>
      </c>
      <c r="C7" s="102" t="s">
        <v>1448</v>
      </c>
    </row>
    <row r="8" spans="1:3">
      <c r="B8" s="102"/>
      <c r="C8" s="102" t="s">
        <v>1453</v>
      </c>
    </row>
    <row r="9" spans="1:3">
      <c r="B9" s="102" t="s">
        <v>322</v>
      </c>
    </row>
    <row r="10" spans="1:3">
      <c r="C10" s="48" t="s">
        <v>1451</v>
      </c>
    </row>
    <row r="13" spans="1:3">
      <c r="C13" s="48" t="s">
        <v>1452</v>
      </c>
    </row>
    <row r="16" spans="1:3">
      <c r="C16" s="48" t="s">
        <v>1454</v>
      </c>
    </row>
    <row r="20" spans="3:3">
      <c r="C20" s="48" t="s">
        <v>1458</v>
      </c>
    </row>
    <row r="23" spans="3:3">
      <c r="C23" s="48" t="s">
        <v>1455</v>
      </c>
    </row>
    <row r="26" spans="3:3">
      <c r="C26" s="48" t="s">
        <v>1456</v>
      </c>
    </row>
    <row r="30" spans="3:3">
      <c r="C30" s="48" t="s">
        <v>1457</v>
      </c>
    </row>
  </sheetData>
  <hyperlinks>
    <hyperlink ref="A1" location="Main!A1" display="Main" xr:uid="{71EB3325-D0DD-45EF-B8C7-26F1DCB8D6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1</vt:i4>
      </vt:variant>
    </vt:vector>
  </HeadingPairs>
  <TitlesOfParts>
    <vt:vector size="47" baseType="lpstr">
      <vt:lpstr>Master</vt:lpstr>
      <vt:lpstr>Main</vt:lpstr>
      <vt:lpstr>Model</vt:lpstr>
      <vt:lpstr>Repatha</vt:lpstr>
      <vt:lpstr>Imdelltra</vt:lpstr>
      <vt:lpstr>Krystexxa</vt:lpstr>
      <vt:lpstr>Blincyto</vt:lpstr>
      <vt:lpstr>Otezla</vt:lpstr>
      <vt:lpstr>Tezspire</vt:lpstr>
      <vt:lpstr>Tepezza</vt:lpstr>
      <vt:lpstr>Tavneos</vt:lpstr>
      <vt:lpstr>Uplizna</vt:lpstr>
      <vt:lpstr>Enbrel</vt:lpstr>
      <vt:lpstr>Lumakras</vt:lpstr>
      <vt:lpstr>Neulasta</vt:lpstr>
      <vt:lpstr>olpasiran</vt:lpstr>
      <vt:lpstr>xaluritamig</vt:lpstr>
      <vt:lpstr>bemarituzumab</vt:lpstr>
      <vt:lpstr>maridebart cafraglutide</vt:lpstr>
      <vt:lpstr>rocatinlimab</vt:lpstr>
      <vt:lpstr>Neupogen</vt:lpstr>
      <vt:lpstr>Epogen</vt:lpstr>
      <vt:lpstr>EPO safety</vt:lpstr>
      <vt:lpstr>Aranesp</vt:lpstr>
      <vt:lpstr>G-CSF</vt:lpstr>
      <vt:lpstr>Sensipar</vt:lpstr>
      <vt:lpstr>Nplate</vt:lpstr>
      <vt:lpstr>Vectibix</vt:lpstr>
      <vt:lpstr>Denosumab</vt:lpstr>
      <vt:lpstr>Denosumab trials</vt:lpstr>
      <vt:lpstr>Kineret</vt:lpstr>
      <vt:lpstr>193</vt:lpstr>
      <vt:lpstr>706</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2025-05-13T03:20:43Z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