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A0FC345-096D-4B3C-BDD3-8894EDB07441}" xr6:coauthVersionLast="47" xr6:coauthVersionMax="47" xr10:uidLastSave="{00000000-0000-0000-0000-000000000000}"/>
  <bookViews>
    <workbookView xWindow="52125" yWindow="2850" windowWidth="14760" windowHeight="12015" xr2:uid="{95DFF149-235A-40FC-8561-122C0077ED7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2" i="2" l="1"/>
  <c r="R22" i="2"/>
  <c r="S21" i="2"/>
  <c r="N22" i="2"/>
  <c r="N21" i="2"/>
  <c r="M21" i="2"/>
  <c r="M22" i="2"/>
  <c r="N16" i="2"/>
  <c r="M16" i="2"/>
  <c r="N11" i="2"/>
  <c r="M11" i="2"/>
  <c r="N10" i="2"/>
  <c r="M10" i="2"/>
  <c r="N8" i="2"/>
  <c r="M8" i="2"/>
  <c r="N6" i="2"/>
  <c r="M6" i="2"/>
  <c r="N5" i="2"/>
  <c r="M5" i="2"/>
  <c r="N12" i="2"/>
  <c r="M12" i="2"/>
  <c r="N19" i="2"/>
  <c r="M19" i="2"/>
  <c r="R18" i="2"/>
  <c r="S19" i="2"/>
  <c r="R19" i="2"/>
  <c r="R17" i="2"/>
  <c r="S16" i="2"/>
  <c r="R16" i="2"/>
  <c r="R15" i="2"/>
  <c r="S14" i="2"/>
  <c r="R14" i="2"/>
  <c r="S12" i="2"/>
  <c r="R13" i="2"/>
  <c r="R12" i="2"/>
  <c r="S11" i="2"/>
  <c r="R11" i="2"/>
  <c r="S10" i="2"/>
  <c r="R10" i="2"/>
  <c r="S8" i="2"/>
  <c r="R9" i="2"/>
  <c r="R8" i="2"/>
  <c r="N7" i="2"/>
  <c r="N9" i="2" s="1"/>
  <c r="M7" i="2"/>
  <c r="M9" i="2" s="1"/>
  <c r="E22" i="2"/>
  <c r="E14" i="2"/>
  <c r="E8" i="2"/>
  <c r="E12" i="2"/>
  <c r="E7" i="2"/>
  <c r="E9" i="2" s="1"/>
  <c r="I22" i="2"/>
  <c r="I14" i="2"/>
  <c r="I8" i="2"/>
  <c r="I12" i="2"/>
  <c r="I7" i="2"/>
  <c r="I9" i="2" s="1"/>
  <c r="I13" i="2" s="1"/>
  <c r="I15" i="2" s="1"/>
  <c r="I17" i="2" s="1"/>
  <c r="I18" i="2" s="1"/>
  <c r="F22" i="2"/>
  <c r="F14" i="2"/>
  <c r="F8" i="2"/>
  <c r="F12" i="2"/>
  <c r="F7" i="2"/>
  <c r="F9" i="2" s="1"/>
  <c r="J14" i="2"/>
  <c r="J8" i="2"/>
  <c r="J12" i="2"/>
  <c r="J7" i="2"/>
  <c r="J21" i="2" s="1"/>
  <c r="S6" i="2"/>
  <c r="S5" i="2"/>
  <c r="R6" i="2"/>
  <c r="R5" i="2"/>
  <c r="S2" i="2"/>
  <c r="T2" i="2" s="1"/>
  <c r="U2" i="2" s="1"/>
  <c r="V2" i="2" s="1"/>
  <c r="R2" i="2"/>
  <c r="L67" i="2"/>
  <c r="L66" i="2"/>
  <c r="L65" i="2"/>
  <c r="L64" i="2"/>
  <c r="L68" i="2" s="1"/>
  <c r="N57" i="2"/>
  <c r="M57" i="2"/>
  <c r="N68" i="2"/>
  <c r="M68" i="2"/>
  <c r="N62" i="2"/>
  <c r="M62" i="2"/>
  <c r="L61" i="2"/>
  <c r="L60" i="2"/>
  <c r="L59" i="2"/>
  <c r="L62" i="2" s="1"/>
  <c r="M7" i="1"/>
  <c r="M4" i="1"/>
  <c r="L56" i="2"/>
  <c r="L55" i="2"/>
  <c r="L54" i="2"/>
  <c r="L53" i="2"/>
  <c r="L52" i="2"/>
  <c r="L51" i="2"/>
  <c r="L50" i="2"/>
  <c r="K68" i="2"/>
  <c r="K62" i="2"/>
  <c r="K56" i="2"/>
  <c r="K57" i="2" s="1"/>
  <c r="K43" i="2"/>
  <c r="K31" i="2"/>
  <c r="K26" i="2"/>
  <c r="K25" i="2" s="1"/>
  <c r="K46" i="2"/>
  <c r="K34" i="2"/>
  <c r="G14" i="2"/>
  <c r="G8" i="2"/>
  <c r="K14" i="2"/>
  <c r="K8" i="2"/>
  <c r="G12" i="2"/>
  <c r="G7" i="2"/>
  <c r="K12" i="2"/>
  <c r="K7" i="2"/>
  <c r="K21" i="2" s="1"/>
  <c r="L49" i="2"/>
  <c r="L46" i="2"/>
  <c r="L31" i="2"/>
  <c r="L26" i="2"/>
  <c r="L34" i="2" s="1"/>
  <c r="H14" i="2"/>
  <c r="L14" i="2"/>
  <c r="H12" i="2"/>
  <c r="L12" i="2"/>
  <c r="H8" i="2"/>
  <c r="L8" i="2"/>
  <c r="H7" i="2"/>
  <c r="L7" i="2"/>
  <c r="L9" i="2" s="1"/>
  <c r="M5" i="1"/>
  <c r="S7" i="2" l="1"/>
  <c r="S9" i="2" s="1"/>
  <c r="N13" i="2"/>
  <c r="N15" i="2" s="1"/>
  <c r="N17" i="2" s="1"/>
  <c r="N18" i="2" s="1"/>
  <c r="M13" i="2"/>
  <c r="M15" i="2" s="1"/>
  <c r="M17" i="2" s="1"/>
  <c r="M18" i="2" s="1"/>
  <c r="S13" i="2"/>
  <c r="S15" i="2" s="1"/>
  <c r="S17" i="2" s="1"/>
  <c r="S18" i="2" s="1"/>
  <c r="E13" i="2"/>
  <c r="E15" i="2" s="1"/>
  <c r="E17" i="2" s="1"/>
  <c r="E18" i="2" s="1"/>
  <c r="I21" i="2"/>
  <c r="R7" i="2"/>
  <c r="F13" i="2"/>
  <c r="F15" i="2" s="1"/>
  <c r="F17" i="2" s="1"/>
  <c r="F18" i="2" s="1"/>
  <c r="J9" i="2"/>
  <c r="K71" i="2"/>
  <c r="L57" i="2"/>
  <c r="H9" i="2"/>
  <c r="H22" i="2" s="1"/>
  <c r="L25" i="2"/>
  <c r="L71" i="2"/>
  <c r="L72" i="2"/>
  <c r="L22" i="2"/>
  <c r="L13" i="2"/>
  <c r="L15" i="2" s="1"/>
  <c r="L17" i="2" s="1"/>
  <c r="L21" i="2"/>
  <c r="H13" i="2"/>
  <c r="H15" i="2" s="1"/>
  <c r="H17" i="2" s="1"/>
  <c r="H18" i="2" s="1"/>
  <c r="G9" i="2"/>
  <c r="K9" i="2"/>
  <c r="J22" i="2" l="1"/>
  <c r="J13" i="2"/>
  <c r="J15" i="2" s="1"/>
  <c r="J17" i="2" s="1"/>
  <c r="J18" i="2" s="1"/>
  <c r="L18" i="2"/>
  <c r="L48" i="2"/>
  <c r="G13" i="2"/>
  <c r="G15" i="2" s="1"/>
  <c r="G17" i="2" s="1"/>
  <c r="G18" i="2" s="1"/>
  <c r="G22" i="2"/>
  <c r="K13" i="2"/>
  <c r="K15" i="2" s="1"/>
  <c r="K17" i="2" s="1"/>
  <c r="K22" i="2"/>
  <c r="K18" i="2" l="1"/>
  <c r="K48" i="2"/>
</calcChain>
</file>

<file path=xl/sharedStrings.xml><?xml version="1.0" encoding="utf-8"?>
<sst xmlns="http://schemas.openxmlformats.org/spreadsheetml/2006/main" count="84" uniqueCount="70">
  <si>
    <t>Price</t>
  </si>
  <si>
    <t>Shares</t>
  </si>
  <si>
    <t>MC</t>
  </si>
  <si>
    <t>Cash</t>
  </si>
  <si>
    <t>Debt</t>
  </si>
  <si>
    <t>EV</t>
  </si>
  <si>
    <t>Q222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</si>
  <si>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</si>
  <si>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</si>
  <si>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</si>
  <si>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</si>
  <si>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</si>
  <si>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</si>
  <si>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</si>
  <si>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</si>
  <si>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</si>
  <si>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</si>
  <si>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</si>
  <si>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</si>
  <si>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</si>
  <si>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License</t>
  </si>
  <si>
    <t>Maintenance</t>
  </si>
  <si>
    <t>COGS</t>
  </si>
  <si>
    <t>Gross Margin</t>
  </si>
  <si>
    <t>SG&amp;A</t>
  </si>
  <si>
    <t>R&amp;D</t>
  </si>
  <si>
    <t>Operating Income</t>
  </si>
  <si>
    <t>Operating Expenses</t>
  </si>
  <si>
    <t>EPS</t>
  </si>
  <si>
    <t>Net Income</t>
  </si>
  <si>
    <t>Taxes</t>
  </si>
  <si>
    <t>Pretax Income</t>
  </si>
  <si>
    <t>Interest Expense</t>
  </si>
  <si>
    <t>Revenue y/y</t>
  </si>
  <si>
    <t>Goodwill</t>
  </si>
  <si>
    <t>AR</t>
  </si>
  <si>
    <t>OCA</t>
  </si>
  <si>
    <t>PP&amp;E</t>
  </si>
  <si>
    <t>Leases</t>
  </si>
  <si>
    <t>OLTA</t>
  </si>
  <si>
    <t>DT</t>
  </si>
  <si>
    <t>Assets</t>
  </si>
  <si>
    <t>AP</t>
  </si>
  <si>
    <t>Compensation</t>
  </si>
  <si>
    <t>Other</t>
  </si>
  <si>
    <t>DR</t>
  </si>
  <si>
    <t>SE</t>
  </si>
  <si>
    <t>L+SE</t>
  </si>
  <si>
    <t>Lease</t>
  </si>
  <si>
    <t>OLTL</t>
  </si>
  <si>
    <t>Net Cash</t>
  </si>
  <si>
    <t>Model NI</t>
  </si>
  <si>
    <t>Reported NI</t>
  </si>
  <si>
    <t>CFFO</t>
  </si>
  <si>
    <t>D&amp;A</t>
  </si>
  <si>
    <t>Bad Debt</t>
  </si>
  <si>
    <t>SBC</t>
  </si>
  <si>
    <t>WC</t>
  </si>
  <si>
    <t>Acquisitions</t>
  </si>
  <si>
    <t>CapEx</t>
  </si>
  <si>
    <t>CFFI</t>
  </si>
  <si>
    <t>Buyback</t>
  </si>
  <si>
    <t>Stock Tax</t>
  </si>
  <si>
    <t>SBC proceeds</t>
  </si>
  <si>
    <t>CFFF</t>
  </si>
  <si>
    <t>CIC</t>
  </si>
  <si>
    <t>FX</t>
  </si>
  <si>
    <t>CINC</t>
  </si>
  <si>
    <t>ACV</t>
  </si>
  <si>
    <t>Engineering &amp;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</si>
</sst>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3" fontId="0" fillId="0" borderId="0" xfId="0" applyNumberFormat="1" applyFont="1"/>
    <xf numFmtId="4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38100</xdr:rowOff>
    </xdr:from>
    <xdr:to>
      <xdr:col>12</xdr:col>
      <xdr:colOff>28575</xdr:colOff>
      <xdr:row>74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A08F7B6-0845-9E50-D064-E6233CDFA2A0}"/>
            </a:ext>
          </a:extLst>
        </xdr:cNvPr>
        <xdr:cNvCxnSpPr/>
      </xdr:nvCxnSpPr>
      <xdr:spPr>
        <a:xfrm>
          <a:off x="7667625" y="38100"/>
          <a:ext cx="0" cy="11696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C35D5-37B0-4982-A8E5-CAADFD19072D}">
  <dimension ref="B2:N9"/>
  <sheetViews>
    <sheetView tabSelected="1" workbookViewId="0">
      <selection activeCell="B3" sqref="B3"/>
    </sheetView>
  </sheetViews>
  <sheetFormatPr defaultRowHeight="12.75" x14ac:dyDescent="0.2"/>
  <sheetData>
    <row r="2" spans="2:14" x14ac:dyDescent="0.2">
      <c r="B2" t="s">
        <v>69</v>
      </c>
      <c r="L2" t="s">
        <v>0</v>
      </c>
      <c r="M2">
        <v>263.27</v>
      </c>
    </row>
    <row r="3" spans="2:14" x14ac:dyDescent="0.2">
      <c r="L3" t="s">
        <v>1</v>
      </c>
      <c r="M3" s="1">
        <v>87.068664999999996</v>
      </c>
      <c r="N3" s="2" t="s">
        <v>6</v>
      </c>
    </row>
    <row r="4" spans="2:14" x14ac:dyDescent="0.2">
      <c r="L4" t="s">
        <v>2</v>
      </c>
      <c r="M4" s="1">
        <f>+M2*M3</f>
        <v>22922.567434549997</v>
      </c>
    </row>
    <row r="5" spans="2:14" x14ac:dyDescent="0.2">
      <c r="L5" t="s">
        <v>3</v>
      </c>
      <c r="M5" s="1">
        <f>517.303+0.332</f>
        <v>517.63499999999999</v>
      </c>
      <c r="N5" s="2" t="s">
        <v>6</v>
      </c>
    </row>
    <row r="6" spans="2:14" x14ac:dyDescent="0.2">
      <c r="L6" t="s">
        <v>4</v>
      </c>
      <c r="M6" s="1">
        <v>753.40200000000004</v>
      </c>
      <c r="N6" s="2" t="s">
        <v>6</v>
      </c>
    </row>
    <row r="7" spans="2:14" x14ac:dyDescent="0.2">
      <c r="L7" t="s">
        <v>5</v>
      </c>
      <c r="M7" s="10">
        <f>+M4-M5+M6</f>
        <v>23158.334434550001</v>
      </c>
    </row>
    <row r="9" spans="2:14" x14ac:dyDescent="0.2">
      <c r="M9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EB6A7-72F6-45F8-98D9-C08918A91E0B}">
  <dimension ref="A1:V72"/>
  <sheetViews>
    <sheetView zoomScale="115" zoomScaleNormal="115" workbookViewId="0">
      <pane xSplit="2" ySplit="2" topLeftCell="N3" activePane="bottomRight" state="frozen"/>
      <selection pane="topRight" activeCell="C1" sqref="C1"/>
      <selection pane="bottomLeft" activeCell="A4" sqref="A4"/>
      <selection pane="bottomRight" activeCell="Q2" sqref="Q2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2"/>
  </cols>
  <sheetData>
    <row r="1" spans="1:22" x14ac:dyDescent="0.2">
      <c r="A1" s="9" t="s">
        <v>7</v>
      </c>
    </row>
    <row r="2" spans="1:22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6</v>
      </c>
      <c r="M2" s="2" t="s">
        <v>18</v>
      </c>
      <c r="N2" s="2" t="s">
        <v>19</v>
      </c>
      <c r="Q2">
        <v>2020</v>
      </c>
      <c r="R2">
        <f>+Q2+1</f>
        <v>2021</v>
      </c>
      <c r="S2">
        <f t="shared" ref="S2:V2" si="0">+R2+1</f>
        <v>2022</v>
      </c>
      <c r="T2">
        <f t="shared" si="0"/>
        <v>2023</v>
      </c>
      <c r="U2">
        <f t="shared" si="0"/>
        <v>2024</v>
      </c>
      <c r="V2">
        <f t="shared" si="0"/>
        <v>2025</v>
      </c>
    </row>
    <row r="3" spans="1:22" s="1" customFormat="1" x14ac:dyDescent="0.2">
      <c r="B3" s="1" t="s">
        <v>68</v>
      </c>
      <c r="C3" s="5"/>
      <c r="D3" s="5"/>
      <c r="E3" s="5"/>
      <c r="F3" s="5"/>
      <c r="G3" s="5"/>
      <c r="H3" s="5"/>
      <c r="I3" s="5"/>
      <c r="J3" s="5">
        <v>755.4</v>
      </c>
      <c r="K3" s="5"/>
      <c r="L3" s="5"/>
      <c r="M3" s="5"/>
      <c r="N3" s="5"/>
      <c r="R3" s="1">
        <v>1870.7</v>
      </c>
    </row>
    <row r="5" spans="1:22" s="1" customFormat="1" x14ac:dyDescent="0.2">
      <c r="B5" s="1" t="s">
        <v>20</v>
      </c>
      <c r="C5" s="5"/>
      <c r="D5" s="5"/>
      <c r="E5" s="5">
        <v>141.62200000000001</v>
      </c>
      <c r="F5" s="5">
        <v>382.05700000000002</v>
      </c>
      <c r="G5" s="5">
        <v>132.60400000000001</v>
      </c>
      <c r="H5" s="5">
        <v>214.822</v>
      </c>
      <c r="I5" s="5">
        <v>200.39400000000001</v>
      </c>
      <c r="J5" s="5">
        <v>397.97699999999998</v>
      </c>
      <c r="K5" s="5">
        <v>157.44499999999999</v>
      </c>
      <c r="L5" s="5">
        <v>208.98099999999999</v>
      </c>
      <c r="M5" s="5">
        <f>+I5*1.1</f>
        <v>220.43340000000003</v>
      </c>
      <c r="N5" s="5">
        <f>+J5*1.1</f>
        <v>437.7747</v>
      </c>
      <c r="R5" s="1">
        <f>SUM(G5:J5)</f>
        <v>945.79700000000003</v>
      </c>
      <c r="S5" s="1">
        <f>SUM(K5:N5)</f>
        <v>1024.6341</v>
      </c>
    </row>
    <row r="6" spans="1:22" s="1" customFormat="1" x14ac:dyDescent="0.2">
      <c r="B6" s="1" t="s">
        <v>21</v>
      </c>
      <c r="C6" s="5"/>
      <c r="D6" s="5"/>
      <c r="E6" s="5">
        <v>225.34299999999999</v>
      </c>
      <c r="F6" s="5">
        <v>241.62899999999999</v>
      </c>
      <c r="G6" s="5">
        <v>230.62200000000001</v>
      </c>
      <c r="H6" s="5">
        <v>231.83199999999999</v>
      </c>
      <c r="I6" s="5">
        <v>240.774</v>
      </c>
      <c r="J6" s="5">
        <v>257.69</v>
      </c>
      <c r="K6" s="5">
        <v>267.63200000000001</v>
      </c>
      <c r="L6" s="5">
        <v>264.86900000000003</v>
      </c>
      <c r="M6" s="5">
        <f>+I6*1.1</f>
        <v>264.85140000000001</v>
      </c>
      <c r="N6" s="5">
        <f>+J6*1.1</f>
        <v>283.459</v>
      </c>
      <c r="R6" s="1">
        <f>SUM(G6:J6)</f>
        <v>960.91800000000012</v>
      </c>
      <c r="S6" s="1">
        <f>SUM(K6:N6)</f>
        <v>1080.8114</v>
      </c>
    </row>
    <row r="7" spans="1:22" s="6" customFormat="1" x14ac:dyDescent="0.2">
      <c r="B7" s="6" t="s">
        <v>8</v>
      </c>
      <c r="C7" s="7"/>
      <c r="D7" s="7"/>
      <c r="E7" s="7">
        <f t="shared" ref="E7:F7" si="1">E5+E6</f>
        <v>366.96500000000003</v>
      </c>
      <c r="F7" s="7">
        <f t="shared" si="1"/>
        <v>623.68600000000004</v>
      </c>
      <c r="G7" s="7">
        <f>G5+G6</f>
        <v>363.226</v>
      </c>
      <c r="H7" s="7">
        <f>H5+H6</f>
        <v>446.654</v>
      </c>
      <c r="I7" s="7">
        <f t="shared" ref="I7" si="2">I5+I6</f>
        <v>441.16800000000001</v>
      </c>
      <c r="J7" s="7">
        <f t="shared" ref="J7" si="3">J5+J6</f>
        <v>655.66699999999992</v>
      </c>
      <c r="K7" s="7">
        <f>K5+K6</f>
        <v>425.077</v>
      </c>
      <c r="L7" s="7">
        <f>L5+L6</f>
        <v>473.85</v>
      </c>
      <c r="M7" s="7">
        <f t="shared" ref="M7:N7" si="4">M5+M6</f>
        <v>485.28480000000002</v>
      </c>
      <c r="N7" s="7">
        <f t="shared" si="4"/>
        <v>721.2337</v>
      </c>
      <c r="R7" s="6">
        <f>+R5+R6</f>
        <v>1906.7150000000001</v>
      </c>
      <c r="S7" s="6">
        <f>+S5+S6</f>
        <v>2105.4454999999998</v>
      </c>
    </row>
    <row r="8" spans="1:22" s="1" customFormat="1" x14ac:dyDescent="0.2">
      <c r="B8" s="1" t="s">
        <v>22</v>
      </c>
      <c r="C8" s="5"/>
      <c r="D8" s="5"/>
      <c r="E8" s="5">
        <f>7.251+36.223</f>
        <v>43.473999999999997</v>
      </c>
      <c r="F8" s="5">
        <f>9.93+46.558</f>
        <v>56.488</v>
      </c>
      <c r="G8" s="5">
        <f>7.606+39.548</f>
        <v>47.154000000000003</v>
      </c>
      <c r="H8" s="5">
        <f>8.065+41.068</f>
        <v>49.132999999999996</v>
      </c>
      <c r="I8" s="5">
        <f>8.289+39.268</f>
        <v>47.557000000000002</v>
      </c>
      <c r="J8" s="5">
        <f>14.196+39.182</f>
        <v>53.378</v>
      </c>
      <c r="K8" s="5">
        <f>8.436+39.072</f>
        <v>47.508000000000003</v>
      </c>
      <c r="L8" s="5">
        <f>8.509+36.564</f>
        <v>45.073</v>
      </c>
      <c r="M8" s="5">
        <f>+M7*0.1</f>
        <v>48.528480000000002</v>
      </c>
      <c r="N8" s="5">
        <f>+N7*0.1</f>
        <v>72.123370000000008</v>
      </c>
      <c r="R8" s="1">
        <f>SUM(G8:J8)</f>
        <v>197.22199999999998</v>
      </c>
      <c r="S8" s="1">
        <f>SUM(K8:N8)</f>
        <v>213.23285000000004</v>
      </c>
    </row>
    <row r="9" spans="1:22" s="1" customFormat="1" x14ac:dyDescent="0.2">
      <c r="B9" s="1" t="s">
        <v>23</v>
      </c>
      <c r="C9" s="5"/>
      <c r="D9" s="5"/>
      <c r="E9" s="5">
        <f t="shared" ref="E9:F9" si="5">+E7-E8</f>
        <v>323.49100000000004</v>
      </c>
      <c r="F9" s="5">
        <f t="shared" si="5"/>
        <v>567.19800000000009</v>
      </c>
      <c r="G9" s="5">
        <f>+G7-G8</f>
        <v>316.072</v>
      </c>
      <c r="H9" s="5">
        <f>+H7-H8</f>
        <v>397.52100000000002</v>
      </c>
      <c r="I9" s="5">
        <f t="shared" ref="I9" si="6">+I7-I8</f>
        <v>393.61099999999999</v>
      </c>
      <c r="J9" s="5">
        <f t="shared" ref="J9" si="7">+J7-J8</f>
        <v>602.28899999999987</v>
      </c>
      <c r="K9" s="5">
        <f>+K7-K8</f>
        <v>377.56900000000002</v>
      </c>
      <c r="L9" s="5">
        <f>+L7-L8</f>
        <v>428.77700000000004</v>
      </c>
      <c r="M9" s="5">
        <f>+M7-M8</f>
        <v>436.75632000000002</v>
      </c>
      <c r="N9" s="5">
        <f>+N7-N8</f>
        <v>649.11032999999998</v>
      </c>
      <c r="R9" s="1">
        <f>+R7-R8</f>
        <v>1709.4930000000002</v>
      </c>
      <c r="S9" s="1">
        <f>+S7-S8</f>
        <v>1892.2126499999997</v>
      </c>
    </row>
    <row r="10" spans="1:22" s="1" customFormat="1" x14ac:dyDescent="0.2">
      <c r="B10" s="1" t="s">
        <v>24</v>
      </c>
      <c r="C10" s="5"/>
      <c r="D10" s="5"/>
      <c r="E10" s="5">
        <v>132.642</v>
      </c>
      <c r="F10" s="5">
        <v>195.845</v>
      </c>
      <c r="G10" s="5">
        <v>146.215</v>
      </c>
      <c r="H10" s="5">
        <v>160.41</v>
      </c>
      <c r="I10" s="5">
        <v>165.36799999999999</v>
      </c>
      <c r="J10" s="5">
        <v>243.38399999999999</v>
      </c>
      <c r="K10" s="5">
        <v>169.755</v>
      </c>
      <c r="L10" s="5">
        <v>170.38300000000001</v>
      </c>
      <c r="M10" s="5">
        <f>+I10*1.05</f>
        <v>173.63640000000001</v>
      </c>
      <c r="N10" s="5">
        <f>+J10*1.05</f>
        <v>255.5532</v>
      </c>
      <c r="R10" s="1">
        <f>SUM(G10:J10)</f>
        <v>715.37699999999995</v>
      </c>
      <c r="S10" s="1">
        <f>SUM(K10:N10)</f>
        <v>769.32760000000007</v>
      </c>
    </row>
    <row r="11" spans="1:22" s="1" customFormat="1" x14ac:dyDescent="0.2">
      <c r="B11" s="1" t="s">
        <v>25</v>
      </c>
      <c r="C11" s="5"/>
      <c r="D11" s="5"/>
      <c r="E11" s="5">
        <v>86.616</v>
      </c>
      <c r="F11" s="5">
        <v>96.51</v>
      </c>
      <c r="G11" s="5">
        <v>100.479</v>
      </c>
      <c r="H11" s="5">
        <v>100.879</v>
      </c>
      <c r="I11" s="5">
        <v>102.023</v>
      </c>
      <c r="J11" s="5">
        <v>101.489</v>
      </c>
      <c r="K11" s="5">
        <v>105.274</v>
      </c>
      <c r="L11" s="5">
        <v>108.941</v>
      </c>
      <c r="M11" s="5">
        <f>+I11*1.05</f>
        <v>107.12415</v>
      </c>
      <c r="N11" s="5">
        <f>+J11*1.05</f>
        <v>106.56345</v>
      </c>
      <c r="R11" s="1">
        <f>SUM(G11:J11)</f>
        <v>404.87</v>
      </c>
      <c r="S11" s="1">
        <f>SUM(K11:N11)</f>
        <v>427.90260000000001</v>
      </c>
    </row>
    <row r="12" spans="1:22" s="1" customFormat="1" x14ac:dyDescent="0.2">
      <c r="B12" s="1" t="s">
        <v>27</v>
      </c>
      <c r="C12" s="5"/>
      <c r="D12" s="5"/>
      <c r="E12" s="5">
        <f t="shared" ref="E12:F12" si="8">+E10+E11</f>
        <v>219.25799999999998</v>
      </c>
      <c r="F12" s="5">
        <f t="shared" si="8"/>
        <v>292.35500000000002</v>
      </c>
      <c r="G12" s="5">
        <f>+G10+G11</f>
        <v>246.69400000000002</v>
      </c>
      <c r="H12" s="5">
        <f>+H10+H11</f>
        <v>261.28899999999999</v>
      </c>
      <c r="I12" s="5">
        <f t="shared" ref="I12" si="9">+I10+I11</f>
        <v>267.39099999999996</v>
      </c>
      <c r="J12" s="5">
        <f t="shared" ref="J12" si="10">+J10+J11</f>
        <v>344.87299999999999</v>
      </c>
      <c r="K12" s="5">
        <f>+K10+K11</f>
        <v>275.029</v>
      </c>
      <c r="L12" s="5">
        <f>+L10+L11</f>
        <v>279.32400000000001</v>
      </c>
      <c r="M12" s="5">
        <f>+M10+M11</f>
        <v>280.76055000000002</v>
      </c>
      <c r="N12" s="5">
        <f>+N10+N11</f>
        <v>362.11664999999999</v>
      </c>
      <c r="R12" s="1">
        <f>+R10+R11</f>
        <v>1120.2469999999998</v>
      </c>
      <c r="S12" s="1">
        <f>+S10+S11</f>
        <v>1197.2302</v>
      </c>
    </row>
    <row r="13" spans="1:22" s="1" customFormat="1" x14ac:dyDescent="0.2">
      <c r="B13" s="1" t="s">
        <v>26</v>
      </c>
      <c r="C13" s="5"/>
      <c r="D13" s="5"/>
      <c r="E13" s="5">
        <f t="shared" ref="E13:F13" si="11">+E9-E12</f>
        <v>104.23300000000006</v>
      </c>
      <c r="F13" s="5">
        <f t="shared" si="11"/>
        <v>274.84300000000007</v>
      </c>
      <c r="G13" s="5">
        <f>+G9-G12</f>
        <v>69.377999999999986</v>
      </c>
      <c r="H13" s="5">
        <f>+H9-H12</f>
        <v>136.23200000000003</v>
      </c>
      <c r="I13" s="5">
        <f t="shared" ref="I13" si="12">+I9-I12</f>
        <v>126.22000000000003</v>
      </c>
      <c r="J13" s="5">
        <f t="shared" ref="J13" si="13">+J9-J12</f>
        <v>257.41599999999988</v>
      </c>
      <c r="K13" s="5">
        <f>+K9-K12</f>
        <v>102.54000000000002</v>
      </c>
      <c r="L13" s="5">
        <f>+L9-L12</f>
        <v>149.45300000000003</v>
      </c>
      <c r="M13" s="5">
        <f>+M9-M12</f>
        <v>155.99576999999999</v>
      </c>
      <c r="N13" s="5">
        <f>+N9-N12</f>
        <v>286.99367999999998</v>
      </c>
      <c r="R13" s="1">
        <f>+R9-R12</f>
        <v>589.24600000000032</v>
      </c>
      <c r="S13" s="1">
        <f>+S9-S12</f>
        <v>694.98244999999974</v>
      </c>
    </row>
    <row r="14" spans="1:22" s="1" customFormat="1" x14ac:dyDescent="0.2">
      <c r="B14" s="1" t="s">
        <v>32</v>
      </c>
      <c r="C14" s="5"/>
      <c r="D14" s="5"/>
      <c r="E14" s="5">
        <f>0.754-1.853</f>
        <v>-1.099</v>
      </c>
      <c r="F14" s="5">
        <f>0.61-2.444</f>
        <v>-1.8340000000000001</v>
      </c>
      <c r="G14" s="5">
        <f>0.517-3.315</f>
        <v>-2.798</v>
      </c>
      <c r="H14" s="5">
        <f>0.486-3.336</f>
        <v>-2.8499999999999996</v>
      </c>
      <c r="I14" s="5">
        <f>0.541-2.943</f>
        <v>-2.4020000000000001</v>
      </c>
      <c r="J14" s="5">
        <f>0.534-2.811</f>
        <v>-2.2770000000000001</v>
      </c>
      <c r="K14" s="5">
        <f>0.527-2.967</f>
        <v>-2.44</v>
      </c>
      <c r="L14" s="5">
        <f>0.269-4.609</f>
        <v>-4.34</v>
      </c>
      <c r="M14" s="5">
        <v>-1</v>
      </c>
      <c r="N14" s="5">
        <v>-1</v>
      </c>
      <c r="R14" s="1">
        <f>SUM(G14:J14)</f>
        <v>-10.327000000000002</v>
      </c>
      <c r="S14" s="1">
        <f>SUM(K14:N14)</f>
        <v>-8.7799999999999994</v>
      </c>
    </row>
    <row r="15" spans="1:22" s="1" customFormat="1" x14ac:dyDescent="0.2">
      <c r="B15" s="1" t="s">
        <v>31</v>
      </c>
      <c r="C15" s="5"/>
      <c r="D15" s="5"/>
      <c r="E15" s="5">
        <f t="shared" ref="E15:F15" si="14">+E13+E14</f>
        <v>103.13400000000006</v>
      </c>
      <c r="F15" s="5">
        <f t="shared" si="14"/>
        <v>273.00900000000007</v>
      </c>
      <c r="G15" s="5">
        <f>+G13+G14</f>
        <v>66.579999999999984</v>
      </c>
      <c r="H15" s="5">
        <f>+H13+H14</f>
        <v>133.38200000000003</v>
      </c>
      <c r="I15" s="5">
        <f t="shared" ref="I15" si="15">+I13+I14</f>
        <v>123.81800000000003</v>
      </c>
      <c r="J15" s="5">
        <f t="shared" ref="J15" si="16">+J13+J14</f>
        <v>255.1389999999999</v>
      </c>
      <c r="K15" s="5">
        <f>+K13+K14</f>
        <v>100.10000000000002</v>
      </c>
      <c r="L15" s="5">
        <f>+L13+L14</f>
        <v>145.11300000000003</v>
      </c>
      <c r="M15" s="5">
        <f>+M13+M14</f>
        <v>154.99576999999999</v>
      </c>
      <c r="N15" s="5">
        <f>+N13+N14</f>
        <v>285.99367999999998</v>
      </c>
      <c r="R15" s="1">
        <f>+R13+R14</f>
        <v>578.91900000000032</v>
      </c>
      <c r="S15" s="1">
        <f>+S13+S14</f>
        <v>686.20244999999977</v>
      </c>
    </row>
    <row r="16" spans="1:22" s="1" customFormat="1" x14ac:dyDescent="0.2">
      <c r="B16" s="1" t="s">
        <v>30</v>
      </c>
      <c r="C16" s="5"/>
      <c r="D16" s="5"/>
      <c r="E16" s="5">
        <v>14.516999999999999</v>
      </c>
      <c r="F16" s="5">
        <v>42.24</v>
      </c>
      <c r="G16" s="5">
        <v>0</v>
      </c>
      <c r="H16" s="5">
        <v>35.143999999999998</v>
      </c>
      <c r="I16" s="5">
        <v>18.556000000000001</v>
      </c>
      <c r="J16" s="5">
        <v>31.802</v>
      </c>
      <c r="K16" s="5">
        <v>7.0410000000000004</v>
      </c>
      <c r="L16" s="5">
        <v>24.094000000000001</v>
      </c>
      <c r="M16" s="5">
        <f>+M15*0.15</f>
        <v>23.2493655</v>
      </c>
      <c r="N16" s="5">
        <f>+N15*0.15</f>
        <v>42.899051999999998</v>
      </c>
      <c r="R16" s="1">
        <f>SUM(G16:J16)</f>
        <v>85.50200000000001</v>
      </c>
      <c r="S16" s="1">
        <f>SUM(K16:N16)</f>
        <v>97.283417499999999</v>
      </c>
    </row>
    <row r="17" spans="2:19" s="1" customFormat="1" x14ac:dyDescent="0.2">
      <c r="B17" s="1" t="s">
        <v>29</v>
      </c>
      <c r="C17" s="5"/>
      <c r="D17" s="5"/>
      <c r="E17" s="5">
        <f t="shared" ref="E17:F17" si="17">+E15-E16</f>
        <v>88.617000000000061</v>
      </c>
      <c r="F17" s="5">
        <f t="shared" si="17"/>
        <v>230.76900000000006</v>
      </c>
      <c r="G17" s="5">
        <f>+G15-G16</f>
        <v>66.579999999999984</v>
      </c>
      <c r="H17" s="5">
        <f>+H15-H16</f>
        <v>98.238000000000028</v>
      </c>
      <c r="I17" s="5">
        <f t="shared" ref="I17" si="18">+I15-I16</f>
        <v>105.26200000000003</v>
      </c>
      <c r="J17" s="5">
        <f t="shared" ref="J17" si="19">+J15-J16</f>
        <v>223.3369999999999</v>
      </c>
      <c r="K17" s="5">
        <f>+K15-K16</f>
        <v>93.059000000000026</v>
      </c>
      <c r="L17" s="5">
        <f>+L15-L16</f>
        <v>121.01900000000003</v>
      </c>
      <c r="M17" s="5">
        <f>+M15-M16</f>
        <v>131.74640449999998</v>
      </c>
      <c r="N17" s="5">
        <f>+N15-N16</f>
        <v>243.094628</v>
      </c>
      <c r="R17" s="1">
        <f>+R15-R16</f>
        <v>493.41700000000031</v>
      </c>
      <c r="S17" s="1">
        <f>+S15-S16</f>
        <v>588.91903249999973</v>
      </c>
    </row>
    <row r="18" spans="2:19" x14ac:dyDescent="0.2">
      <c r="B18" t="s">
        <v>28</v>
      </c>
      <c r="E18" s="8">
        <f t="shared" ref="E18:F18" si="20">+E17/E19</f>
        <v>1.0159703751261127</v>
      </c>
      <c r="F18" s="8">
        <f t="shared" si="20"/>
        <v>2.6335676625659055</v>
      </c>
      <c r="G18" s="8">
        <f>+G17/G19</f>
        <v>0.75671129497874645</v>
      </c>
      <c r="H18" s="8">
        <f>+H17/H19</f>
        <v>1.1269961453744495</v>
      </c>
      <c r="I18" s="8">
        <f t="shared" ref="I18" si="21">+I17/I19</f>
        <v>1.1938663248987744</v>
      </c>
      <c r="J18" s="8">
        <f t="shared" ref="J18" si="22">+J17/J19</f>
        <v>2.5321368238455335</v>
      </c>
      <c r="K18" s="8">
        <f>+K17/K19</f>
        <v>1.0605014245014248</v>
      </c>
      <c r="L18" s="8">
        <f>+L17/L19</f>
        <v>1.38590946049633</v>
      </c>
      <c r="M18" s="8">
        <f>+M17/M19</f>
        <v>1.5087596855281087</v>
      </c>
      <c r="N18" s="8">
        <f>+N17/N19</f>
        <v>2.783919423735413</v>
      </c>
      <c r="R18" s="11">
        <f>+R17/R19</f>
        <v>5.6146038392826698</v>
      </c>
      <c r="S18" s="11">
        <f>+S17/S19</f>
        <v>6.7360267705232548</v>
      </c>
    </row>
    <row r="19" spans="2:19" s="1" customFormat="1" x14ac:dyDescent="0.2">
      <c r="B19" s="1" t="s">
        <v>1</v>
      </c>
      <c r="C19" s="5"/>
      <c r="D19" s="5"/>
      <c r="E19" s="5">
        <v>87.224000000000004</v>
      </c>
      <c r="F19" s="5">
        <v>87.626000000000005</v>
      </c>
      <c r="G19" s="5">
        <v>87.986000000000004</v>
      </c>
      <c r="H19" s="5">
        <v>87.168000000000006</v>
      </c>
      <c r="I19" s="5">
        <v>88.168999999999997</v>
      </c>
      <c r="J19" s="5">
        <v>88.200999999999993</v>
      </c>
      <c r="K19" s="5">
        <v>87.75</v>
      </c>
      <c r="L19" s="5">
        <v>87.320999999999998</v>
      </c>
      <c r="M19" s="5">
        <f>+L19</f>
        <v>87.320999999999998</v>
      </c>
      <c r="N19" s="5">
        <f>+M19</f>
        <v>87.320999999999998</v>
      </c>
      <c r="R19" s="1">
        <f>AVERAGE(G19:J19)</f>
        <v>87.881</v>
      </c>
      <c r="S19" s="1">
        <f>AVERAGE(K19:N19)</f>
        <v>87.428249999999991</v>
      </c>
    </row>
    <row r="21" spans="2:19" x14ac:dyDescent="0.2">
      <c r="B21" s="1" t="s">
        <v>33</v>
      </c>
      <c r="I21" s="4">
        <f t="shared" ref="I21:J21" si="23">I7/E7-1</f>
        <v>0.2022072949736351</v>
      </c>
      <c r="J21" s="4">
        <f t="shared" si="23"/>
        <v>5.1277405617570215E-2</v>
      </c>
      <c r="K21" s="4">
        <f>K7/G7-1</f>
        <v>0.17028241370386477</v>
      </c>
      <c r="L21" s="4">
        <f>L7/H7-1</f>
        <v>6.0888293847139119E-2</v>
      </c>
      <c r="M21" s="4">
        <f>M7/I7-1</f>
        <v>0.10000000000000009</v>
      </c>
      <c r="N21" s="4">
        <f>N7/J7-1</f>
        <v>0.10000000000000009</v>
      </c>
      <c r="S21" s="12">
        <f>+S7/R7-1</f>
        <v>0.10422664110787383</v>
      </c>
    </row>
    <row r="22" spans="2:19" x14ac:dyDescent="0.2">
      <c r="B22" t="s">
        <v>23</v>
      </c>
      <c r="E22" s="4">
        <f>+E9/E7</f>
        <v>0.88153093619282497</v>
      </c>
      <c r="F22" s="4">
        <f>+F9/F7</f>
        <v>0.90942878307353392</v>
      </c>
      <c r="G22" s="4">
        <f>+G9/G7</f>
        <v>0.87017999812788738</v>
      </c>
      <c r="H22" s="4">
        <f>+H9/H7</f>
        <v>0.88999762679837191</v>
      </c>
      <c r="I22" s="4">
        <f t="shared" ref="I22" si="24">+I9/I7</f>
        <v>0.89220206361295462</v>
      </c>
      <c r="J22" s="4">
        <f t="shared" ref="J22:K22" si="25">+J9/J7</f>
        <v>0.91858977194215963</v>
      </c>
      <c r="K22" s="4">
        <f>+K9/K7</f>
        <v>0.88823671946494409</v>
      </c>
      <c r="L22" s="4">
        <f>+L9/L7</f>
        <v>0.9048791811754775</v>
      </c>
      <c r="M22" s="4">
        <f>+M9/M7</f>
        <v>0.9</v>
      </c>
      <c r="N22" s="4">
        <f>+N9/N7</f>
        <v>0.9</v>
      </c>
      <c r="R22" s="4">
        <f t="shared" ref="R22:S22" si="26">+R9/R7</f>
        <v>0.89656451016538918</v>
      </c>
      <c r="S22" s="4">
        <f t="shared" si="26"/>
        <v>0.89872316808960373</v>
      </c>
    </row>
    <row r="25" spans="2:19" x14ac:dyDescent="0.2">
      <c r="B25" t="s">
        <v>50</v>
      </c>
      <c r="K25" s="5">
        <f>+K26-K43</f>
        <v>-95.934999999999945</v>
      </c>
      <c r="L25" s="5">
        <f>+L26-L43</f>
        <v>-235.76700000000005</v>
      </c>
    </row>
    <row r="26" spans="2:19" s="1" customFormat="1" x14ac:dyDescent="0.2">
      <c r="B26" s="1" t="s">
        <v>3</v>
      </c>
      <c r="C26" s="5"/>
      <c r="D26" s="5"/>
      <c r="E26" s="5"/>
      <c r="F26" s="5"/>
      <c r="G26" s="5"/>
      <c r="H26" s="5"/>
      <c r="I26" s="5"/>
      <c r="J26" s="5"/>
      <c r="K26" s="5">
        <f>657.421+0.344</f>
        <v>657.7650000000001</v>
      </c>
      <c r="L26" s="5">
        <f>517.303+0.332</f>
        <v>517.63499999999999</v>
      </c>
      <c r="M26" s="5"/>
      <c r="N26" s="5"/>
    </row>
    <row r="27" spans="2:19" s="1" customFormat="1" x14ac:dyDescent="0.2">
      <c r="B27" s="1" t="s">
        <v>35</v>
      </c>
      <c r="C27" s="5"/>
      <c r="D27" s="5"/>
      <c r="E27" s="5"/>
      <c r="F27" s="5"/>
      <c r="G27" s="5"/>
      <c r="H27" s="5"/>
      <c r="I27" s="5"/>
      <c r="J27" s="5"/>
      <c r="K27" s="5">
        <v>513.73800000000006</v>
      </c>
      <c r="L27" s="5">
        <v>566.82899999999995</v>
      </c>
      <c r="M27" s="5"/>
      <c r="N27" s="5"/>
    </row>
    <row r="28" spans="2:19" s="1" customFormat="1" x14ac:dyDescent="0.2">
      <c r="B28" s="1" t="s">
        <v>36</v>
      </c>
      <c r="C28" s="5"/>
      <c r="D28" s="5"/>
      <c r="E28" s="5"/>
      <c r="F28" s="5"/>
      <c r="G28" s="5"/>
      <c r="H28" s="5"/>
      <c r="I28" s="5"/>
      <c r="J28" s="5"/>
      <c r="K28" s="5">
        <v>278.375</v>
      </c>
      <c r="L28" s="5">
        <v>242.761</v>
      </c>
      <c r="M28" s="5"/>
      <c r="N28" s="5"/>
    </row>
    <row r="29" spans="2:19" s="1" customFormat="1" x14ac:dyDescent="0.2">
      <c r="B29" s="1" t="s">
        <v>37</v>
      </c>
      <c r="C29" s="5"/>
      <c r="D29" s="5"/>
      <c r="E29" s="5"/>
      <c r="F29" s="5"/>
      <c r="G29" s="5"/>
      <c r="H29" s="5"/>
      <c r="I29" s="5"/>
      <c r="J29" s="5"/>
      <c r="K29" s="5">
        <v>84.677999999999997</v>
      </c>
      <c r="L29" s="5">
        <v>81.153999999999996</v>
      </c>
      <c r="M29" s="5"/>
      <c r="N29" s="5"/>
    </row>
    <row r="30" spans="2:19" s="1" customFormat="1" x14ac:dyDescent="0.2">
      <c r="B30" s="1" t="s">
        <v>38</v>
      </c>
      <c r="C30" s="5"/>
      <c r="D30" s="5"/>
      <c r="E30" s="5"/>
      <c r="F30" s="5"/>
      <c r="G30" s="5"/>
      <c r="H30" s="5"/>
      <c r="I30" s="5"/>
      <c r="J30" s="5"/>
      <c r="K30" s="5">
        <v>130.274</v>
      </c>
      <c r="L30" s="5">
        <v>125.74299999999999</v>
      </c>
      <c r="M30" s="5"/>
      <c r="N30" s="5"/>
    </row>
    <row r="31" spans="2:19" s="1" customFormat="1" x14ac:dyDescent="0.2">
      <c r="B31" s="1" t="s">
        <v>34</v>
      </c>
      <c r="C31" s="5"/>
      <c r="D31" s="5"/>
      <c r="E31" s="5"/>
      <c r="F31" s="5"/>
      <c r="G31" s="5"/>
      <c r="H31" s="5"/>
      <c r="I31" s="5"/>
      <c r="J31" s="5"/>
      <c r="K31" s="5">
        <f>3399.897+739.059</f>
        <v>4138.9560000000001</v>
      </c>
      <c r="L31" s="5">
        <f>3566.968+771.257</f>
        <v>4338.2249999999995</v>
      </c>
      <c r="M31" s="5"/>
      <c r="N31" s="5"/>
    </row>
    <row r="32" spans="2:19" s="1" customFormat="1" x14ac:dyDescent="0.2">
      <c r="B32" s="1" t="s">
        <v>39</v>
      </c>
      <c r="C32" s="5"/>
      <c r="D32" s="5"/>
      <c r="E32" s="5"/>
      <c r="F32" s="5"/>
      <c r="G32" s="5"/>
      <c r="H32" s="5"/>
      <c r="I32" s="5"/>
      <c r="J32" s="5"/>
      <c r="K32" s="5">
        <v>227.38300000000001</v>
      </c>
      <c r="L32" s="5">
        <v>226.34100000000001</v>
      </c>
      <c r="M32" s="5"/>
      <c r="N32" s="5"/>
    </row>
    <row r="33" spans="2:14" s="1" customFormat="1" x14ac:dyDescent="0.2">
      <c r="B33" s="1" t="s">
        <v>40</v>
      </c>
      <c r="C33" s="5"/>
      <c r="D33" s="5"/>
      <c r="E33" s="5"/>
      <c r="F33" s="5"/>
      <c r="G33" s="5"/>
      <c r="H33" s="5"/>
      <c r="I33" s="5"/>
      <c r="J33" s="5"/>
      <c r="K33" s="5">
        <v>22.013999999999999</v>
      </c>
      <c r="L33" s="5">
        <v>19.891999999999999</v>
      </c>
      <c r="M33" s="5"/>
      <c r="N33" s="5"/>
    </row>
    <row r="34" spans="2:14" s="1" customFormat="1" x14ac:dyDescent="0.2">
      <c r="B34" s="1" t="s">
        <v>41</v>
      </c>
      <c r="C34" s="5"/>
      <c r="D34" s="5"/>
      <c r="E34" s="5"/>
      <c r="F34" s="5"/>
      <c r="G34" s="5"/>
      <c r="H34" s="5"/>
      <c r="I34" s="5"/>
      <c r="J34" s="5"/>
      <c r="K34" s="5">
        <f t="shared" ref="K34" si="27">SUM(K26:K33)</f>
        <v>6053.183</v>
      </c>
      <c r="L34" s="5">
        <f>SUM(L26:L33)</f>
        <v>6118.58</v>
      </c>
      <c r="M34" s="5"/>
      <c r="N34" s="5"/>
    </row>
    <row r="36" spans="2:14" s="1" customFormat="1" x14ac:dyDescent="0.2">
      <c r="B36" s="1" t="s">
        <v>42</v>
      </c>
      <c r="C36" s="5"/>
      <c r="D36" s="5"/>
      <c r="E36" s="5"/>
      <c r="F36" s="5"/>
      <c r="G36" s="5"/>
      <c r="H36" s="5"/>
      <c r="I36" s="5"/>
      <c r="J36" s="5"/>
      <c r="K36" s="5">
        <v>17.102</v>
      </c>
      <c r="L36" s="5">
        <v>17.303999999999998</v>
      </c>
      <c r="M36" s="5"/>
      <c r="N36" s="5"/>
    </row>
    <row r="37" spans="2:14" s="1" customFormat="1" x14ac:dyDescent="0.2">
      <c r="B37" s="1" t="s">
        <v>43</v>
      </c>
      <c r="C37" s="5"/>
      <c r="D37" s="5"/>
      <c r="E37" s="5"/>
      <c r="F37" s="5"/>
      <c r="G37" s="5"/>
      <c r="H37" s="5"/>
      <c r="I37" s="5"/>
      <c r="J37" s="5"/>
      <c r="K37" s="5">
        <v>30.646000000000001</v>
      </c>
      <c r="L37" s="5">
        <v>55.026000000000003</v>
      </c>
      <c r="M37" s="5"/>
      <c r="N37" s="5"/>
    </row>
    <row r="38" spans="2:14" s="1" customFormat="1" x14ac:dyDescent="0.2">
      <c r="B38" s="1" t="s">
        <v>30</v>
      </c>
      <c r="C38" s="5"/>
      <c r="D38" s="5"/>
      <c r="E38" s="5"/>
      <c r="F38" s="5"/>
      <c r="G38" s="5"/>
      <c r="H38" s="5"/>
      <c r="I38" s="5"/>
      <c r="J38" s="5"/>
      <c r="K38" s="5">
        <v>7.0650000000000004</v>
      </c>
      <c r="L38" s="5">
        <v>17.015000000000001</v>
      </c>
      <c r="M38" s="5"/>
      <c r="N38" s="5"/>
    </row>
    <row r="39" spans="2:14" s="1" customFormat="1" x14ac:dyDescent="0.2">
      <c r="B39" s="1" t="s">
        <v>44</v>
      </c>
      <c r="C39" s="5"/>
      <c r="D39" s="5"/>
      <c r="E39" s="5"/>
      <c r="F39" s="5"/>
      <c r="G39" s="5"/>
      <c r="H39" s="5"/>
      <c r="I39" s="5"/>
      <c r="J39" s="5"/>
      <c r="K39" s="5">
        <v>184.66300000000001</v>
      </c>
      <c r="L39" s="5">
        <v>174.44399999999999</v>
      </c>
      <c r="M39" s="5"/>
      <c r="N39" s="5"/>
    </row>
    <row r="40" spans="2:14" s="1" customFormat="1" x14ac:dyDescent="0.2">
      <c r="B40" s="1" t="s">
        <v>45</v>
      </c>
      <c r="C40" s="5"/>
      <c r="D40" s="5"/>
      <c r="E40" s="5"/>
      <c r="F40" s="5"/>
      <c r="G40" s="5"/>
      <c r="H40" s="5"/>
      <c r="I40" s="5"/>
      <c r="J40" s="5"/>
      <c r="K40" s="5">
        <v>386.01900000000001</v>
      </c>
      <c r="L40" s="5">
        <v>360.91</v>
      </c>
      <c r="M40" s="5"/>
      <c r="N40" s="5"/>
    </row>
    <row r="41" spans="2:14" s="1" customFormat="1" x14ac:dyDescent="0.2">
      <c r="B41" s="1" t="s">
        <v>40</v>
      </c>
      <c r="C41" s="5"/>
      <c r="D41" s="5"/>
      <c r="E41" s="5"/>
      <c r="F41" s="5"/>
      <c r="G41" s="5"/>
      <c r="H41" s="5"/>
      <c r="I41" s="5"/>
      <c r="J41" s="5"/>
      <c r="K41" s="5">
        <v>99.438999999999993</v>
      </c>
      <c r="L41" s="5">
        <v>73.087000000000003</v>
      </c>
      <c r="M41" s="5"/>
      <c r="N41" s="5"/>
    </row>
    <row r="42" spans="2:14" s="1" customFormat="1" x14ac:dyDescent="0.2">
      <c r="B42" s="1" t="s">
        <v>48</v>
      </c>
      <c r="C42" s="5"/>
      <c r="D42" s="5"/>
      <c r="E42" s="5"/>
      <c r="F42" s="5"/>
      <c r="G42" s="5"/>
      <c r="H42" s="5"/>
      <c r="I42" s="5"/>
      <c r="J42" s="5"/>
      <c r="K42" s="5">
        <v>114.238</v>
      </c>
      <c r="L42" s="5">
        <v>111.357</v>
      </c>
      <c r="M42" s="5"/>
      <c r="N42" s="5"/>
    </row>
    <row r="43" spans="2:14" s="1" customFormat="1" x14ac:dyDescent="0.2">
      <c r="B43" s="1" t="s">
        <v>4</v>
      </c>
      <c r="C43" s="5"/>
      <c r="D43" s="5"/>
      <c r="E43" s="5"/>
      <c r="F43" s="5"/>
      <c r="G43" s="5"/>
      <c r="H43" s="5"/>
      <c r="I43" s="5"/>
      <c r="J43" s="5"/>
      <c r="K43" s="5">
        <f>9.125+744.575</f>
        <v>753.7</v>
      </c>
      <c r="L43" s="5">
        <v>753.40200000000004</v>
      </c>
      <c r="M43" s="5"/>
      <c r="N43" s="5"/>
    </row>
    <row r="44" spans="2:14" s="1" customFormat="1" x14ac:dyDescent="0.2">
      <c r="B44" s="1" t="s">
        <v>49</v>
      </c>
      <c r="C44" s="5"/>
      <c r="D44" s="5"/>
      <c r="E44" s="5"/>
      <c r="F44" s="5"/>
      <c r="G44" s="5"/>
      <c r="H44" s="5"/>
      <c r="I44" s="5"/>
      <c r="J44" s="5"/>
      <c r="K44" s="5">
        <v>96.36</v>
      </c>
      <c r="L44" s="5">
        <v>103.28</v>
      </c>
      <c r="M44" s="5"/>
      <c r="N44" s="5"/>
    </row>
    <row r="45" spans="2:14" s="1" customFormat="1" x14ac:dyDescent="0.2">
      <c r="B45" s="1" t="s">
        <v>46</v>
      </c>
      <c r="C45" s="5"/>
      <c r="D45" s="5"/>
      <c r="E45" s="5"/>
      <c r="F45" s="5"/>
      <c r="G45" s="5"/>
      <c r="H45" s="5"/>
      <c r="I45" s="5"/>
      <c r="J45" s="5"/>
      <c r="K45" s="5">
        <v>4363.951</v>
      </c>
      <c r="L45" s="5">
        <v>4452.7550000000001</v>
      </c>
      <c r="M45" s="5"/>
      <c r="N45" s="5"/>
    </row>
    <row r="46" spans="2:14" s="1" customFormat="1" x14ac:dyDescent="0.2">
      <c r="B46" s="1" t="s">
        <v>47</v>
      </c>
      <c r="C46" s="5"/>
      <c r="D46" s="5"/>
      <c r="E46" s="5"/>
      <c r="F46" s="5"/>
      <c r="G46" s="5"/>
      <c r="H46" s="5"/>
      <c r="I46" s="5"/>
      <c r="J46" s="5"/>
      <c r="K46" s="5">
        <f t="shared" ref="K46" si="28">SUM(K36:K45)</f>
        <v>6053.183</v>
      </c>
      <c r="L46" s="5">
        <f>SUM(L36:L45)</f>
        <v>6118.58</v>
      </c>
      <c r="M46" s="5"/>
      <c r="N46" s="5"/>
    </row>
    <row r="48" spans="2:14" s="1" customFormat="1" x14ac:dyDescent="0.2">
      <c r="B48" s="1" t="s">
        <v>51</v>
      </c>
      <c r="C48" s="5"/>
      <c r="D48" s="5"/>
      <c r="E48" s="5"/>
      <c r="F48" s="5"/>
      <c r="G48" s="5"/>
      <c r="H48" s="5"/>
      <c r="I48" s="5"/>
      <c r="J48" s="5"/>
      <c r="K48" s="5">
        <f>+K17</f>
        <v>93.059000000000026</v>
      </c>
      <c r="L48" s="5">
        <f>+L17</f>
        <v>121.01900000000003</v>
      </c>
      <c r="M48" s="5"/>
      <c r="N48" s="5"/>
    </row>
    <row r="49" spans="2:14" s="1" customFormat="1" x14ac:dyDescent="0.2">
      <c r="B49" s="1" t="s">
        <v>52</v>
      </c>
      <c r="C49" s="5"/>
      <c r="D49" s="5"/>
      <c r="E49" s="5"/>
      <c r="F49" s="5"/>
      <c r="G49" s="5"/>
      <c r="H49" s="5"/>
      <c r="I49" s="5"/>
      <c r="J49" s="5"/>
      <c r="K49" s="5">
        <v>70.988</v>
      </c>
      <c r="L49" s="5">
        <f>169.788-K49</f>
        <v>98.800000000000011</v>
      </c>
      <c r="M49" s="5"/>
      <c r="N49" s="5"/>
    </row>
    <row r="50" spans="2:14" s="1" customFormat="1" x14ac:dyDescent="0.2">
      <c r="B50" s="1" t="s">
        <v>54</v>
      </c>
      <c r="C50" s="5"/>
      <c r="D50" s="5"/>
      <c r="E50" s="5"/>
      <c r="F50" s="5"/>
      <c r="G50" s="5"/>
      <c r="H50" s="5"/>
      <c r="I50" s="5"/>
      <c r="J50" s="5"/>
      <c r="K50" s="5">
        <v>29.08</v>
      </c>
      <c r="L50" s="5">
        <f>58.012-K50</f>
        <v>28.932000000000002</v>
      </c>
      <c r="M50" s="5"/>
      <c r="N50" s="5"/>
    </row>
    <row r="51" spans="2:14" s="1" customFormat="1" x14ac:dyDescent="0.2">
      <c r="B51" s="1" t="s">
        <v>48</v>
      </c>
      <c r="C51" s="5"/>
      <c r="D51" s="5"/>
      <c r="E51" s="5"/>
      <c r="F51" s="5"/>
      <c r="G51" s="5"/>
      <c r="H51" s="5"/>
      <c r="I51" s="5"/>
      <c r="J51" s="5"/>
      <c r="K51" s="5">
        <v>5.5529999999999999</v>
      </c>
      <c r="L51" s="5">
        <f>11.374-K51</f>
        <v>5.8210000000000006</v>
      </c>
      <c r="M51" s="5"/>
      <c r="N51" s="5"/>
    </row>
    <row r="52" spans="2:14" s="1" customFormat="1" x14ac:dyDescent="0.2">
      <c r="B52" s="1" t="s">
        <v>40</v>
      </c>
      <c r="C52" s="5"/>
      <c r="D52" s="5"/>
      <c r="E52" s="5"/>
      <c r="F52" s="5"/>
      <c r="G52" s="5"/>
      <c r="H52" s="5"/>
      <c r="I52" s="5"/>
      <c r="J52" s="5"/>
      <c r="K52" s="5">
        <v>-0.86099999999999999</v>
      </c>
      <c r="L52" s="5">
        <f>-35.304-K52</f>
        <v>-34.443000000000005</v>
      </c>
      <c r="M52" s="5"/>
      <c r="N52" s="5"/>
    </row>
    <row r="53" spans="2:14" s="1" customFormat="1" x14ac:dyDescent="0.2">
      <c r="B53" s="1" t="s">
        <v>55</v>
      </c>
      <c r="C53" s="5"/>
      <c r="D53" s="5"/>
      <c r="E53" s="5"/>
      <c r="F53" s="5"/>
      <c r="G53" s="5"/>
      <c r="H53" s="5"/>
      <c r="I53" s="5"/>
      <c r="J53" s="5"/>
      <c r="K53" s="5">
        <v>2.3260000000000001</v>
      </c>
      <c r="L53" s="5">
        <f>2.426-K53</f>
        <v>0.10000000000000009</v>
      </c>
      <c r="M53" s="5"/>
      <c r="N53" s="5"/>
    </row>
    <row r="54" spans="2:14" s="1" customFormat="1" x14ac:dyDescent="0.2">
      <c r="B54" s="1" t="s">
        <v>56</v>
      </c>
      <c r="C54" s="5"/>
      <c r="D54" s="5"/>
      <c r="E54" s="5"/>
      <c r="F54" s="5"/>
      <c r="G54" s="5"/>
      <c r="H54" s="5"/>
      <c r="I54" s="5"/>
      <c r="J54" s="5"/>
      <c r="K54" s="5">
        <v>35.651000000000003</v>
      </c>
      <c r="L54" s="5">
        <f>75.149-K54</f>
        <v>39.497999999999998</v>
      </c>
      <c r="M54" s="5"/>
      <c r="N54" s="5"/>
    </row>
    <row r="55" spans="2:14" s="1" customFormat="1" x14ac:dyDescent="0.2">
      <c r="B55" s="1" t="s">
        <v>44</v>
      </c>
      <c r="C55" s="5"/>
      <c r="D55" s="5"/>
      <c r="E55" s="5"/>
      <c r="F55" s="5"/>
      <c r="G55" s="5"/>
      <c r="H55" s="5"/>
      <c r="I55" s="5"/>
      <c r="J55" s="5"/>
      <c r="K55" s="5">
        <v>0.91900000000000004</v>
      </c>
      <c r="L55" s="5">
        <f>3.562-K55</f>
        <v>2.6429999999999998</v>
      </c>
      <c r="M55" s="5"/>
      <c r="N55" s="5"/>
    </row>
    <row r="56" spans="2:14" s="1" customFormat="1" x14ac:dyDescent="0.2">
      <c r="B56" s="1" t="s">
        <v>57</v>
      </c>
      <c r="C56" s="5"/>
      <c r="D56" s="5"/>
      <c r="E56" s="5"/>
      <c r="F56" s="5"/>
      <c r="G56" s="5"/>
      <c r="H56" s="5"/>
      <c r="I56" s="5"/>
      <c r="J56" s="5"/>
      <c r="K56" s="5">
        <f>180.259+43.479-5.983-143.883-1.119+0.455-5.928</f>
        <v>67.279999999999987</v>
      </c>
      <c r="L56" s="5">
        <f>110.044+73.596-3.834-129.933+9.097-12.914-1.183-K56</f>
        <v>-22.406999999999996</v>
      </c>
      <c r="M56" s="5"/>
      <c r="N56" s="5"/>
    </row>
    <row r="57" spans="2:14" s="1" customFormat="1" x14ac:dyDescent="0.2">
      <c r="B57" s="1" t="s">
        <v>53</v>
      </c>
      <c r="C57" s="5"/>
      <c r="D57" s="5"/>
      <c r="E57" s="5"/>
      <c r="F57" s="5"/>
      <c r="G57" s="5"/>
      <c r="H57" s="5"/>
      <c r="I57" s="5"/>
      <c r="J57" s="5"/>
      <c r="K57" s="5">
        <f>SUM(K49:K56)</f>
        <v>210.93599999999998</v>
      </c>
      <c r="L57" s="5">
        <f>SUM(L49:L56)</f>
        <v>118.944</v>
      </c>
      <c r="M57" s="5">
        <f>SUM(M49:M56)</f>
        <v>0</v>
      </c>
      <c r="N57" s="5">
        <f>SUM(N49:N56)</f>
        <v>0</v>
      </c>
    </row>
    <row r="59" spans="2:14" s="1" customFormat="1" x14ac:dyDescent="0.2">
      <c r="B59" s="1" t="s">
        <v>58</v>
      </c>
      <c r="C59" s="5"/>
      <c r="D59" s="5"/>
      <c r="E59" s="5"/>
      <c r="F59" s="5"/>
      <c r="G59" s="5"/>
      <c r="H59" s="5"/>
      <c r="I59" s="5"/>
      <c r="J59" s="5"/>
      <c r="K59" s="5">
        <v>-4.915</v>
      </c>
      <c r="L59" s="5">
        <f>-241.63-K59</f>
        <v>-236.715</v>
      </c>
      <c r="M59" s="5"/>
      <c r="N59" s="5"/>
    </row>
    <row r="60" spans="2:14" s="1" customFormat="1" x14ac:dyDescent="0.2">
      <c r="B60" s="1" t="s">
        <v>59</v>
      </c>
      <c r="C60" s="5"/>
      <c r="D60" s="5"/>
      <c r="E60" s="5"/>
      <c r="F60" s="5"/>
      <c r="G60" s="5"/>
      <c r="H60" s="5"/>
      <c r="I60" s="5"/>
      <c r="J60" s="5"/>
      <c r="K60" s="5">
        <v>-5.0620000000000003</v>
      </c>
      <c r="L60" s="5">
        <f>-10.059-K60</f>
        <v>-4.996999999999999</v>
      </c>
      <c r="M60" s="5"/>
      <c r="N60" s="5"/>
    </row>
    <row r="61" spans="2:14" s="1" customFormat="1" x14ac:dyDescent="0.2">
      <c r="B61" s="1" t="s">
        <v>44</v>
      </c>
      <c r="C61" s="5"/>
      <c r="D61" s="5"/>
      <c r="E61" s="5"/>
      <c r="F61" s="5"/>
      <c r="G61" s="5"/>
      <c r="H61" s="5"/>
      <c r="I61" s="5"/>
      <c r="J61" s="5"/>
      <c r="K61" s="5">
        <v>1.2999999999999999E-2</v>
      </c>
      <c r="L61" s="5">
        <f>0.085-K61</f>
        <v>7.2000000000000008E-2</v>
      </c>
      <c r="M61" s="5"/>
      <c r="N61" s="5"/>
    </row>
    <row r="62" spans="2:14" s="1" customFormat="1" x14ac:dyDescent="0.2">
      <c r="B62" s="1" t="s">
        <v>60</v>
      </c>
      <c r="C62" s="5"/>
      <c r="D62" s="5"/>
      <c r="E62" s="5"/>
      <c r="F62" s="5"/>
      <c r="G62" s="5"/>
      <c r="H62" s="5"/>
      <c r="I62" s="5"/>
      <c r="J62" s="5"/>
      <c r="K62" s="5">
        <f>SUM(K59:K61)</f>
        <v>-9.9640000000000004</v>
      </c>
      <c r="L62" s="5">
        <f>SUM(L59:L61)</f>
        <v>-241.64</v>
      </c>
      <c r="M62" s="5">
        <f>SUM(M59:M61)</f>
        <v>0</v>
      </c>
      <c r="N62" s="5">
        <f>SUM(N59:N61)</f>
        <v>0</v>
      </c>
    </row>
    <row r="63" spans="2:14" s="1" customFormat="1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2:14" s="1" customFormat="1" x14ac:dyDescent="0.2">
      <c r="B64" s="1" t="s">
        <v>61</v>
      </c>
      <c r="C64" s="5"/>
      <c r="D64" s="5"/>
      <c r="E64" s="5"/>
      <c r="F64" s="5"/>
      <c r="G64" s="5"/>
      <c r="H64" s="5"/>
      <c r="I64" s="5"/>
      <c r="J64" s="5"/>
      <c r="K64" s="5">
        <v>-155.571</v>
      </c>
      <c r="L64" s="5">
        <f>-155.571-K64</f>
        <v>0</v>
      </c>
      <c r="M64" s="5"/>
      <c r="N64" s="5"/>
    </row>
    <row r="65" spans="2:14" s="1" customFormat="1" x14ac:dyDescent="0.2">
      <c r="B65" s="1" t="s">
        <v>62</v>
      </c>
      <c r="C65" s="5"/>
      <c r="D65" s="5"/>
      <c r="E65" s="5"/>
      <c r="F65" s="5"/>
      <c r="G65" s="5"/>
      <c r="H65" s="5"/>
      <c r="I65" s="5"/>
      <c r="J65" s="5"/>
      <c r="K65" s="5">
        <v>-59.195999999999998</v>
      </c>
      <c r="L65" s="5">
        <f>-61.554-K65</f>
        <v>-2.3580000000000041</v>
      </c>
      <c r="M65" s="5"/>
      <c r="N65" s="5"/>
    </row>
    <row r="66" spans="2:14" s="1" customFormat="1" x14ac:dyDescent="0.2">
      <c r="B66" s="1" t="s">
        <v>63</v>
      </c>
      <c r="C66" s="5"/>
      <c r="D66" s="5"/>
      <c r="E66" s="5"/>
      <c r="F66" s="5"/>
      <c r="G66" s="5"/>
      <c r="H66" s="5"/>
      <c r="I66" s="5"/>
      <c r="J66" s="5"/>
      <c r="K66" s="5">
        <v>10.122</v>
      </c>
      <c r="L66" s="5">
        <f>10.814-K66</f>
        <v>0.69200000000000017</v>
      </c>
      <c r="M66" s="5"/>
      <c r="N66" s="5"/>
    </row>
    <row r="67" spans="2:14" s="1" customFormat="1" x14ac:dyDescent="0.2">
      <c r="B67" s="1" t="s">
        <v>44</v>
      </c>
      <c r="C67" s="5"/>
      <c r="D67" s="5"/>
      <c r="E67" s="5"/>
      <c r="F67" s="5"/>
      <c r="G67" s="5"/>
      <c r="H67" s="5"/>
      <c r="I67" s="5"/>
      <c r="J67" s="5"/>
      <c r="K67" s="5">
        <v>0</v>
      </c>
      <c r="L67" s="5">
        <f>-1.29-K67</f>
        <v>-1.29</v>
      </c>
      <c r="M67" s="5"/>
      <c r="N67" s="5"/>
    </row>
    <row r="68" spans="2:14" s="1" customFormat="1" x14ac:dyDescent="0.2">
      <c r="B68" s="1" t="s">
        <v>64</v>
      </c>
      <c r="C68" s="5"/>
      <c r="D68" s="5"/>
      <c r="E68" s="5"/>
      <c r="F68" s="5"/>
      <c r="G68" s="5"/>
      <c r="H68" s="5"/>
      <c r="I68" s="5"/>
      <c r="J68" s="5"/>
      <c r="K68" s="5">
        <f>SUM(K64:K67)</f>
        <v>-204.64499999999998</v>
      </c>
      <c r="L68" s="5">
        <f>SUM(L64:L67)</f>
        <v>-2.956000000000004</v>
      </c>
      <c r="M68" s="5">
        <f>SUM(M64:M67)</f>
        <v>0</v>
      </c>
      <c r="N68" s="5">
        <f>SUM(N64:N67)</f>
        <v>0</v>
      </c>
    </row>
    <row r="70" spans="2:14" s="1" customFormat="1" x14ac:dyDescent="0.2">
      <c r="B70" s="1" t="s">
        <v>66</v>
      </c>
      <c r="C70" s="5"/>
      <c r="D70" s="5"/>
      <c r="E70" s="5"/>
      <c r="F70" s="5"/>
      <c r="G70" s="5"/>
      <c r="H70" s="5"/>
      <c r="I70" s="5"/>
      <c r="J70" s="5"/>
      <c r="K70" s="5">
        <v>-6.5730000000000004</v>
      </c>
      <c r="L70" s="5">
        <v>-21.039000000000001</v>
      </c>
      <c r="M70" s="5"/>
      <c r="N70" s="5"/>
    </row>
    <row r="71" spans="2:14" x14ac:dyDescent="0.2">
      <c r="B71" s="1" t="s">
        <v>65</v>
      </c>
      <c r="K71" s="5">
        <f>+K70+K68+K62+K57</f>
        <v>-10.246000000000009</v>
      </c>
      <c r="L71" s="5">
        <f>+L70+L68+L62+L57</f>
        <v>-146.69099999999997</v>
      </c>
    </row>
    <row r="72" spans="2:14" x14ac:dyDescent="0.2">
      <c r="B72" s="1" t="s">
        <v>67</v>
      </c>
      <c r="L72" s="5">
        <f>+L25-K25</f>
        <v>-139.83200000000011</v>
      </c>
    </row>
  </sheetData>
  <hyperlinks>
    <hyperlink ref="A1" location="Main!A1" display="Main" xr:uid="{C1D34500-F610-4B95-BADA-BEBC175E8335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2022-08-22T16:58:01Z</dcterms:created>
  <dcterms:modified xsi:type="dcterms:W3CDTF">2022-08-22T17:50:15Z</dcterms:modified>
</cp:coreProperties>
</file>