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5F72DD0-AFB7-412D-A43C-EFC03D42F8EB}" xr6:coauthVersionLast="47" xr6:coauthVersionMax="47" xr10:uidLastSave="{00000000-0000-0000-0000-000000000000}"/>
  <bookViews>
    <workbookView xWindow="-49470" yWindow="2400" windowWidth="32550" windowHeight="17250" activeTab="2" xr2:uid="{C5D46298-A5E7-4521-8F34-4B6B3EF66A99}"/>
  </bookViews>
  <sheets>
    <sheet name="Main" sheetId="1" r:id="rId1"/>
    <sheet name="Model" sheetId="3" r:id="rId2"/>
    <sheet name="Empaveli" sheetId="2" r:id="rId3"/>
    <sheet name="Syfov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5" i="3" l="1"/>
  <c r="AG15" i="3"/>
  <c r="AF15" i="3"/>
  <c r="AH10" i="3"/>
  <c r="AG10" i="3"/>
  <c r="AF10" i="3"/>
  <c r="AH8" i="3"/>
  <c r="AG8" i="3"/>
  <c r="AF8" i="3"/>
  <c r="AH18" i="3"/>
  <c r="AH11" i="3"/>
  <c r="AI3" i="3"/>
  <c r="AJ3" i="3" s="1"/>
  <c r="AK3" i="3" s="1"/>
  <c r="AL3" i="3" s="1"/>
  <c r="AM3" i="3" s="1"/>
  <c r="AN3" i="3" s="1"/>
  <c r="AO3" i="3" s="1"/>
  <c r="AP3" i="3" s="1"/>
  <c r="AG18" i="3"/>
  <c r="AF18" i="3"/>
  <c r="AG11" i="3"/>
  <c r="AG12" i="3" s="1"/>
  <c r="AG14" i="3" s="1"/>
  <c r="AG16" i="3" s="1"/>
  <c r="AG17" i="3" s="1"/>
  <c r="AF11" i="3"/>
  <c r="AG3" i="3"/>
  <c r="AD17" i="3"/>
  <c r="AE18" i="3"/>
  <c r="AD18" i="3"/>
  <c r="AD16" i="3"/>
  <c r="AE15" i="3"/>
  <c r="AD15" i="3"/>
  <c r="AD14" i="3"/>
  <c r="AE13" i="3"/>
  <c r="AD13" i="3"/>
  <c r="AE12" i="3"/>
  <c r="AE14" i="3" s="1"/>
  <c r="AE16" i="3" s="1"/>
  <c r="AE17" i="3" s="1"/>
  <c r="AD12" i="3"/>
  <c r="AE11" i="3"/>
  <c r="AD11" i="3"/>
  <c r="AE10" i="3"/>
  <c r="AD10" i="3"/>
  <c r="AE9" i="3"/>
  <c r="AD9" i="3"/>
  <c r="AE8" i="3"/>
  <c r="AD8" i="3"/>
  <c r="AE7" i="3"/>
  <c r="AD7" i="3"/>
  <c r="AE5" i="3"/>
  <c r="AD5" i="3"/>
  <c r="AE4" i="3"/>
  <c r="AD4" i="3"/>
  <c r="V21" i="3"/>
  <c r="U21" i="3"/>
  <c r="V20" i="3"/>
  <c r="U20" i="3"/>
  <c r="V14" i="3"/>
  <c r="U14" i="3"/>
  <c r="U16" i="3" s="1"/>
  <c r="U17" i="3" s="1"/>
  <c r="V16" i="3"/>
  <c r="V17" i="3" s="1"/>
  <c r="V18" i="3"/>
  <c r="U18" i="3"/>
  <c r="V8" i="3"/>
  <c r="V7" i="3" s="1"/>
  <c r="U8" i="3"/>
  <c r="U7" i="3" s="1"/>
  <c r="V10" i="3"/>
  <c r="V11" i="3" s="1"/>
  <c r="U10" i="3"/>
  <c r="U11" i="3"/>
  <c r="V4" i="3"/>
  <c r="U4" i="3"/>
  <c r="V3" i="3"/>
  <c r="U3" i="3"/>
  <c r="U6" i="3" s="1"/>
  <c r="AD3" i="3"/>
  <c r="R20" i="3"/>
  <c r="S20" i="3"/>
  <c r="T20" i="3"/>
  <c r="N17" i="3"/>
  <c r="N13" i="3"/>
  <c r="N11" i="3"/>
  <c r="N6" i="3"/>
  <c r="N8" i="3" s="1"/>
  <c r="N21" i="3" s="1"/>
  <c r="P13" i="3"/>
  <c r="Q13" i="3"/>
  <c r="R13" i="3"/>
  <c r="S13" i="3"/>
  <c r="S11" i="3"/>
  <c r="S12" i="3" s="1"/>
  <c r="S8" i="3"/>
  <c r="S21" i="3" s="1"/>
  <c r="T13" i="3"/>
  <c r="T11" i="3"/>
  <c r="T6" i="3"/>
  <c r="T8" i="3" s="1"/>
  <c r="T12" i="3" s="1"/>
  <c r="T14" i="3" s="1"/>
  <c r="T16" i="3" s="1"/>
  <c r="T17" i="3" s="1"/>
  <c r="S6" i="3"/>
  <c r="AH12" i="3" l="1"/>
  <c r="AH14" i="3" s="1"/>
  <c r="AH16" i="3" s="1"/>
  <c r="AH17" i="3" s="1"/>
  <c r="AF12" i="3"/>
  <c r="AF14" i="3" s="1"/>
  <c r="AF16" i="3" s="1"/>
  <c r="AF17" i="3" s="1"/>
  <c r="V12" i="3"/>
  <c r="U12" i="3"/>
  <c r="AE3" i="3"/>
  <c r="V6" i="3"/>
  <c r="T21" i="3"/>
  <c r="N12" i="3"/>
  <c r="N14" i="3" s="1"/>
  <c r="S14" i="3"/>
  <c r="S16" i="3" s="1"/>
  <c r="S17" i="3" s="1"/>
  <c r="L6" i="1" l="1"/>
  <c r="AC2" i="3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P4" i="3"/>
  <c r="O6" i="3"/>
  <c r="O8" i="3" s="1"/>
  <c r="O37" i="3"/>
  <c r="O36" i="3"/>
  <c r="O24" i="3"/>
  <c r="O23" i="3" s="1"/>
  <c r="O13" i="3"/>
  <c r="O11" i="3"/>
  <c r="L4" i="1"/>
  <c r="O12" i="3" l="1"/>
  <c r="O14" i="3" s="1"/>
  <c r="O16" i="3" s="1"/>
  <c r="O17" i="3" s="1"/>
  <c r="O21" i="3"/>
  <c r="O41" i="3"/>
  <c r="R11" i="3"/>
  <c r="Q11" i="3"/>
  <c r="P11" i="3"/>
  <c r="P6" i="3"/>
  <c r="O32" i="3"/>
  <c r="Q6" i="3"/>
  <c r="Q8" i="3" s="1"/>
  <c r="L7" i="1"/>
  <c r="R6" i="3" l="1"/>
  <c r="R8" i="3" s="1"/>
  <c r="Q21" i="3"/>
  <c r="P8" i="3"/>
  <c r="P21" i="3" s="1"/>
  <c r="AF4" i="3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P12" i="3"/>
  <c r="P14" i="3" s="1"/>
  <c r="P16" i="3" s="1"/>
  <c r="P17" i="3" s="1"/>
  <c r="R21" i="3" l="1"/>
  <c r="R12" i="3"/>
  <c r="R14" i="3" s="1"/>
  <c r="R16" i="3" s="1"/>
  <c r="R17" i="3" s="1"/>
  <c r="Q12" i="3"/>
  <c r="Q14" i="3" s="1"/>
  <c r="Q16" i="3" s="1"/>
  <c r="Q17" i="3" s="1"/>
  <c r="AD6" i="3"/>
  <c r="AE6" i="3" l="1"/>
  <c r="AF3" i="3"/>
  <c r="AF6" i="3" l="1"/>
  <c r="AG6" i="3" l="1"/>
  <c r="AH3" i="3"/>
  <c r="AH6" i="3" l="1"/>
  <c r="AI6" i="3" l="1"/>
  <c r="AJ6" i="3" l="1"/>
  <c r="AK6" i="3" l="1"/>
  <c r="AL6" i="3" l="1"/>
  <c r="AM6" i="3" l="1"/>
  <c r="AN6" i="3" l="1"/>
  <c r="AP6" i="3" l="1"/>
  <c r="AO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tc={58C30732-E571-4EAE-B15E-980B4BED0CEB}</author>
  </authors>
  <commentList>
    <comment ref="O3" authorId="0" shapeId="0" xr:uid="{4A806E08-7D69-4C6C-B6F3-F795205259D6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6000 vials shipped in March</t>
        </r>
      </text>
    </comment>
    <comment ref="AH3" authorId="1" shapeId="0" xr:uid="{58C30732-E571-4EAE-B15E-980B4BED0CEB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 expires 12/2027</t>
      </text>
    </comment>
  </commentList>
</comments>
</file>

<file path=xl/sharedStrings.xml><?xml version="1.0" encoding="utf-8"?>
<sst xmlns="http://schemas.openxmlformats.org/spreadsheetml/2006/main" count="151" uniqueCount="127">
  <si>
    <t>Price</t>
  </si>
  <si>
    <t>Brand</t>
  </si>
  <si>
    <t>Generic</t>
  </si>
  <si>
    <t>pegcetacoplan</t>
  </si>
  <si>
    <t>Indication</t>
  </si>
  <si>
    <t>Geographic Atrophy</t>
  </si>
  <si>
    <t>MOA</t>
  </si>
  <si>
    <t>Shares</t>
  </si>
  <si>
    <t>Q122</t>
  </si>
  <si>
    <t>MC</t>
  </si>
  <si>
    <t>Cash</t>
  </si>
  <si>
    <t>Debt</t>
  </si>
  <si>
    <t>EV</t>
  </si>
  <si>
    <t>C3</t>
  </si>
  <si>
    <t>Main</t>
  </si>
  <si>
    <t>C3 inhibitor</t>
  </si>
  <si>
    <t>Competition</t>
  </si>
  <si>
    <t>Clinical Trials</t>
  </si>
  <si>
    <t>CDO: Jeff Eisele</t>
  </si>
  <si>
    <t>Phase III "DERBY" n=621 GA-AMD</t>
  </si>
  <si>
    <t>Phase III "OAKS" n=637 GA-AMD</t>
  </si>
  <si>
    <t>Phase II "FILLY" n=246 GA-AMD</t>
  </si>
  <si>
    <t>Administration</t>
  </si>
  <si>
    <t>Admin</t>
  </si>
  <si>
    <t>intravitreal</t>
  </si>
  <si>
    <t>CMO: Federico Grossi</t>
  </si>
  <si>
    <t>Empaveli</t>
  </si>
  <si>
    <t>IP</t>
  </si>
  <si>
    <t>Approval</t>
  </si>
  <si>
    <t>Economics</t>
  </si>
  <si>
    <t>SOBI</t>
  </si>
  <si>
    <t>PNH, Geographic Atrophy</t>
  </si>
  <si>
    <t>Sobi in Europe</t>
  </si>
  <si>
    <t>Phase III "PRINCE" n=53 treatment-naïve PNH - NCT04085601</t>
  </si>
  <si>
    <t>Empaveli, Aspaveli; fka APL-2</t>
  </si>
  <si>
    <t>Phase III "PEGASUS" n=80 PNH - NCT03050549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</si>
  <si>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</si>
  <si>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</si>
  <si>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</si>
  <si>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</si>
  <si>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</si>
  <si>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</si>
  <si>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</si>
  <si>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</si>
  <si>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</si>
  <si>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</si>
  <si>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</si>
  <si>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APL-2006</t>
  </si>
  <si>
    <t>C3/VEGF</t>
  </si>
  <si>
    <t>APL-1030</t>
  </si>
  <si>
    <t>Reduced extrafoveal GA growth by 33% with monthly and 17% q2m.</t>
  </si>
  <si>
    <t>Reduced extrafoveal GA growth by 17% with monthly and 23% q2m.</t>
  </si>
  <si>
    <t>Q123</t>
  </si>
  <si>
    <t>Q223</t>
  </si>
  <si>
    <t>Q323</t>
  </si>
  <si>
    <t>Q423</t>
  </si>
  <si>
    <t>Revenue</t>
  </si>
  <si>
    <t>Licensing</t>
  </si>
  <si>
    <t>Operating Income</t>
  </si>
  <si>
    <t>Operating Expenses</t>
  </si>
  <si>
    <t>COGS</t>
  </si>
  <si>
    <t>Gross Profit</t>
  </si>
  <si>
    <t>R&amp;D</t>
  </si>
  <si>
    <t>G&amp;A</t>
  </si>
  <si>
    <t>Net Income</t>
  </si>
  <si>
    <t>Taxes</t>
  </si>
  <si>
    <t>Pretax Income</t>
  </si>
  <si>
    <t>Other Income</t>
  </si>
  <si>
    <t>Founded</t>
  </si>
  <si>
    <t>PNH</t>
  </si>
  <si>
    <t>Syfovre</t>
  </si>
  <si>
    <t>AD</t>
  </si>
  <si>
    <t>AR</t>
  </si>
  <si>
    <t>Inventory</t>
  </si>
  <si>
    <t>Prepaids</t>
  </si>
  <si>
    <t>OCA</t>
  </si>
  <si>
    <t>ROU</t>
  </si>
  <si>
    <t>PP&amp;E</t>
  </si>
  <si>
    <t>Other</t>
  </si>
  <si>
    <t>Assets</t>
  </si>
  <si>
    <t>L+SE</t>
  </si>
  <si>
    <t>SE</t>
  </si>
  <si>
    <t>AP</t>
  </si>
  <si>
    <t>AE</t>
  </si>
  <si>
    <t>Development</t>
  </si>
  <si>
    <t>Net Cash</t>
  </si>
  <si>
    <t>CEO: Cedric Francois</t>
  </si>
  <si>
    <t>CCO: Adam Townsend</t>
  </si>
  <si>
    <t>CNS active</t>
  </si>
  <si>
    <t>Phase</t>
  </si>
  <si>
    <t>Preclinical</t>
  </si>
  <si>
    <t>siRNA</t>
  </si>
  <si>
    <t>IND</t>
  </si>
  <si>
    <t>subcutaneous infusion</t>
  </si>
  <si>
    <t>subcutaneous twice weekly 1080mg</t>
  </si>
  <si>
    <t>Administraiton</t>
  </si>
  <si>
    <t>Geographic atrophy</t>
  </si>
  <si>
    <t>Regulatory</t>
  </si>
  <si>
    <t>EU, Canada, Australia, UK, Switzerland decisions expected 1H2024</t>
  </si>
  <si>
    <t>Phase II "MERIDIAN" ALS</t>
  </si>
  <si>
    <t>3/6/23: inducements</t>
  </si>
  <si>
    <t>4/6/23: inducements</t>
  </si>
  <si>
    <t>4/27/23: Q123 call date</t>
  </si>
  <si>
    <t>4/17/23: endorsement for GA awareness</t>
  </si>
  <si>
    <t>CMO: Caroline Baumal</t>
  </si>
  <si>
    <t>4/21/23: Validation of Canadian, Australian, UK, Switzerland GA MAAs</t>
  </si>
  <si>
    <t>intravitreal qm or q2m</t>
  </si>
  <si>
    <t>4/23/23: ARVO presentation of DERBY and OAKS</t>
  </si>
  <si>
    <t>5.6 letters better than sham in extrafoveal lesions</t>
  </si>
  <si>
    <t>4/24/23: MERIDIAN ALS study discontinued</t>
  </si>
  <si>
    <t>5/3/23: investor conference</t>
  </si>
  <si>
    <t>5/4/23: Q123 results</t>
  </si>
  <si>
    <t>Gross Margin</t>
  </si>
  <si>
    <t>Q224</t>
  </si>
  <si>
    <t>Q124</t>
  </si>
  <si>
    <t>Q324</t>
  </si>
  <si>
    <t>Q424</t>
  </si>
  <si>
    <t>S/O</t>
  </si>
  <si>
    <t>EPS</t>
  </si>
  <si>
    <t>Revenue y/y</t>
  </si>
  <si>
    <t>68% reduction in proteinuria</t>
  </si>
  <si>
    <t>Phase III "VALIANT" n=124 IC-MPGN/C3G</t>
  </si>
  <si>
    <t>APL-3007</t>
  </si>
  <si>
    <t>Phase II HSCT-TMA</t>
  </si>
  <si>
    <t>PEG patent</t>
  </si>
  <si>
    <t>US10035822B2 - 2033 patent, extending to 2035</t>
  </si>
  <si>
    <t>7888323 - expires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</si>
</sst>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0304C19-BC5E-45B0-9B0A-F4944B7AD6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65314</xdr:colOff>
      <xdr:row>0</xdr:row>
      <xdr:rowOff>0</xdr:rowOff>
    </xdr:from>
    <xdr:to>
      <xdr:col>20</xdr:col>
      <xdr:colOff>65314</xdr:colOff>
      <xdr:row>51</xdr:row>
      <xdr:rowOff>21771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88DD12-4EBA-E02A-D303-580D788DAD0A}"/>
            </a:ext>
          </a:extLst>
        </xdr:cNvPr>
        <xdr:cNvCxnSpPr/>
      </xdr:nvCxnSpPr>
      <xdr:spPr>
        <a:xfrm>
          <a:off x="12578443" y="0"/>
          <a:ext cx="0" cy="81860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59872</xdr:colOff>
      <xdr:row>0</xdr:row>
      <xdr:rowOff>0</xdr:rowOff>
    </xdr:from>
    <xdr:to>
      <xdr:col>30</xdr:col>
      <xdr:colOff>59872</xdr:colOff>
      <xdr:row>51</xdr:row>
      <xdr:rowOff>21771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AF34C7-A319-41F5-A08D-B8D796272E0B}"/>
            </a:ext>
          </a:extLst>
        </xdr:cNvPr>
        <xdr:cNvCxnSpPr/>
      </xdr:nvCxnSpPr>
      <xdr:spPr>
        <a:xfrm>
          <a:off x="18669001" y="0"/>
          <a:ext cx="0" cy="83493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505933-672A-481B-9ECE-CD24D7674232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3" dT="2024-10-10T13:12:29.04" personId="{52505933-672A-481B-9ECE-CD24D7674232}" id="{58C30732-E571-4EAE-B15E-980B4BED0CEB}">
    <text>Patent expires 12/2027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D1C3-C4BE-43F2-B9DB-E2CAB01F5DB4}">
  <dimension ref="B2:M18"/>
  <sheetViews>
    <sheetView zoomScale="130" zoomScaleNormal="130" workbookViewId="0">
      <selection activeCell="B3" sqref="B3"/>
    </sheetView>
  </sheetViews>
  <sheetFormatPr defaultRowHeight="12.75" x14ac:dyDescent="0.2"/>
  <cols>
    <col min="1" max="1" width="3" customWidth="1"/>
    <col min="2" max="2" width="15.5703125" bestFit="1" customWidth="1"/>
    <col min="3" max="3" width="13.42578125" customWidth="1"/>
    <col min="4" max="4" width="19.140625" customWidth="1"/>
    <col min="5" max="5" width="10.42578125" customWidth="1"/>
    <col min="6" max="6" width="15.140625" bestFit="1" customWidth="1"/>
    <col min="7" max="7" width="11.28515625" customWidth="1"/>
    <col min="8" max="8" width="10.140625" customWidth="1"/>
    <col min="9" max="9" width="10.5703125" customWidth="1"/>
  </cols>
  <sheetData>
    <row r="2" spans="2:13" x14ac:dyDescent="0.2">
      <c r="B2" s="5" t="s">
        <v>1</v>
      </c>
      <c r="C2" s="6" t="s">
        <v>2</v>
      </c>
      <c r="D2" s="6" t="s">
        <v>4</v>
      </c>
      <c r="E2" s="6" t="s">
        <v>6</v>
      </c>
      <c r="F2" s="12" t="s">
        <v>28</v>
      </c>
      <c r="G2" s="12" t="s">
        <v>29</v>
      </c>
      <c r="H2" s="12" t="s">
        <v>23</v>
      </c>
      <c r="I2" s="13" t="s">
        <v>27</v>
      </c>
      <c r="K2" t="s">
        <v>0</v>
      </c>
      <c r="L2" s="1">
        <v>27</v>
      </c>
    </row>
    <row r="3" spans="2:13" x14ac:dyDescent="0.2">
      <c r="B3" s="11" t="s">
        <v>26</v>
      </c>
      <c r="C3" t="s">
        <v>3</v>
      </c>
      <c r="D3" t="s">
        <v>69</v>
      </c>
      <c r="E3" t="s">
        <v>13</v>
      </c>
      <c r="F3" s="14">
        <v>44330</v>
      </c>
      <c r="G3" s="15"/>
      <c r="H3" s="15" t="s">
        <v>93</v>
      </c>
      <c r="I3" s="16"/>
      <c r="K3" t="s">
        <v>7</v>
      </c>
      <c r="L3" s="7">
        <v>121.766328</v>
      </c>
      <c r="M3" s="8" t="s">
        <v>113</v>
      </c>
    </row>
    <row r="4" spans="2:13" x14ac:dyDescent="0.2">
      <c r="B4" s="11" t="s">
        <v>70</v>
      </c>
      <c r="C4" t="s">
        <v>3</v>
      </c>
      <c r="D4" t="s">
        <v>5</v>
      </c>
      <c r="E4" t="s">
        <v>13</v>
      </c>
      <c r="F4" s="14">
        <v>44958</v>
      </c>
      <c r="G4" s="14" t="s">
        <v>30</v>
      </c>
      <c r="H4" s="15" t="s">
        <v>24</v>
      </c>
      <c r="I4" s="16"/>
      <c r="K4" t="s">
        <v>9</v>
      </c>
      <c r="L4" s="7">
        <f>L2*L3</f>
        <v>3287.6908560000002</v>
      </c>
    </row>
    <row r="5" spans="2:13" x14ac:dyDescent="0.2">
      <c r="B5" s="5"/>
      <c r="C5" s="6"/>
      <c r="D5" s="6"/>
      <c r="E5" s="6"/>
      <c r="F5" s="12" t="s">
        <v>89</v>
      </c>
      <c r="G5" s="12"/>
      <c r="H5" s="12"/>
      <c r="I5" s="13"/>
      <c r="K5" t="s">
        <v>10</v>
      </c>
      <c r="L5" s="7">
        <v>360.08699999999999</v>
      </c>
      <c r="M5" s="8" t="s">
        <v>113</v>
      </c>
    </row>
    <row r="6" spans="2:13" x14ac:dyDescent="0.2">
      <c r="B6" s="2" t="s">
        <v>47</v>
      </c>
      <c r="E6" t="s">
        <v>48</v>
      </c>
      <c r="F6" s="15"/>
      <c r="G6" s="15"/>
      <c r="H6" s="15"/>
      <c r="I6" s="16"/>
      <c r="K6" t="s">
        <v>11</v>
      </c>
      <c r="L6" s="7">
        <f>92.809+364.025</f>
        <v>456.83399999999995</v>
      </c>
      <c r="M6" s="8" t="s">
        <v>113</v>
      </c>
    </row>
    <row r="7" spans="2:13" x14ac:dyDescent="0.2">
      <c r="B7" s="2" t="s">
        <v>49</v>
      </c>
      <c r="E7" t="s">
        <v>88</v>
      </c>
      <c r="F7" s="15" t="s">
        <v>90</v>
      </c>
      <c r="G7" s="15"/>
      <c r="H7" s="15"/>
      <c r="I7" s="16"/>
      <c r="K7" t="s">
        <v>12</v>
      </c>
      <c r="L7" s="7">
        <f>+L4-L5+L6</f>
        <v>3384.437856</v>
      </c>
    </row>
    <row r="8" spans="2:13" x14ac:dyDescent="0.2">
      <c r="B8" s="3" t="s">
        <v>122</v>
      </c>
      <c r="C8" s="4"/>
      <c r="D8" s="4"/>
      <c r="E8" s="4" t="s">
        <v>91</v>
      </c>
      <c r="F8" s="17" t="s">
        <v>92</v>
      </c>
      <c r="G8" s="17"/>
      <c r="H8" s="17"/>
      <c r="I8" s="18"/>
      <c r="K8" t="s">
        <v>71</v>
      </c>
      <c r="L8" s="7">
        <v>2941.5680000000002</v>
      </c>
      <c r="M8" s="8" t="s">
        <v>113</v>
      </c>
    </row>
    <row r="9" spans="2:13" x14ac:dyDescent="0.2">
      <c r="F9" s="15"/>
      <c r="G9" s="15"/>
      <c r="H9" s="15"/>
      <c r="I9" s="15"/>
      <c r="L9" s="7"/>
      <c r="M9" s="8"/>
    </row>
    <row r="10" spans="2:13" x14ac:dyDescent="0.2">
      <c r="G10" t="s">
        <v>111</v>
      </c>
      <c r="K10" t="s">
        <v>68</v>
      </c>
      <c r="L10">
        <v>2009</v>
      </c>
    </row>
    <row r="11" spans="2:13" x14ac:dyDescent="0.2">
      <c r="G11" s="22" t="s">
        <v>110</v>
      </c>
    </row>
    <row r="12" spans="2:13" x14ac:dyDescent="0.2">
      <c r="G12" s="22" t="s">
        <v>102</v>
      </c>
      <c r="K12" t="s">
        <v>86</v>
      </c>
    </row>
    <row r="13" spans="2:13" x14ac:dyDescent="0.2">
      <c r="G13" s="22" t="s">
        <v>109</v>
      </c>
      <c r="K13" t="s">
        <v>18</v>
      </c>
    </row>
    <row r="14" spans="2:13" x14ac:dyDescent="0.2">
      <c r="G14" s="22" t="s">
        <v>107</v>
      </c>
      <c r="K14" t="s">
        <v>25</v>
      </c>
    </row>
    <row r="15" spans="2:13" x14ac:dyDescent="0.2">
      <c r="G15" s="22" t="s">
        <v>105</v>
      </c>
      <c r="K15" t="s">
        <v>87</v>
      </c>
    </row>
    <row r="16" spans="2:13" x14ac:dyDescent="0.2">
      <c r="G16" s="22" t="s">
        <v>103</v>
      </c>
      <c r="K16" t="s">
        <v>104</v>
      </c>
    </row>
    <row r="17" spans="7:7" x14ac:dyDescent="0.2">
      <c r="G17" s="22" t="s">
        <v>101</v>
      </c>
    </row>
    <row r="18" spans="7:7" x14ac:dyDescent="0.2">
      <c r="G18" s="22" t="s">
        <v>100</v>
      </c>
    </row>
  </sheetData>
  <hyperlinks>
    <hyperlink ref="B4" location="Syfovre!A1" display="Syfovre" xr:uid="{F9D78289-C296-42AB-B102-2402619FF201}"/>
    <hyperlink ref="B3" location="Empaveli!A1" display="Empaveli" xr:uid="{E8576F7F-35CA-4147-9797-8325B39595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9619-7317-48A8-BEE2-EDC89FDCB0B3}">
  <dimension ref="A1:AP42"/>
  <sheetViews>
    <sheetView zoomScale="145" zoomScaleNormal="145" workbookViewId="0">
      <pane xSplit="2" ySplit="2" topLeftCell="AC3" activePane="bottomRight" state="frozen"/>
      <selection pane="topRight" activeCell="C1" sqref="C1"/>
      <selection pane="bottomLeft" activeCell="A5" sqref="A5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8"/>
  </cols>
  <sheetData>
    <row r="1" spans="1:42" x14ac:dyDescent="0.2">
      <c r="A1" s="9" t="s">
        <v>14</v>
      </c>
    </row>
    <row r="2" spans="1:42" x14ac:dyDescent="0.2">
      <c r="C2" s="8" t="s">
        <v>36</v>
      </c>
      <c r="D2" s="8" t="s">
        <v>37</v>
      </c>
      <c r="E2" s="8" t="s">
        <v>38</v>
      </c>
      <c r="F2" s="8" t="s">
        <v>39</v>
      </c>
      <c r="G2" s="8" t="s">
        <v>40</v>
      </c>
      <c r="H2" s="8" t="s">
        <v>41</v>
      </c>
      <c r="I2" s="8" t="s">
        <v>42</v>
      </c>
      <c r="J2" s="8" t="s">
        <v>43</v>
      </c>
      <c r="K2" s="8" t="s">
        <v>8</v>
      </c>
      <c r="L2" s="8" t="s">
        <v>44</v>
      </c>
      <c r="M2" s="8" t="s">
        <v>45</v>
      </c>
      <c r="N2" s="8" t="s">
        <v>46</v>
      </c>
      <c r="O2" s="8" t="s">
        <v>52</v>
      </c>
      <c r="P2" s="8" t="s">
        <v>53</v>
      </c>
      <c r="Q2" s="8" t="s">
        <v>54</v>
      </c>
      <c r="R2" s="8" t="s">
        <v>55</v>
      </c>
      <c r="S2" s="8" t="s">
        <v>114</v>
      </c>
      <c r="T2" s="8" t="s">
        <v>113</v>
      </c>
      <c r="U2" s="8" t="s">
        <v>115</v>
      </c>
      <c r="V2" s="8" t="s">
        <v>116</v>
      </c>
      <c r="W2" s="8"/>
      <c r="AB2">
        <v>2021</v>
      </c>
      <c r="AC2">
        <f>AB2+1</f>
        <v>2022</v>
      </c>
      <c r="AD2">
        <f t="shared" ref="AD2:AP2" si="0">AC2+1</f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</row>
    <row r="3" spans="1:42" x14ac:dyDescent="0.2">
      <c r="B3" t="s">
        <v>70</v>
      </c>
      <c r="N3" s="8">
        <v>0</v>
      </c>
      <c r="O3" s="19">
        <v>18.399999999999999</v>
      </c>
      <c r="P3" s="19">
        <v>67.3</v>
      </c>
      <c r="Q3" s="19">
        <v>75.3</v>
      </c>
      <c r="R3" s="19">
        <v>114.3</v>
      </c>
      <c r="S3" s="19">
        <v>137.5</v>
      </c>
      <c r="T3" s="19">
        <v>154.6</v>
      </c>
      <c r="U3" s="19">
        <f>+T3+25</f>
        <v>179.6</v>
      </c>
      <c r="V3" s="19">
        <f>+U3+25</f>
        <v>204.6</v>
      </c>
      <c r="W3" s="19"/>
      <c r="AD3" s="7">
        <f>SUM(O3:R3)</f>
        <v>275.3</v>
      </c>
      <c r="AE3" s="7">
        <f>SUM(S3:V3)</f>
        <v>676.30000000000007</v>
      </c>
      <c r="AF3" s="7">
        <f>AE3*1.5</f>
        <v>1014.45</v>
      </c>
      <c r="AG3" s="7">
        <f>AF3*1.1</f>
        <v>1115.8950000000002</v>
      </c>
      <c r="AH3" s="7">
        <f>AG3*1.1</f>
        <v>1227.4845000000003</v>
      </c>
      <c r="AI3" s="7">
        <f>+AH3*0.5</f>
        <v>613.74225000000013</v>
      </c>
      <c r="AJ3" s="7">
        <f t="shared" ref="AJ3:AP3" si="1">+AI3*0.1</f>
        <v>61.374225000000017</v>
      </c>
      <c r="AK3" s="7">
        <f t="shared" si="1"/>
        <v>6.1374225000000022</v>
      </c>
      <c r="AL3" s="7">
        <f t="shared" si="1"/>
        <v>0.61374225000000027</v>
      </c>
      <c r="AM3" s="7">
        <f t="shared" si="1"/>
        <v>6.1374225000000032E-2</v>
      </c>
      <c r="AN3" s="7">
        <f t="shared" si="1"/>
        <v>6.1374225000000032E-3</v>
      </c>
      <c r="AO3" s="7">
        <f t="shared" si="1"/>
        <v>6.1374225000000032E-4</v>
      </c>
      <c r="AP3" s="7">
        <f t="shared" si="1"/>
        <v>6.1374225000000035E-5</v>
      </c>
    </row>
    <row r="4" spans="1:42" s="7" customFormat="1" x14ac:dyDescent="0.2">
      <c r="B4" s="7" t="s">
        <v>26</v>
      </c>
      <c r="C4" s="19"/>
      <c r="D4" s="19"/>
      <c r="E4" s="19"/>
      <c r="F4" s="19"/>
      <c r="G4" s="19">
        <v>0</v>
      </c>
      <c r="H4" s="19"/>
      <c r="I4" s="19"/>
      <c r="J4" s="19"/>
      <c r="K4" s="19">
        <v>12.1</v>
      </c>
      <c r="L4" s="19"/>
      <c r="M4" s="19"/>
      <c r="N4" s="19">
        <v>19.7</v>
      </c>
      <c r="O4" s="7">
        <v>20.399999999999999</v>
      </c>
      <c r="P4" s="7">
        <f>O4+2</f>
        <v>22.4</v>
      </c>
      <c r="Q4" s="7">
        <v>23.9</v>
      </c>
      <c r="R4" s="7">
        <v>24.4</v>
      </c>
      <c r="S4" s="7">
        <v>25.6</v>
      </c>
      <c r="T4" s="7">
        <v>24.5</v>
      </c>
      <c r="U4" s="7">
        <f>+T4+1</f>
        <v>25.5</v>
      </c>
      <c r="V4" s="7">
        <f>+U4+1</f>
        <v>26.5</v>
      </c>
      <c r="AD4" s="7">
        <f>SUM(O4:R4)</f>
        <v>91.1</v>
      </c>
      <c r="AE4" s="7">
        <f>SUM(S4:V4)</f>
        <v>102.1</v>
      </c>
      <c r="AF4" s="7">
        <f t="shared" ref="AF4:AP4" si="2">AE4*1.01</f>
        <v>103.121</v>
      </c>
      <c r="AG4" s="7">
        <f t="shared" si="2"/>
        <v>104.15221</v>
      </c>
      <c r="AH4" s="7">
        <f t="shared" si="2"/>
        <v>105.19373209999999</v>
      </c>
      <c r="AI4" s="7">
        <f t="shared" si="2"/>
        <v>106.24566942099999</v>
      </c>
      <c r="AJ4" s="7">
        <f t="shared" si="2"/>
        <v>107.30812611520999</v>
      </c>
      <c r="AK4" s="7">
        <f t="shared" si="2"/>
        <v>108.38120737636208</v>
      </c>
      <c r="AL4" s="7">
        <f t="shared" si="2"/>
        <v>109.46501945012571</v>
      </c>
      <c r="AM4" s="7">
        <f t="shared" si="2"/>
        <v>110.55966964462696</v>
      </c>
      <c r="AN4" s="7">
        <f t="shared" si="2"/>
        <v>111.66526634107323</v>
      </c>
      <c r="AO4" s="7">
        <f t="shared" si="2"/>
        <v>112.78191900448397</v>
      </c>
      <c r="AP4" s="7">
        <f t="shared" si="2"/>
        <v>113.90973819452881</v>
      </c>
    </row>
    <row r="5" spans="1:42" s="7" customFormat="1" x14ac:dyDescent="0.2">
      <c r="B5" s="7" t="s">
        <v>57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>
        <v>3.01</v>
      </c>
      <c r="O5" s="7">
        <v>6.0460000000000003</v>
      </c>
      <c r="P5" s="7">
        <v>5.3239999999999998</v>
      </c>
      <c r="Q5" s="7">
        <v>11.217000000000001</v>
      </c>
      <c r="R5" s="7">
        <v>7.7220000000000004</v>
      </c>
      <c r="S5" s="7">
        <v>9.25</v>
      </c>
      <c r="T5" s="7">
        <v>20.548999999999999</v>
      </c>
      <c r="AD5" s="7">
        <f>SUM(O5:R5)</f>
        <v>30.309000000000005</v>
      </c>
      <c r="AE5" s="7">
        <f>SUM(S5:V5)</f>
        <v>29.798999999999999</v>
      </c>
    </row>
    <row r="6" spans="1:42" s="20" customFormat="1" x14ac:dyDescent="0.2">
      <c r="B6" s="20" t="s">
        <v>56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0">
        <f>N4+N5+N3</f>
        <v>22.71</v>
      </c>
      <c r="O6" s="20">
        <f>O4+O5+O3</f>
        <v>44.845999999999997</v>
      </c>
      <c r="P6" s="20">
        <f>P4+P5+P3</f>
        <v>95.024000000000001</v>
      </c>
      <c r="Q6" s="20">
        <f t="shared" ref="Q6:V6" si="3">Q4+Q5+Q3</f>
        <v>110.417</v>
      </c>
      <c r="R6" s="20">
        <f t="shared" si="3"/>
        <v>146.422</v>
      </c>
      <c r="S6" s="20">
        <f t="shared" si="3"/>
        <v>172.35</v>
      </c>
      <c r="T6" s="20">
        <f t="shared" si="3"/>
        <v>199.649</v>
      </c>
      <c r="U6" s="20">
        <f t="shared" si="3"/>
        <v>205.1</v>
      </c>
      <c r="V6" s="20">
        <f t="shared" si="3"/>
        <v>231.1</v>
      </c>
      <c r="AD6" s="20">
        <f>SUM(AD3:AD5)</f>
        <v>396.709</v>
      </c>
      <c r="AE6" s="20">
        <f t="shared" ref="AE6:AP6" si="4">SUM(AE3:AE5)</f>
        <v>808.19900000000007</v>
      </c>
      <c r="AF6" s="20">
        <f t="shared" si="4"/>
        <v>1117.5710000000001</v>
      </c>
      <c r="AG6" s="20">
        <f t="shared" si="4"/>
        <v>1220.0472100000002</v>
      </c>
      <c r="AH6" s="20">
        <f t="shared" si="4"/>
        <v>1332.6782321000003</v>
      </c>
      <c r="AI6" s="20">
        <f t="shared" si="4"/>
        <v>719.98791942100013</v>
      </c>
      <c r="AJ6" s="20">
        <f t="shared" si="4"/>
        <v>168.68235111521</v>
      </c>
      <c r="AK6" s="20">
        <f t="shared" si="4"/>
        <v>114.51862987636208</v>
      </c>
      <c r="AL6" s="20">
        <f t="shared" si="4"/>
        <v>110.07876170012571</v>
      </c>
      <c r="AM6" s="20">
        <f t="shared" si="4"/>
        <v>110.62104386962696</v>
      </c>
      <c r="AN6" s="20">
        <f t="shared" si="4"/>
        <v>111.67140376357324</v>
      </c>
      <c r="AO6" s="20">
        <f t="shared" si="4"/>
        <v>112.78253274673396</v>
      </c>
      <c r="AP6" s="20">
        <f t="shared" si="4"/>
        <v>113.90979956875381</v>
      </c>
    </row>
    <row r="7" spans="1:42" s="7" customFormat="1" x14ac:dyDescent="0.2">
      <c r="B7" s="7" t="s">
        <v>60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>
        <v>2.9249999999999998</v>
      </c>
      <c r="O7" s="7">
        <v>7.8090000000000002</v>
      </c>
      <c r="P7" s="7">
        <v>8.3789999999999996</v>
      </c>
      <c r="Q7" s="7">
        <v>22.41</v>
      </c>
      <c r="R7" s="7">
        <v>19.911999999999999</v>
      </c>
      <c r="S7" s="7">
        <v>20.209</v>
      </c>
      <c r="T7" s="7">
        <v>23.1</v>
      </c>
      <c r="U7" s="7">
        <f>+U6-U8</f>
        <v>20.509999999999991</v>
      </c>
      <c r="V7" s="7">
        <f>+V6-V8</f>
        <v>23.109999999999985</v>
      </c>
      <c r="AD7" s="7">
        <f>SUM(O7:R7)</f>
        <v>58.51</v>
      </c>
      <c r="AE7" s="7">
        <f>SUM(S7:V7)</f>
        <v>86.928999999999974</v>
      </c>
    </row>
    <row r="8" spans="1:42" s="7" customFormat="1" x14ac:dyDescent="0.2">
      <c r="B8" s="7" t="s">
        <v>61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>
        <f>+N6-N7</f>
        <v>19.785</v>
      </c>
      <c r="O8" s="7">
        <f>O6-O7</f>
        <v>37.036999999999999</v>
      </c>
      <c r="P8" s="7">
        <f>P6*0.85</f>
        <v>80.770399999999995</v>
      </c>
      <c r="Q8" s="7">
        <f>+Q6-Q7</f>
        <v>88.007000000000005</v>
      </c>
      <c r="R8" s="7">
        <f>+R6-R7</f>
        <v>126.50999999999999</v>
      </c>
      <c r="S8" s="7">
        <f>+S6-S7</f>
        <v>152.14099999999999</v>
      </c>
      <c r="T8" s="7">
        <f>+T6-T7</f>
        <v>176.54900000000001</v>
      </c>
      <c r="U8" s="7">
        <f>+U6*0.9</f>
        <v>184.59</v>
      </c>
      <c r="V8" s="7">
        <f>+V6*0.9</f>
        <v>207.99</v>
      </c>
      <c r="AD8" s="7">
        <f>+AD6-AD7</f>
        <v>338.19900000000001</v>
      </c>
      <c r="AE8" s="7">
        <f>+AE6-AE7</f>
        <v>721.2700000000001</v>
      </c>
      <c r="AF8" s="7">
        <f>+AF6*0.9</f>
        <v>1005.8139000000001</v>
      </c>
      <c r="AG8" s="7">
        <f>+AG6*0.9</f>
        <v>1098.0424890000002</v>
      </c>
      <c r="AH8" s="7">
        <f>+AH6*0.9</f>
        <v>1199.4104088900003</v>
      </c>
    </row>
    <row r="9" spans="1:42" s="7" customFormat="1" x14ac:dyDescent="0.2">
      <c r="B9" s="7" t="s">
        <v>62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>
        <v>99.423000000000002</v>
      </c>
      <c r="O9" s="7">
        <v>110.027</v>
      </c>
      <c r="P9" s="7">
        <v>95.658000000000001</v>
      </c>
      <c r="Q9" s="7">
        <v>79.421000000000006</v>
      </c>
      <c r="R9" s="7">
        <v>69.281999999999996</v>
      </c>
      <c r="S9" s="7">
        <v>84.700999999999993</v>
      </c>
      <c r="T9" s="7">
        <v>77.947000000000003</v>
      </c>
      <c r="AD9" s="7">
        <f>SUM(O9:R9)</f>
        <v>354.38799999999998</v>
      </c>
      <c r="AE9" s="7">
        <f>SUM(S9:V9)</f>
        <v>162.648</v>
      </c>
    </row>
    <row r="10" spans="1:42" s="7" customFormat="1" x14ac:dyDescent="0.2">
      <c r="B10" s="7" t="s">
        <v>63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>
        <v>84.367999999999995</v>
      </c>
      <c r="O10" s="7">
        <v>102.093</v>
      </c>
      <c r="P10" s="7">
        <v>111.373</v>
      </c>
      <c r="Q10" s="7">
        <v>145.648</v>
      </c>
      <c r="R10" s="7">
        <v>141.70099999999999</v>
      </c>
      <c r="S10" s="7">
        <v>129.505</v>
      </c>
      <c r="T10" s="7">
        <v>128.08099999999999</v>
      </c>
      <c r="U10" s="7">
        <f>+Q10</f>
        <v>145.648</v>
      </c>
      <c r="V10" s="7">
        <f>+R10</f>
        <v>141.70099999999999</v>
      </c>
      <c r="AD10" s="7">
        <f>SUM(O10:R10)</f>
        <v>500.81500000000005</v>
      </c>
      <c r="AE10" s="7">
        <f>SUM(S10:V10)</f>
        <v>544.93500000000006</v>
      </c>
      <c r="AF10" s="7">
        <f>+AE10*0.5</f>
        <v>272.46750000000003</v>
      </c>
      <c r="AG10" s="7">
        <f>+AF10*0.5</f>
        <v>136.23375000000001</v>
      </c>
      <c r="AH10" s="7">
        <f>+AG10*0.5</f>
        <v>68.116875000000007</v>
      </c>
    </row>
    <row r="11" spans="1:42" s="7" customFormat="1" x14ac:dyDescent="0.2">
      <c r="B11" s="7" t="s">
        <v>59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7">
        <f>N9+N10</f>
        <v>183.791</v>
      </c>
      <c r="O11" s="7">
        <f>O9+O10</f>
        <v>212.12</v>
      </c>
      <c r="P11" s="7">
        <f t="shared" ref="P11:R11" si="5">P9+P10</f>
        <v>207.03100000000001</v>
      </c>
      <c r="Q11" s="7">
        <f t="shared" si="5"/>
        <v>225.06900000000002</v>
      </c>
      <c r="R11" s="7">
        <f t="shared" si="5"/>
        <v>210.983</v>
      </c>
      <c r="S11" s="7">
        <f>+S9+S10</f>
        <v>214.20599999999999</v>
      </c>
      <c r="T11" s="7">
        <f>+T9+T10</f>
        <v>206.02799999999999</v>
      </c>
      <c r="U11" s="7">
        <f t="shared" ref="U11:V11" si="6">+U9+U10</f>
        <v>145.648</v>
      </c>
      <c r="V11" s="7">
        <f t="shared" si="6"/>
        <v>141.70099999999999</v>
      </c>
      <c r="AD11" s="7">
        <f>+AD10+AD9</f>
        <v>855.20299999999997</v>
      </c>
      <c r="AE11" s="7">
        <f>+AE10+AE9</f>
        <v>707.58300000000008</v>
      </c>
      <c r="AF11" s="7">
        <f t="shared" ref="AF11:AG11" si="7">+AF10+AF9</f>
        <v>272.46750000000003</v>
      </c>
      <c r="AG11" s="7">
        <f t="shared" si="7"/>
        <v>136.23375000000001</v>
      </c>
      <c r="AH11" s="7">
        <f t="shared" ref="AH11" si="8">+AH10+AH9</f>
        <v>68.116875000000007</v>
      </c>
    </row>
    <row r="12" spans="1:42" s="7" customFormat="1" x14ac:dyDescent="0.2">
      <c r="B12" s="7" t="s">
        <v>58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7">
        <f>N8-N11</f>
        <v>-164.006</v>
      </c>
      <c r="O12" s="7">
        <f>O8-O11</f>
        <v>-175.083</v>
      </c>
      <c r="P12" s="7">
        <f t="shared" ref="P12:R12" si="9">P8-P11</f>
        <v>-126.26060000000001</v>
      </c>
      <c r="Q12" s="7">
        <f t="shared" si="9"/>
        <v>-137.06200000000001</v>
      </c>
      <c r="R12" s="7">
        <f t="shared" si="9"/>
        <v>-84.473000000000013</v>
      </c>
      <c r="S12" s="7">
        <f>+S8-S11</f>
        <v>-62.064999999999998</v>
      </c>
      <c r="T12" s="7">
        <f>+T8-T11</f>
        <v>-29.478999999999985</v>
      </c>
      <c r="U12" s="7">
        <f t="shared" ref="U12:V12" si="10">+U8-U11</f>
        <v>38.942000000000007</v>
      </c>
      <c r="V12" s="7">
        <f t="shared" si="10"/>
        <v>66.289000000000016</v>
      </c>
      <c r="AD12" s="7">
        <f>+AD8-AD11</f>
        <v>-517.00399999999991</v>
      </c>
      <c r="AE12" s="7">
        <f>+AE8-AE11</f>
        <v>13.687000000000012</v>
      </c>
      <c r="AF12" s="7">
        <f t="shared" ref="AF12:AG12" si="11">+AF8-AF11</f>
        <v>733.34640000000013</v>
      </c>
      <c r="AG12" s="7">
        <f t="shared" si="11"/>
        <v>961.80873900000017</v>
      </c>
      <c r="AH12" s="7">
        <f t="shared" ref="AH12" si="12">+AH8-AH11</f>
        <v>1131.2935338900004</v>
      </c>
    </row>
    <row r="13" spans="1:42" s="7" customFormat="1" x14ac:dyDescent="0.2">
      <c r="B13" s="7" t="s">
        <v>67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>
        <f>4.575-7.738</f>
        <v>-3.1630000000000003</v>
      </c>
      <c r="O13" s="7">
        <f>5.393-7.529-0.277</f>
        <v>-2.4130000000000003</v>
      </c>
      <c r="P13" s="7">
        <f>6.002-7.341</f>
        <v>-1.3390000000000004</v>
      </c>
      <c r="Q13" s="7">
        <f>4.989-7.31</f>
        <v>-2.3209999999999997</v>
      </c>
      <c r="R13" s="7">
        <f>-7.402+4.548</f>
        <v>-2.8540000000000001</v>
      </c>
      <c r="S13" s="7">
        <f>3.303-6.967</f>
        <v>-3.6639999999999997</v>
      </c>
      <c r="T13" s="7">
        <f>3.184-9.359</f>
        <v>-6.1749999999999998</v>
      </c>
      <c r="AD13" s="7">
        <f>SUM(O13:R13)</f>
        <v>-8.9269999999999996</v>
      </c>
      <c r="AE13" s="7">
        <f>SUM(S13:V13)</f>
        <v>-9.8389999999999986</v>
      </c>
    </row>
    <row r="14" spans="1:42" s="7" customFormat="1" x14ac:dyDescent="0.2">
      <c r="B14" s="7" t="s">
        <v>66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7">
        <f>N12+N13</f>
        <v>-167.16900000000001</v>
      </c>
      <c r="O14" s="7">
        <f>O12+O13</f>
        <v>-177.49600000000001</v>
      </c>
      <c r="P14" s="7">
        <f t="shared" ref="P14:R14" si="13">P12+P13</f>
        <v>-127.59960000000001</v>
      </c>
      <c r="Q14" s="7">
        <f t="shared" si="13"/>
        <v>-139.38300000000001</v>
      </c>
      <c r="R14" s="7">
        <f t="shared" si="13"/>
        <v>-87.327000000000012</v>
      </c>
      <c r="S14" s="7">
        <f>+S12+S13</f>
        <v>-65.728999999999999</v>
      </c>
      <c r="T14" s="7">
        <f>+T12+T13</f>
        <v>-35.653999999999982</v>
      </c>
      <c r="U14" s="7">
        <f>+U12+U13</f>
        <v>38.942000000000007</v>
      </c>
      <c r="V14" s="7">
        <f>+V12+V13</f>
        <v>66.289000000000016</v>
      </c>
      <c r="AD14" s="7">
        <f>+AD12+AD13</f>
        <v>-525.93099999999993</v>
      </c>
      <c r="AE14" s="7">
        <f>+AE12+AE13</f>
        <v>3.8480000000000132</v>
      </c>
      <c r="AF14" s="7">
        <f t="shared" ref="AF14:AG14" si="14">+AF12+AF13</f>
        <v>733.34640000000013</v>
      </c>
      <c r="AG14" s="7">
        <f t="shared" si="14"/>
        <v>961.80873900000017</v>
      </c>
      <c r="AH14" s="7">
        <f t="shared" ref="AH14" si="15">+AH12+AH13</f>
        <v>1131.2935338900004</v>
      </c>
    </row>
    <row r="15" spans="1:42" s="7" customFormat="1" x14ac:dyDescent="0.2">
      <c r="B15" s="7" t="s">
        <v>65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7">
        <v>0.28199999999999997</v>
      </c>
      <c r="O15" s="7">
        <v>0.28199999999999997</v>
      </c>
      <c r="P15" s="7">
        <v>0.19400000000000001</v>
      </c>
      <c r="Q15" s="7">
        <v>0.23300000000000001</v>
      </c>
      <c r="R15" s="7">
        <v>1.423</v>
      </c>
      <c r="S15" s="7">
        <v>0.17</v>
      </c>
      <c r="T15" s="7">
        <v>0.114</v>
      </c>
      <c r="AD15" s="7">
        <f>SUM(O15:R15)</f>
        <v>2.1320000000000001</v>
      </c>
      <c r="AE15" s="7">
        <f>SUM(S15:V15)</f>
        <v>0.28400000000000003</v>
      </c>
      <c r="AF15" s="7">
        <f>+AF14*0.1</f>
        <v>73.334640000000022</v>
      </c>
      <c r="AG15" s="7">
        <f>+AG14*0.2</f>
        <v>192.36174780000005</v>
      </c>
      <c r="AH15" s="7">
        <f>+AH14*0.2</f>
        <v>226.25870677800009</v>
      </c>
    </row>
    <row r="16" spans="1:42" s="7" customFormat="1" x14ac:dyDescent="0.2">
      <c r="B16" s="7" t="s">
        <v>64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7">
        <v>-1.4710000000000001</v>
      </c>
      <c r="O16" s="7">
        <f>O14-O15</f>
        <v>-177.77800000000002</v>
      </c>
      <c r="P16" s="7">
        <f t="shared" ref="P16:R16" si="16">P14-P15</f>
        <v>-127.79360000000001</v>
      </c>
      <c r="Q16" s="7">
        <f t="shared" si="16"/>
        <v>-139.61600000000001</v>
      </c>
      <c r="R16" s="7">
        <f t="shared" si="16"/>
        <v>-88.750000000000014</v>
      </c>
      <c r="S16" s="7">
        <f>+S14-S15</f>
        <v>-65.899000000000001</v>
      </c>
      <c r="T16" s="7">
        <f>+T14-T15</f>
        <v>-35.767999999999979</v>
      </c>
      <c r="U16" s="7">
        <f>+U14-U15</f>
        <v>38.942000000000007</v>
      </c>
      <c r="V16" s="7">
        <f>+V14-V15</f>
        <v>66.289000000000016</v>
      </c>
      <c r="AD16" s="7">
        <f>+AD14-AD15</f>
        <v>-528.06299999999987</v>
      </c>
      <c r="AE16" s="7">
        <f>+AE14-AE15</f>
        <v>3.5640000000000134</v>
      </c>
      <c r="AF16" s="7">
        <f t="shared" ref="AF16:AG16" si="17">+AF14-AF15</f>
        <v>660.01176000000009</v>
      </c>
      <c r="AG16" s="7">
        <f t="shared" si="17"/>
        <v>769.44699120000018</v>
      </c>
      <c r="AH16" s="7">
        <f t="shared" ref="AH16" si="18">+AH14-AH15</f>
        <v>905.03482711200036</v>
      </c>
    </row>
    <row r="17" spans="2:34" x14ac:dyDescent="0.2">
      <c r="B17" s="7" t="s">
        <v>118</v>
      </c>
      <c r="N17" s="1">
        <f t="shared" ref="N17:V17" si="19">+N16/N18</f>
        <v>-1.3296694356814217E-2</v>
      </c>
      <c r="O17" s="1">
        <f t="shared" si="19"/>
        <v>-1.561209076858227</v>
      </c>
      <c r="P17" s="1">
        <f t="shared" si="19"/>
        <v>-1.0710516611351371</v>
      </c>
      <c r="Q17" s="1">
        <f t="shared" si="19"/>
        <v>-1.1606424367372727</v>
      </c>
      <c r="R17" s="1">
        <f t="shared" si="19"/>
        <v>-0.73206744093968601</v>
      </c>
      <c r="S17" s="1">
        <f t="shared" si="19"/>
        <v>-0.53595159283326699</v>
      </c>
      <c r="T17" s="1">
        <f t="shared" si="19"/>
        <v>-0.28867510330578494</v>
      </c>
      <c r="U17" s="1">
        <f t="shared" si="19"/>
        <v>0.31429170971074388</v>
      </c>
      <c r="V17" s="1">
        <f t="shared" si="19"/>
        <v>0.53500290547520679</v>
      </c>
      <c r="AD17" s="1">
        <f t="shared" ref="AD17:AH17" si="20">+AD16/AD18</f>
        <v>-4.4495441446603401</v>
      </c>
      <c r="AE17" s="1">
        <f t="shared" si="20"/>
        <v>2.8819271068128493E-2</v>
      </c>
      <c r="AF17" s="1">
        <f t="shared" si="20"/>
        <v>5.3369971435444725</v>
      </c>
      <c r="AG17" s="1">
        <f t="shared" si="20"/>
        <v>6.2219139764165554</v>
      </c>
      <c r="AH17" s="1">
        <f t="shared" si="20"/>
        <v>7.3183063997299236</v>
      </c>
    </row>
    <row r="18" spans="2:34" x14ac:dyDescent="0.2">
      <c r="B18" s="7" t="s">
        <v>117</v>
      </c>
      <c r="N18" s="7">
        <v>110.629</v>
      </c>
      <c r="O18" s="7">
        <v>113.872</v>
      </c>
      <c r="P18" s="7">
        <v>119.316</v>
      </c>
      <c r="Q18" s="7">
        <v>120.292</v>
      </c>
      <c r="R18" s="7">
        <v>121.232</v>
      </c>
      <c r="S18" s="7">
        <v>122.95699999999999</v>
      </c>
      <c r="T18" s="7">
        <v>123.904</v>
      </c>
      <c r="U18" s="7">
        <f>+T18</f>
        <v>123.904</v>
      </c>
      <c r="V18" s="7">
        <f>+U18</f>
        <v>123.904</v>
      </c>
      <c r="AD18" s="7">
        <f>AVERAGE(O18:R18)</f>
        <v>118.678</v>
      </c>
      <c r="AE18" s="7">
        <f>AVERAGE(S18:V18)</f>
        <v>123.66725</v>
      </c>
      <c r="AF18" s="7">
        <f>+AE18</f>
        <v>123.66725</v>
      </c>
      <c r="AG18" s="7">
        <f>+AF18</f>
        <v>123.66725</v>
      </c>
      <c r="AH18" s="7">
        <f t="shared" ref="AH18" si="21">+AG18</f>
        <v>123.66725</v>
      </c>
    </row>
    <row r="19" spans="2:34" x14ac:dyDescent="0.2">
      <c r="B19" s="7"/>
      <c r="T19" s="7"/>
    </row>
    <row r="20" spans="2:34" x14ac:dyDescent="0.2">
      <c r="B20" s="7" t="s">
        <v>119</v>
      </c>
      <c r="Q20" s="23"/>
      <c r="R20" s="23">
        <f>+R6/N6-1</f>
        <v>5.44746807573756</v>
      </c>
      <c r="S20" s="23">
        <f>+S6/O6-1</f>
        <v>2.8431521205904655</v>
      </c>
      <c r="T20" s="23">
        <f>+T6/P6-1</f>
        <v>1.1010376325980804</v>
      </c>
      <c r="U20" s="23">
        <f>+U6/Q6-1</f>
        <v>0.85750382640354283</v>
      </c>
      <c r="V20" s="23">
        <f>+V6/R6-1</f>
        <v>0.57831473412465328</v>
      </c>
    </row>
    <row r="21" spans="2:34" x14ac:dyDescent="0.2">
      <c r="B21" s="7" t="s">
        <v>112</v>
      </c>
      <c r="N21" s="23">
        <f>N8/N6</f>
        <v>0.87120211360634081</v>
      </c>
      <c r="O21" s="23">
        <f>O8/O6</f>
        <v>0.82587075770414309</v>
      </c>
      <c r="P21" s="23">
        <f t="shared" ref="P21:V21" si="22">P8/P6</f>
        <v>0.85</v>
      </c>
      <c r="Q21" s="23">
        <f t="shared" si="22"/>
        <v>0.79704212213698977</v>
      </c>
      <c r="R21" s="23">
        <f t="shared" si="22"/>
        <v>0.86400950676810861</v>
      </c>
      <c r="S21" s="23">
        <f t="shared" si="22"/>
        <v>0.88274441543371041</v>
      </c>
      <c r="T21" s="23">
        <f t="shared" si="22"/>
        <v>0.88429694113168611</v>
      </c>
      <c r="U21" s="23">
        <f t="shared" si="22"/>
        <v>0.9</v>
      </c>
      <c r="V21" s="23">
        <f t="shared" si="22"/>
        <v>0.9</v>
      </c>
      <c r="W21" s="23"/>
    </row>
    <row r="23" spans="2:34" x14ac:dyDescent="0.2">
      <c r="B23" s="7" t="s">
        <v>85</v>
      </c>
      <c r="O23" s="7">
        <f>O24-O38</f>
        <v>673.54899999999998</v>
      </c>
    </row>
    <row r="24" spans="2:34" x14ac:dyDescent="0.2">
      <c r="B24" t="s">
        <v>10</v>
      </c>
      <c r="O24" s="7">
        <f>765.083+1.275</f>
        <v>766.35799999999995</v>
      </c>
    </row>
    <row r="25" spans="2:34" x14ac:dyDescent="0.2">
      <c r="B25" t="s">
        <v>72</v>
      </c>
      <c r="O25" s="7">
        <v>31.504999999999999</v>
      </c>
    </row>
    <row r="26" spans="2:34" x14ac:dyDescent="0.2">
      <c r="B26" t="s">
        <v>73</v>
      </c>
      <c r="O26" s="7">
        <v>85.483999999999995</v>
      </c>
    </row>
    <row r="27" spans="2:34" x14ac:dyDescent="0.2">
      <c r="B27" t="s">
        <v>74</v>
      </c>
      <c r="O27" s="7">
        <v>36.558999999999997</v>
      </c>
    </row>
    <row r="28" spans="2:34" x14ac:dyDescent="0.2">
      <c r="B28" t="s">
        <v>75</v>
      </c>
      <c r="O28" s="7">
        <v>34.348999999999997</v>
      </c>
    </row>
    <row r="29" spans="2:34" x14ac:dyDescent="0.2">
      <c r="B29" t="s">
        <v>76</v>
      </c>
      <c r="O29" s="7">
        <v>17.853999999999999</v>
      </c>
    </row>
    <row r="30" spans="2:34" x14ac:dyDescent="0.2">
      <c r="B30" t="s">
        <v>77</v>
      </c>
      <c r="O30" s="7">
        <v>5.9669999999999996</v>
      </c>
    </row>
    <row r="31" spans="2:34" x14ac:dyDescent="0.2">
      <c r="B31" t="s">
        <v>78</v>
      </c>
      <c r="O31" s="7">
        <v>0.79300000000000004</v>
      </c>
    </row>
    <row r="32" spans="2:34" x14ac:dyDescent="0.2">
      <c r="B32" t="s">
        <v>79</v>
      </c>
      <c r="O32" s="7">
        <f>SUM(O24:O31)</f>
        <v>978.86900000000003</v>
      </c>
    </row>
    <row r="33" spans="2:15" x14ac:dyDescent="0.2">
      <c r="O33" s="7"/>
    </row>
    <row r="34" spans="2:15" x14ac:dyDescent="0.2">
      <c r="B34" t="s">
        <v>82</v>
      </c>
      <c r="O34" s="7">
        <v>31.494</v>
      </c>
    </row>
    <row r="35" spans="2:15" x14ac:dyDescent="0.2">
      <c r="B35" t="s">
        <v>83</v>
      </c>
      <c r="O35" s="7">
        <v>71.251000000000005</v>
      </c>
    </row>
    <row r="36" spans="2:15" x14ac:dyDescent="0.2">
      <c r="B36" t="s">
        <v>84</v>
      </c>
      <c r="O36" s="7">
        <f>30.071+321.713</f>
        <v>351.78400000000005</v>
      </c>
    </row>
    <row r="37" spans="2:15" x14ac:dyDescent="0.2">
      <c r="B37" t="s">
        <v>76</v>
      </c>
      <c r="O37" s="7">
        <f>5.828+13.233</f>
        <v>19.061</v>
      </c>
    </row>
    <row r="38" spans="2:15" x14ac:dyDescent="0.2">
      <c r="B38" t="s">
        <v>11</v>
      </c>
      <c r="O38" s="7">
        <v>92.808999999999997</v>
      </c>
    </row>
    <row r="39" spans="2:15" x14ac:dyDescent="0.2">
      <c r="B39" t="s">
        <v>78</v>
      </c>
      <c r="O39" s="7">
        <v>0.34699999999999998</v>
      </c>
    </row>
    <row r="40" spans="2:15" x14ac:dyDescent="0.2">
      <c r="B40" t="s">
        <v>81</v>
      </c>
      <c r="O40" s="7">
        <v>412.12299999999999</v>
      </c>
    </row>
    <row r="41" spans="2:15" x14ac:dyDescent="0.2">
      <c r="B41" t="s">
        <v>80</v>
      </c>
      <c r="O41" s="7">
        <f>SUM(O34:O40)</f>
        <v>978.86899999999991</v>
      </c>
    </row>
    <row r="42" spans="2:15" x14ac:dyDescent="0.2">
      <c r="O42" s="7"/>
    </row>
  </sheetData>
  <hyperlinks>
    <hyperlink ref="A1" location="Main!A1" display="Main" xr:uid="{DA17328F-64FB-4DF9-9BE3-2A05593A4F65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C44E-3A9A-47B3-8A31-8E621049E97B}">
  <dimension ref="A1:D28"/>
  <sheetViews>
    <sheetView tabSelected="1" zoomScale="175" zoomScaleNormal="175" workbookViewId="0">
      <selection activeCell="C11" sqref="C11"/>
    </sheetView>
  </sheetViews>
  <sheetFormatPr defaultRowHeight="12.75" x14ac:dyDescent="0.2"/>
  <cols>
    <col min="1" max="1" width="5" bestFit="1" customWidth="1"/>
    <col min="2" max="2" width="13.28515625" customWidth="1"/>
  </cols>
  <sheetData>
    <row r="1" spans="1:4" x14ac:dyDescent="0.2">
      <c r="A1" s="9" t="s">
        <v>14</v>
      </c>
    </row>
    <row r="2" spans="1:4" x14ac:dyDescent="0.2">
      <c r="B2" t="s">
        <v>1</v>
      </c>
      <c r="C2" t="s">
        <v>34</v>
      </c>
    </row>
    <row r="3" spans="1:4" x14ac:dyDescent="0.2">
      <c r="B3" t="s">
        <v>2</v>
      </c>
      <c r="C3" t="s">
        <v>3</v>
      </c>
    </row>
    <row r="4" spans="1:4" x14ac:dyDescent="0.2">
      <c r="B4" t="s">
        <v>4</v>
      </c>
      <c r="C4" t="s">
        <v>31</v>
      </c>
    </row>
    <row r="5" spans="1:4" x14ac:dyDescent="0.2">
      <c r="B5" t="s">
        <v>29</v>
      </c>
      <c r="C5" t="s">
        <v>32</v>
      </c>
    </row>
    <row r="6" spans="1:4" x14ac:dyDescent="0.2">
      <c r="B6" t="s">
        <v>6</v>
      </c>
      <c r="C6" t="s">
        <v>15</v>
      </c>
    </row>
    <row r="7" spans="1:4" x14ac:dyDescent="0.2">
      <c r="B7" t="s">
        <v>22</v>
      </c>
      <c r="C7" t="s">
        <v>94</v>
      </c>
    </row>
    <row r="8" spans="1:4" x14ac:dyDescent="0.2">
      <c r="B8" t="s">
        <v>27</v>
      </c>
      <c r="C8" t="s">
        <v>125</v>
      </c>
    </row>
    <row r="9" spans="1:4" x14ac:dyDescent="0.2">
      <c r="D9" t="s">
        <v>124</v>
      </c>
    </row>
    <row r="10" spans="1:4" x14ac:dyDescent="0.2">
      <c r="C10" t="s">
        <v>126</v>
      </c>
    </row>
    <row r="12" spans="1:4" x14ac:dyDescent="0.2">
      <c r="B12" t="s">
        <v>16</v>
      </c>
    </row>
    <row r="13" spans="1:4" x14ac:dyDescent="0.2">
      <c r="B13" t="s">
        <v>17</v>
      </c>
    </row>
    <row r="16" spans="1:4" x14ac:dyDescent="0.2">
      <c r="C16" s="10" t="s">
        <v>33</v>
      </c>
    </row>
    <row r="19" spans="3:3" x14ac:dyDescent="0.2">
      <c r="C19" s="10" t="s">
        <v>35</v>
      </c>
    </row>
    <row r="22" spans="3:3" x14ac:dyDescent="0.2">
      <c r="C22" s="10" t="s">
        <v>121</v>
      </c>
    </row>
    <row r="23" spans="3:3" x14ac:dyDescent="0.2">
      <c r="C23" t="s">
        <v>120</v>
      </c>
    </row>
    <row r="25" spans="3:3" x14ac:dyDescent="0.2">
      <c r="C25" s="10" t="s">
        <v>99</v>
      </c>
    </row>
    <row r="28" spans="3:3" x14ac:dyDescent="0.2">
      <c r="C28" t="s">
        <v>123</v>
      </c>
    </row>
  </sheetData>
  <hyperlinks>
    <hyperlink ref="A1" location="Main!A1" display="Main" xr:uid="{CC1467D0-E7D7-4B93-815E-D580539CEB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130A-B0D6-4EE5-8C86-27298758E817}">
  <dimension ref="A1:C14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9" t="s">
        <v>14</v>
      </c>
    </row>
    <row r="2" spans="1:3" x14ac:dyDescent="0.2">
      <c r="B2" t="s">
        <v>1</v>
      </c>
      <c r="C2" t="s">
        <v>70</v>
      </c>
    </row>
    <row r="3" spans="1:3" x14ac:dyDescent="0.2">
      <c r="B3" t="s">
        <v>4</v>
      </c>
      <c r="C3" t="s">
        <v>96</v>
      </c>
    </row>
    <row r="4" spans="1:3" x14ac:dyDescent="0.2">
      <c r="B4" t="s">
        <v>95</v>
      </c>
      <c r="C4" t="s">
        <v>106</v>
      </c>
    </row>
    <row r="5" spans="1:3" x14ac:dyDescent="0.2">
      <c r="B5" t="s">
        <v>97</v>
      </c>
      <c r="C5" t="s">
        <v>98</v>
      </c>
    </row>
    <row r="7" spans="1:3" x14ac:dyDescent="0.2">
      <c r="C7" s="10" t="s">
        <v>19</v>
      </c>
    </row>
    <row r="8" spans="1:3" x14ac:dyDescent="0.2">
      <c r="C8" t="s">
        <v>51</v>
      </c>
    </row>
    <row r="9" spans="1:3" x14ac:dyDescent="0.2">
      <c r="C9" t="s">
        <v>108</v>
      </c>
    </row>
    <row r="11" spans="1:3" x14ac:dyDescent="0.2">
      <c r="C11" s="10" t="s">
        <v>20</v>
      </c>
    </row>
    <row r="12" spans="1:3" x14ac:dyDescent="0.2">
      <c r="C12" t="s">
        <v>50</v>
      </c>
    </row>
    <row r="14" spans="1:3" x14ac:dyDescent="0.2">
      <c r="C14" s="10" t="s">
        <v>21</v>
      </c>
    </row>
  </sheetData>
  <hyperlinks>
    <hyperlink ref="A1" location="Main!A1" display="Main" xr:uid="{47222131-8AD3-4163-AFE9-A007369BBA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Empaveli</vt:lpstr>
      <vt:lpstr>Syfovre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2022-07-19T13:25:43Z</dcterms:created>
  <dcterms:modified xsi:type="dcterms:W3CDTF">2024-10-11T17:34:52Z</dcterms:modified>
</cp:coreProperties>
</file>