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AEDE7F42-8FBE-4935-B507-94F6D0C16D26}" xr6:coauthVersionLast="47" xr6:coauthVersionMax="47" xr10:uidLastSave="{00000000-0000-0000-0000-000000000000}"/>
  <bookViews>
    <workbookView xWindow="-50100" yWindow="2280" windowWidth="22875" windowHeight="18315" xr2:uid="{2734C5C3-33DF-4A68-91F9-B8E8FFD9BE4F}"/>
  </bookViews>
  <sheets>
    <sheet name="Main" sheetId="1" r:id="rId1"/>
    <sheet name="Model" sheetId="2" r:id="rId2"/>
    <sheet name="Skytrof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" i="2" l="1"/>
  <c r="R14" i="2" s="1"/>
  <c r="Q12" i="2"/>
  <c r="Q14" i="2"/>
  <c r="Y13" i="2"/>
  <c r="O19" i="2"/>
  <c r="M16" i="2"/>
  <c r="K6" i="1"/>
  <c r="K13" i="2"/>
  <c r="K14" i="2" s="1"/>
  <c r="O13" i="2"/>
  <c r="O14" i="2" s="1"/>
  <c r="O16" i="2" s="1"/>
  <c r="O20" i="2" s="1"/>
  <c r="P14" i="2"/>
  <c r="W13" i="2"/>
  <c r="Y26" i="2"/>
  <c r="Z26" i="2" s="1"/>
  <c r="AA26" i="2" s="1"/>
  <c r="AB26" i="2" s="1"/>
  <c r="AC26" i="2" s="1"/>
  <c r="AD26" i="2" s="1"/>
  <c r="AE26" i="2" s="1"/>
  <c r="X19" i="2"/>
  <c r="Y18" i="2"/>
  <c r="Y19" i="2" s="1"/>
  <c r="AA12" i="2"/>
  <c r="AB12" i="2" s="1"/>
  <c r="AC12" i="2" s="1"/>
  <c r="AD12" i="2" s="1"/>
  <c r="AE12" i="2" s="1"/>
  <c r="X12" i="2"/>
  <c r="W12" i="2"/>
  <c r="J14" i="2"/>
  <c r="K4" i="1"/>
  <c r="I19" i="2"/>
  <c r="I16" i="2"/>
  <c r="I20" i="2" s="1"/>
  <c r="W14" i="2" l="1"/>
  <c r="W15" i="2" s="1"/>
  <c r="W16" i="2" s="1"/>
  <c r="Z18" i="2"/>
  <c r="K7" i="1"/>
  <c r="M13" i="2" l="1"/>
  <c r="L14" i="2"/>
  <c r="AA18" i="2"/>
  <c r="Z19" i="2"/>
  <c r="AB18" i="2" l="1"/>
  <c r="AA19" i="2"/>
  <c r="M14" i="2"/>
  <c r="N13" i="2"/>
  <c r="N14" i="2" l="1"/>
  <c r="X13" i="2"/>
  <c r="AC18" i="2"/>
  <c r="AB19" i="2"/>
  <c r="AD18" i="2" l="1"/>
  <c r="AC19" i="2"/>
  <c r="X14" i="2"/>
  <c r="X15" i="2" l="1"/>
  <c r="X16" i="2" s="1"/>
  <c r="X20" i="2" s="1"/>
  <c r="X22" i="2" s="1"/>
  <c r="X24" i="2" s="1"/>
  <c r="X25" i="2" s="1"/>
  <c r="Z13" i="2"/>
  <c r="Y14" i="2"/>
  <c r="Y15" i="2" s="1"/>
  <c r="Y16" i="2" s="1"/>
  <c r="Y20" i="2" s="1"/>
  <c r="Y22" i="2" s="1"/>
  <c r="AE18" i="2"/>
  <c r="AE19" i="2" s="1"/>
  <c r="AD19" i="2"/>
  <c r="Y23" i="2" l="1"/>
  <c r="Y24" i="2" s="1"/>
  <c r="Y25" i="2" s="1"/>
  <c r="AA13" i="2"/>
  <c r="Z14" i="2"/>
  <c r="Z15" i="2" s="1"/>
  <c r="Z16" i="2" s="1"/>
  <c r="Z20" i="2" s="1"/>
  <c r="Z22" i="2" s="1"/>
  <c r="Z23" i="2" s="1"/>
  <c r="Z24" i="2" s="1"/>
  <c r="Z25" i="2" s="1"/>
  <c r="AB13" i="2" l="1"/>
  <c r="AA14" i="2"/>
  <c r="AA15" i="2" l="1"/>
  <c r="AA16" i="2" s="1"/>
  <c r="AA20" i="2" s="1"/>
  <c r="AA22" i="2" s="1"/>
  <c r="AA23" i="2" s="1"/>
  <c r="AA24" i="2" s="1"/>
  <c r="AA25" i="2" s="1"/>
  <c r="AC13" i="2"/>
  <c r="AB14" i="2"/>
  <c r="U2" i="2"/>
  <c r="V2" i="2" s="1"/>
  <c r="W2" i="2" s="1"/>
  <c r="X2" i="2" s="1"/>
  <c r="Y2" i="2" s="1"/>
  <c r="Z2" i="2" s="1"/>
  <c r="AA2" i="2" s="1"/>
  <c r="AB2" i="2" s="1"/>
  <c r="AC2" i="2" s="1"/>
  <c r="AD2" i="2" s="1"/>
  <c r="AE2" i="2" s="1"/>
  <c r="AB15" i="2" l="1"/>
  <c r="AB16" i="2"/>
  <c r="AB20" i="2" s="1"/>
  <c r="AB22" i="2" s="1"/>
  <c r="AB23" i="2" s="1"/>
  <c r="AB24" i="2" s="1"/>
  <c r="AB25" i="2" s="1"/>
  <c r="AD13" i="2"/>
  <c r="AC14" i="2"/>
  <c r="AC15" i="2" l="1"/>
  <c r="AC16" i="2" s="1"/>
  <c r="AC20" i="2" s="1"/>
  <c r="AC22" i="2" s="1"/>
  <c r="AC23" i="2" s="1"/>
  <c r="AC24" i="2" s="1"/>
  <c r="AC25" i="2" s="1"/>
  <c r="AE13" i="2"/>
  <c r="AE14" i="2" s="1"/>
  <c r="AE15" i="2" s="1"/>
  <c r="AE16" i="2" s="1"/>
  <c r="AE20" i="2" s="1"/>
  <c r="AE22" i="2" s="1"/>
  <c r="AE23" i="2" s="1"/>
  <c r="AE24" i="2" s="1"/>
  <c r="AD14" i="2"/>
  <c r="AD15" i="2" s="1"/>
  <c r="AD16" i="2" s="1"/>
  <c r="AD20" i="2" s="1"/>
  <c r="AD22" i="2" s="1"/>
  <c r="AD23" i="2" s="1"/>
  <c r="AD24" i="2" s="1"/>
  <c r="AD25" i="2" s="1"/>
  <c r="AF24" i="2" l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BP24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CG24" i="2" s="1"/>
  <c r="CH24" i="2" s="1"/>
  <c r="CI24" i="2" s="1"/>
  <c r="CJ24" i="2" s="1"/>
  <c r="AH28" i="2" s="1"/>
  <c r="AE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tc={0CE88FFB-E5D7-4C56-AFAF-949DB5590CBC}</author>
  </authors>
  <commentList>
    <comment ref="Y13" authorId="0" shapeId="0" xr:uid="{0CE88FFB-E5D7-4C56-AFAF-949DB5590CBC}">
      <text>
        <t>[Threaded comment]
Your version of Excel allows you to read this threaded comment; however, any edits to it will get removed if the file is opened in a newer version of Excel. Learn more: https://go.microsoft.com/fwlink/?linkid=870924
Comment:
    Q124 guidance: 320-340m
Q224 guidance: 220-240m!!!</t>
      </text>
    </comment>
  </commentList>
</comments>
</file>

<file path=xl/sharedStrings.xml><?xml version="1.0" encoding="utf-8"?>
<sst xmlns="http://schemas.openxmlformats.org/spreadsheetml/2006/main" count="79" uniqueCount="72">
  <si>
    <t>Price</t>
  </si>
  <si>
    <t>Shares</t>
  </si>
  <si>
    <t>MC</t>
  </si>
  <si>
    <t>Cash</t>
  </si>
  <si>
    <t>Debt</t>
  </si>
  <si>
    <t>EV</t>
  </si>
  <si>
    <t>Name</t>
  </si>
  <si>
    <t>Skytrokfa (lonapegsomatropin)</t>
  </si>
  <si>
    <t>Indication</t>
  </si>
  <si>
    <t>pediatric GHD</t>
  </si>
  <si>
    <t>PTH</t>
  </si>
  <si>
    <t>CNP</t>
  </si>
  <si>
    <t>Achondroplasia</t>
  </si>
  <si>
    <t>TLR7/8 agonist</t>
  </si>
  <si>
    <t>IL-2 beta/gamma</t>
  </si>
  <si>
    <t>Oncology</t>
  </si>
  <si>
    <t>Hypoparathyroidism</t>
  </si>
  <si>
    <t>Economics</t>
  </si>
  <si>
    <t>IP</t>
  </si>
  <si>
    <t>Admin</t>
  </si>
  <si>
    <t>Approved</t>
  </si>
  <si>
    <t>Phase</t>
  </si>
  <si>
    <t>Main</t>
  </si>
  <si>
    <t>Q121</t>
  </si>
  <si>
    <t>Q221</t>
  </si>
  <si>
    <t>Q321</t>
  </si>
  <si>
    <t>Q421</t>
  </si>
  <si>
    <t>Q122</t>
  </si>
  <si>
    <t>Q222</t>
  </si>
  <si>
    <t>Q322</t>
  </si>
  <si>
    <t>Q422</t>
  </si>
  <si>
    <t>Revenue</t>
  </si>
  <si>
    <t>Genotropin</t>
  </si>
  <si>
    <t>Nutropin</t>
  </si>
  <si>
    <t>once-weekly SC</t>
  </si>
  <si>
    <t>Saizen</t>
  </si>
  <si>
    <t>Humatrope</t>
  </si>
  <si>
    <t>Competition</t>
  </si>
  <si>
    <t>Genotropin (PFE), Humatrope (LLY), Norditropin (NVO)</t>
  </si>
  <si>
    <t>Norditropin</t>
  </si>
  <si>
    <t>Omnitrope</t>
  </si>
  <si>
    <t>Serostim</t>
  </si>
  <si>
    <t>Sogroya</t>
  </si>
  <si>
    <t>Skytrofa</t>
  </si>
  <si>
    <t>Q123</t>
  </si>
  <si>
    <t>Q223</t>
  </si>
  <si>
    <t>Q323</t>
  </si>
  <si>
    <t>Q423</t>
  </si>
  <si>
    <t>ranibizumab</t>
  </si>
  <si>
    <t>AMD</t>
  </si>
  <si>
    <t>2024 IND</t>
  </si>
  <si>
    <t>COGS</t>
  </si>
  <si>
    <t>Gross Profit</t>
  </si>
  <si>
    <t>R&amp;D</t>
  </si>
  <si>
    <t>SG&amp;A</t>
  </si>
  <si>
    <t>Operating Expenses</t>
  </si>
  <si>
    <t>Operating Income</t>
  </si>
  <si>
    <t>Taxes</t>
  </si>
  <si>
    <t>Pretax Income</t>
  </si>
  <si>
    <t>Interest</t>
  </si>
  <si>
    <t>Net Income</t>
  </si>
  <si>
    <t>EPS</t>
  </si>
  <si>
    <t>Discount</t>
  </si>
  <si>
    <t>Terminal</t>
  </si>
  <si>
    <t>NPV</t>
  </si>
  <si>
    <t>Yorvipath</t>
  </si>
  <si>
    <t>Q124</t>
  </si>
  <si>
    <t>Q224</t>
  </si>
  <si>
    <t>Q324</t>
  </si>
  <si>
    <t>Q424</t>
  </si>
  <si>
    <t>EURm</t>
  </si>
  <si>
    <t>MOA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</si>
</sst>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4" fontId="0" fillId="0" borderId="0" xfId="0" applyNumberFormat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0" xfId="0" applyAlignment="1">
      <alignment horizontal="right"/>
    </xf>
    <xf numFmtId="0" fontId="2" fillId="0" borderId="0" xfId="1"/>
    <xf numFmtId="3" fontId="0" fillId="0" borderId="0" xfId="0" applyNumberFormat="1"/>
    <xf numFmtId="3" fontId="0" fillId="0" borderId="0" xfId="0" applyNumberForma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0" fillId="0" borderId="2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A4F32344-C8B8-4AF8-BE35-523C667707C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21771</xdr:colOff>
      <xdr:row>0</xdr:row>
      <xdr:rowOff>27214</xdr:rowOff>
    </xdr:from>
    <xdr:to>
      <xdr:col>9</xdr:col>
      <xdr:colOff>21771</xdr:colOff>
      <xdr:row>30</xdr:row>
      <xdr:rowOff>87086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0FBF489-22FA-B557-F11F-2FC33D7C36AA}"/>
            </a:ext>
          </a:extLst>
        </xdr:cNvPr>
        <xdr:cNvCxnSpPr/>
      </xdr:nvCxnSpPr>
      <xdr:spPr>
        <a:xfrm>
          <a:off x="5829300" y="27214"/>
          <a:ext cx="0" cy="495844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32657</xdr:colOff>
      <xdr:row>0</xdr:row>
      <xdr:rowOff>0</xdr:rowOff>
    </xdr:from>
    <xdr:to>
      <xdr:col>23</xdr:col>
      <xdr:colOff>32657</xdr:colOff>
      <xdr:row>30</xdr:row>
      <xdr:rowOff>59872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1C0AEDC-28F4-4D9B-A91F-BF1D8E374B3F}"/>
            </a:ext>
          </a:extLst>
        </xdr:cNvPr>
        <xdr:cNvCxnSpPr/>
      </xdr:nvCxnSpPr>
      <xdr:spPr>
        <a:xfrm>
          <a:off x="12545786" y="0"/>
          <a:ext cx="0" cy="495844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ACC3FB49-5C7B-4BFE-B8C4-75712EBB28FF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Y13" dT="2024-09-05T02:18:36.27" personId="{ACC3FB49-5C7B-4BFE-B8C4-75712EBB28FF}" id="{0CE88FFB-E5D7-4C56-AFAF-949DB5590CBC}">
    <text>Q124 guidance: 320-340m
Q224 guidance: 220-240m!!!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E2054-6D94-40E2-B91A-78070665C073}">
  <dimension ref="B2:L13"/>
  <sheetViews>
    <sheetView tabSelected="1" zoomScale="130" zoomScaleNormal="130" workbookViewId="0">
      <selection activeCell="K5" sqref="K5"/>
    </sheetView>
  </sheetViews>
  <sheetFormatPr defaultRowHeight="12.75" x14ac:dyDescent="0.2"/>
  <cols>
    <col min="1" max="1" width="3.7109375" customWidth="1"/>
    <col min="2" max="2" width="27.7109375" customWidth="1"/>
    <col min="3" max="3" width="19.5703125" customWidth="1"/>
    <col min="4" max="4" width="11.28515625" customWidth="1"/>
    <col min="5" max="5" width="19.140625" customWidth="1"/>
    <col min="6" max="7" width="16.28515625" customWidth="1"/>
    <col min="9" max="9" width="6.7109375" customWidth="1"/>
  </cols>
  <sheetData>
    <row r="2" spans="2:12" x14ac:dyDescent="0.2">
      <c r="B2" s="2" t="s">
        <v>6</v>
      </c>
      <c r="C2" s="13" t="s">
        <v>8</v>
      </c>
      <c r="D2" s="13" t="s">
        <v>17</v>
      </c>
      <c r="E2" s="13" t="s">
        <v>19</v>
      </c>
      <c r="F2" s="13" t="s">
        <v>20</v>
      </c>
      <c r="G2" s="13" t="s">
        <v>71</v>
      </c>
      <c r="H2" s="17" t="s">
        <v>18</v>
      </c>
      <c r="J2" t="s">
        <v>0</v>
      </c>
      <c r="K2" s="1">
        <v>126.75</v>
      </c>
    </row>
    <row r="3" spans="2:12" x14ac:dyDescent="0.2">
      <c r="B3" s="3" t="s">
        <v>7</v>
      </c>
      <c r="C3" s="15" t="s">
        <v>9</v>
      </c>
      <c r="D3" s="15"/>
      <c r="E3" s="15" t="s">
        <v>34</v>
      </c>
      <c r="F3" s="14">
        <v>44433</v>
      </c>
      <c r="G3" s="14"/>
      <c r="H3" s="18"/>
      <c r="J3" t="s">
        <v>1</v>
      </c>
      <c r="K3" s="7">
        <v>58.231000000000002</v>
      </c>
      <c r="L3" s="5" t="s">
        <v>67</v>
      </c>
    </row>
    <row r="4" spans="2:12" x14ac:dyDescent="0.2">
      <c r="B4" s="3" t="s">
        <v>65</v>
      </c>
      <c r="C4" s="15" t="s">
        <v>16</v>
      </c>
      <c r="D4" s="15"/>
      <c r="E4" s="15"/>
      <c r="F4" s="14"/>
      <c r="G4" s="14" t="s">
        <v>10</v>
      </c>
      <c r="H4" s="18"/>
      <c r="J4" t="s">
        <v>2</v>
      </c>
      <c r="K4" s="7">
        <f>+K2*K3</f>
        <v>7380.7792500000005</v>
      </c>
      <c r="L4" s="5"/>
    </row>
    <row r="5" spans="2:12" x14ac:dyDescent="0.2">
      <c r="B5" s="2"/>
      <c r="C5" s="13"/>
      <c r="D5" s="13"/>
      <c r="E5" s="13"/>
      <c r="F5" s="13" t="s">
        <v>21</v>
      </c>
      <c r="G5" s="13"/>
      <c r="H5" s="17"/>
      <c r="J5" t="s">
        <v>3</v>
      </c>
      <c r="K5" s="7">
        <v>259</v>
      </c>
      <c r="L5" s="5" t="s">
        <v>67</v>
      </c>
    </row>
    <row r="6" spans="2:12" x14ac:dyDescent="0.2">
      <c r="B6" s="3"/>
      <c r="C6" s="15"/>
      <c r="D6" s="15"/>
      <c r="E6" s="15"/>
      <c r="F6" s="15"/>
      <c r="G6" s="15"/>
      <c r="H6" s="19"/>
      <c r="J6" t="s">
        <v>4</v>
      </c>
      <c r="K6" s="7">
        <f>219.052+432.19+21.397</f>
        <v>672.63900000000001</v>
      </c>
      <c r="L6" s="5" t="s">
        <v>67</v>
      </c>
    </row>
    <row r="7" spans="2:12" x14ac:dyDescent="0.2">
      <c r="B7" s="3" t="s">
        <v>11</v>
      </c>
      <c r="C7" s="15" t="s">
        <v>12</v>
      </c>
      <c r="D7" s="15"/>
      <c r="E7" s="15"/>
      <c r="F7" s="15"/>
      <c r="G7" s="15"/>
      <c r="H7" s="19"/>
      <c r="J7" t="s">
        <v>5</v>
      </c>
      <c r="K7" s="7">
        <f>+K4-K5+K6</f>
        <v>7794.4182500000006</v>
      </c>
    </row>
    <row r="8" spans="2:12" x14ac:dyDescent="0.2">
      <c r="B8" s="3" t="s">
        <v>13</v>
      </c>
      <c r="C8" s="15" t="s">
        <v>15</v>
      </c>
      <c r="D8" s="15"/>
      <c r="E8" s="15"/>
      <c r="F8" s="15"/>
      <c r="G8" s="15"/>
      <c r="H8" s="19"/>
    </row>
    <row r="9" spans="2:12" x14ac:dyDescent="0.2">
      <c r="B9" s="3" t="s">
        <v>14</v>
      </c>
      <c r="C9" s="15" t="s">
        <v>15</v>
      </c>
      <c r="D9" s="15"/>
      <c r="E9" s="15"/>
      <c r="F9" s="15"/>
      <c r="G9" s="15"/>
      <c r="H9" s="19"/>
    </row>
    <row r="10" spans="2:12" x14ac:dyDescent="0.2">
      <c r="B10" s="3" t="s">
        <v>48</v>
      </c>
      <c r="C10" s="15" t="s">
        <v>49</v>
      </c>
      <c r="D10" s="15"/>
      <c r="E10" s="15"/>
      <c r="F10" s="15" t="s">
        <v>50</v>
      </c>
      <c r="G10" s="15"/>
      <c r="H10" s="19"/>
    </row>
    <row r="11" spans="2:12" x14ac:dyDescent="0.2">
      <c r="B11" s="3"/>
      <c r="C11" s="15"/>
      <c r="D11" s="15"/>
      <c r="E11" s="15"/>
      <c r="F11" s="15"/>
      <c r="G11" s="15"/>
      <c r="H11" s="19"/>
    </row>
    <row r="12" spans="2:12" x14ac:dyDescent="0.2">
      <c r="B12" s="3"/>
      <c r="C12" s="15"/>
      <c r="D12" s="15"/>
      <c r="E12" s="15"/>
      <c r="F12" s="15"/>
      <c r="G12" s="15"/>
      <c r="H12" s="19"/>
    </row>
    <row r="13" spans="2:12" x14ac:dyDescent="0.2">
      <c r="B13" s="4"/>
      <c r="C13" s="16"/>
      <c r="D13" s="16"/>
      <c r="E13" s="16"/>
      <c r="F13" s="16"/>
      <c r="G13" s="16"/>
      <c r="H13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E991-EB13-4971-84D4-47487AF983B8}">
  <dimension ref="A1:CJ28"/>
  <sheetViews>
    <sheetView zoomScale="175" zoomScaleNormal="175" workbookViewId="0">
      <pane xSplit="2" ySplit="2" topLeftCell="M3" activePane="bottomRight" state="frozen"/>
      <selection pane="topRight" activeCell="C1" sqref="C1"/>
      <selection pane="bottomLeft" activeCell="A3" sqref="A3"/>
      <selection pane="bottomRight" activeCell="V12" sqref="V12"/>
    </sheetView>
  </sheetViews>
  <sheetFormatPr defaultRowHeight="12.75" x14ac:dyDescent="0.2"/>
  <cols>
    <col min="1" max="1" width="5" bestFit="1" customWidth="1"/>
    <col min="2" max="2" width="18.140625" bestFit="1" customWidth="1"/>
    <col min="3" max="17" width="9.140625" style="5"/>
    <col min="34" max="34" width="10" bestFit="1" customWidth="1"/>
  </cols>
  <sheetData>
    <row r="1" spans="1:31" x14ac:dyDescent="0.2">
      <c r="A1" s="6" t="s">
        <v>22</v>
      </c>
    </row>
    <row r="2" spans="1:31" x14ac:dyDescent="0.2">
      <c r="B2" t="s">
        <v>70</v>
      </c>
      <c r="C2" s="5" t="s">
        <v>23</v>
      </c>
      <c r="D2" s="5" t="s">
        <v>24</v>
      </c>
      <c r="E2" s="5" t="s">
        <v>25</v>
      </c>
      <c r="F2" s="5" t="s">
        <v>26</v>
      </c>
      <c r="G2" s="5" t="s">
        <v>27</v>
      </c>
      <c r="H2" s="5" t="s">
        <v>28</v>
      </c>
      <c r="I2" s="5" t="s">
        <v>29</v>
      </c>
      <c r="J2" s="5" t="s">
        <v>30</v>
      </c>
      <c r="K2" s="5" t="s">
        <v>44</v>
      </c>
      <c r="L2" s="5" t="s">
        <v>45</v>
      </c>
      <c r="M2" s="5" t="s">
        <v>46</v>
      </c>
      <c r="N2" s="5" t="s">
        <v>47</v>
      </c>
      <c r="O2" s="5" t="s">
        <v>66</v>
      </c>
      <c r="P2" s="5" t="s">
        <v>67</v>
      </c>
      <c r="Q2" s="5" t="s">
        <v>68</v>
      </c>
      <c r="R2" s="5" t="s">
        <v>69</v>
      </c>
      <c r="T2">
        <v>2019</v>
      </c>
      <c r="U2">
        <f>+T2+1</f>
        <v>2020</v>
      </c>
      <c r="V2">
        <f t="shared" ref="V2:AA2" si="0">+U2+1</f>
        <v>2021</v>
      </c>
      <c r="W2">
        <f t="shared" si="0"/>
        <v>2022</v>
      </c>
      <c r="X2">
        <f t="shared" si="0"/>
        <v>2023</v>
      </c>
      <c r="Y2">
        <f t="shared" si="0"/>
        <v>2024</v>
      </c>
      <c r="Z2">
        <f t="shared" si="0"/>
        <v>2025</v>
      </c>
      <c r="AA2">
        <f t="shared" si="0"/>
        <v>2026</v>
      </c>
      <c r="AB2">
        <f>+AA2+1</f>
        <v>2027</v>
      </c>
      <c r="AC2">
        <f>+AB2+1</f>
        <v>2028</v>
      </c>
      <c r="AD2">
        <f>+AC2+1</f>
        <v>2029</v>
      </c>
      <c r="AE2">
        <f>+AD2+1</f>
        <v>2030</v>
      </c>
    </row>
    <row r="3" spans="1:31" s="7" customFormat="1" x14ac:dyDescent="0.2">
      <c r="B3" s="7" t="s">
        <v>32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T3" s="7">
        <v>498</v>
      </c>
      <c r="U3" s="7">
        <v>428</v>
      </c>
      <c r="V3" s="7">
        <v>390</v>
      </c>
      <c r="W3" s="7">
        <v>360</v>
      </c>
    </row>
    <row r="4" spans="1:31" s="7" customFormat="1" x14ac:dyDescent="0.2">
      <c r="B4" s="7" t="s">
        <v>35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W4" s="7">
        <v>240</v>
      </c>
    </row>
    <row r="5" spans="1:31" s="7" customFormat="1" x14ac:dyDescent="0.2">
      <c r="B5" s="7" t="s">
        <v>39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W5" s="7">
        <v>1000</v>
      </c>
    </row>
    <row r="6" spans="1:31" s="7" customFormat="1" x14ac:dyDescent="0.2">
      <c r="B6" s="7" t="s">
        <v>33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W6" s="7">
        <v>250</v>
      </c>
    </row>
    <row r="7" spans="1:31" s="7" customFormat="1" x14ac:dyDescent="0.2">
      <c r="B7" s="7" t="s">
        <v>40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W7" s="7">
        <v>100</v>
      </c>
    </row>
    <row r="8" spans="1:31" s="7" customFormat="1" x14ac:dyDescent="0.2">
      <c r="B8" s="7" t="s">
        <v>41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W8" s="7">
        <v>100</v>
      </c>
    </row>
    <row r="9" spans="1:31" s="7" customFormat="1" x14ac:dyDescent="0.2">
      <c r="B9" s="7" t="s">
        <v>42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W9" s="7">
        <v>5</v>
      </c>
    </row>
    <row r="10" spans="1:31" s="7" customFormat="1" x14ac:dyDescent="0.2">
      <c r="B10" s="7" t="s">
        <v>36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W10" s="7">
        <v>100</v>
      </c>
    </row>
    <row r="11" spans="1:31" s="7" customFormat="1" x14ac:dyDescent="0.2"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31" s="7" customFormat="1" x14ac:dyDescent="0.2">
      <c r="B12" s="7" t="s">
        <v>10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10"/>
      <c r="N12" s="10"/>
      <c r="O12" s="10">
        <v>1.4990000000000001</v>
      </c>
      <c r="P12" s="10">
        <v>5.2</v>
      </c>
      <c r="Q12" s="10">
        <f>+P12+5</f>
        <v>10.199999999999999</v>
      </c>
      <c r="R12" s="10">
        <f>+Q12+5</f>
        <v>15.2</v>
      </c>
      <c r="W12" s="9">
        <f t="shared" ref="W12" si="1">SUM(G12:J12)</f>
        <v>0</v>
      </c>
      <c r="X12" s="9">
        <f t="shared" ref="X12" si="2">SUM(K12:N12)</f>
        <v>0</v>
      </c>
      <c r="Y12" s="9">
        <v>50</v>
      </c>
      <c r="Z12" s="9">
        <v>100</v>
      </c>
      <c r="AA12" s="9">
        <f>+Z12*1.1</f>
        <v>110.00000000000001</v>
      </c>
      <c r="AB12" s="9">
        <f>+AA12*1.1</f>
        <v>121.00000000000003</v>
      </c>
      <c r="AC12" s="9">
        <f>+AB12*1.1</f>
        <v>133.10000000000005</v>
      </c>
      <c r="AD12" s="9">
        <f>+AC12*1.1</f>
        <v>146.41000000000008</v>
      </c>
      <c r="AE12" s="9">
        <f>+AD12*1.1</f>
        <v>161.0510000000001</v>
      </c>
    </row>
    <row r="13" spans="1:31" s="9" customFormat="1" x14ac:dyDescent="0.2">
      <c r="B13" s="9" t="s">
        <v>43</v>
      </c>
      <c r="C13" s="10"/>
      <c r="D13" s="10"/>
      <c r="E13" s="10"/>
      <c r="F13" s="10"/>
      <c r="G13" s="10">
        <v>1.9</v>
      </c>
      <c r="H13" s="10">
        <v>4.4000000000000004</v>
      </c>
      <c r="I13" s="10">
        <v>12.3</v>
      </c>
      <c r="J13" s="10">
        <v>17.100000000000001</v>
      </c>
      <c r="K13" s="10">
        <f>67.4-L13</f>
        <v>31.500000000000007</v>
      </c>
      <c r="L13" s="10">
        <v>35.9</v>
      </c>
      <c r="M13" s="10">
        <f>+L13+5</f>
        <v>40.9</v>
      </c>
      <c r="N13" s="10">
        <f>+M13+5</f>
        <v>45.9</v>
      </c>
      <c r="O13" s="10">
        <f>91.2-P13</f>
        <v>65</v>
      </c>
      <c r="P13" s="10">
        <v>26.2</v>
      </c>
      <c r="Q13" s="10">
        <v>70</v>
      </c>
      <c r="R13" s="9">
        <v>75</v>
      </c>
      <c r="W13" s="9">
        <f>SUM(G13:J13)</f>
        <v>35.700000000000003</v>
      </c>
      <c r="X13" s="9">
        <f>SUM(K13:N13)</f>
        <v>154.20000000000002</v>
      </c>
      <c r="Y13" s="9">
        <f>SUM(O13:R13)</f>
        <v>236.2</v>
      </c>
      <c r="Z13" s="9">
        <f>+Y13*1.5</f>
        <v>354.29999999999995</v>
      </c>
      <c r="AA13" s="9">
        <f>+Z13*1.3</f>
        <v>460.59</v>
      </c>
      <c r="AB13" s="9">
        <f>+AA13*1.3</f>
        <v>598.76699999999994</v>
      </c>
      <c r="AC13" s="9">
        <f>+AB13*1.1</f>
        <v>658.64369999999997</v>
      </c>
      <c r="AD13" s="9">
        <f>+AC13*1.1</f>
        <v>724.50806999999998</v>
      </c>
      <c r="AE13" s="9">
        <f>+AD13*1.05</f>
        <v>760.73347350000006</v>
      </c>
    </row>
    <row r="14" spans="1:31" s="11" customFormat="1" x14ac:dyDescent="0.2">
      <c r="B14" s="11" t="s">
        <v>31</v>
      </c>
      <c r="C14" s="12"/>
      <c r="D14" s="12"/>
      <c r="E14" s="12"/>
      <c r="F14" s="12"/>
      <c r="G14" s="12"/>
      <c r="H14" s="12"/>
      <c r="I14" s="12">
        <v>15.29</v>
      </c>
      <c r="J14" s="12">
        <f>+J13+J12</f>
        <v>17.100000000000001</v>
      </c>
      <c r="K14" s="12">
        <f t="shared" ref="K14:R14" si="3">+K13+K12</f>
        <v>31.500000000000007</v>
      </c>
      <c r="L14" s="12">
        <f t="shared" si="3"/>
        <v>35.9</v>
      </c>
      <c r="M14" s="12">
        <f t="shared" si="3"/>
        <v>40.9</v>
      </c>
      <c r="N14" s="12">
        <f t="shared" si="3"/>
        <v>45.9</v>
      </c>
      <c r="O14" s="12">
        <f t="shared" si="3"/>
        <v>66.498999999999995</v>
      </c>
      <c r="P14" s="12">
        <f t="shared" si="3"/>
        <v>31.4</v>
      </c>
      <c r="Q14" s="12">
        <f t="shared" si="3"/>
        <v>80.2</v>
      </c>
      <c r="R14" s="12">
        <f t="shared" si="3"/>
        <v>90.2</v>
      </c>
      <c r="W14" s="11">
        <f>+W13+W12</f>
        <v>35.700000000000003</v>
      </c>
      <c r="X14" s="11">
        <f>+X13+X12</f>
        <v>154.20000000000002</v>
      </c>
      <c r="Y14" s="11">
        <f t="shared" ref="Y14:AE14" si="4">+Y13+Y12</f>
        <v>286.2</v>
      </c>
      <c r="Z14" s="11">
        <f t="shared" si="4"/>
        <v>454.29999999999995</v>
      </c>
      <c r="AA14" s="11">
        <f t="shared" si="4"/>
        <v>570.59</v>
      </c>
      <c r="AB14" s="11">
        <f t="shared" si="4"/>
        <v>719.76699999999994</v>
      </c>
      <c r="AC14" s="11">
        <f t="shared" si="4"/>
        <v>791.74369999999999</v>
      </c>
      <c r="AD14" s="11">
        <f t="shared" si="4"/>
        <v>870.91807000000006</v>
      </c>
      <c r="AE14" s="11">
        <f t="shared" si="4"/>
        <v>921.7844735000001</v>
      </c>
    </row>
    <row r="15" spans="1:31" s="9" customFormat="1" x14ac:dyDescent="0.2">
      <c r="B15" s="9" t="s">
        <v>51</v>
      </c>
      <c r="C15" s="10"/>
      <c r="D15" s="10"/>
      <c r="E15" s="10"/>
      <c r="F15" s="10"/>
      <c r="G15" s="10"/>
      <c r="H15" s="10"/>
      <c r="I15" s="10">
        <v>1.6930000000000001</v>
      </c>
      <c r="J15" s="10"/>
      <c r="K15" s="10"/>
      <c r="L15" s="10"/>
      <c r="M15" s="10"/>
      <c r="N15" s="10"/>
      <c r="O15" s="10">
        <v>7.569</v>
      </c>
      <c r="P15" s="10"/>
      <c r="Q15" s="10"/>
      <c r="W15" s="9">
        <f>+W14*0.1</f>
        <v>3.5700000000000003</v>
      </c>
      <c r="X15" s="9">
        <f>+X14*0.1</f>
        <v>15.420000000000002</v>
      </c>
      <c r="Y15" s="9">
        <f t="shared" ref="Y15:AE15" si="5">+Y14*0.1</f>
        <v>28.62</v>
      </c>
      <c r="Z15" s="9">
        <f t="shared" si="5"/>
        <v>45.43</v>
      </c>
      <c r="AA15" s="9">
        <f t="shared" si="5"/>
        <v>57.059000000000005</v>
      </c>
      <c r="AB15" s="9">
        <f t="shared" si="5"/>
        <v>71.976699999999994</v>
      </c>
      <c r="AC15" s="9">
        <f t="shared" si="5"/>
        <v>79.17437000000001</v>
      </c>
      <c r="AD15" s="9">
        <f t="shared" si="5"/>
        <v>87.091807000000017</v>
      </c>
      <c r="AE15" s="9">
        <f t="shared" si="5"/>
        <v>92.178447350000013</v>
      </c>
    </row>
    <row r="16" spans="1:31" s="9" customFormat="1" x14ac:dyDescent="0.2">
      <c r="B16" s="9" t="s">
        <v>52</v>
      </c>
      <c r="C16" s="10"/>
      <c r="D16" s="10"/>
      <c r="E16" s="10"/>
      <c r="F16" s="10"/>
      <c r="G16" s="10"/>
      <c r="H16" s="10"/>
      <c r="I16" s="10">
        <f>+I14-I15</f>
        <v>13.597</v>
      </c>
      <c r="J16" s="10"/>
      <c r="K16" s="10"/>
      <c r="L16" s="10"/>
      <c r="M16" s="10">
        <f>+M14-M15</f>
        <v>40.9</v>
      </c>
      <c r="N16" s="10"/>
      <c r="O16" s="10">
        <f>+O14-O15</f>
        <v>58.929999999999993</v>
      </c>
      <c r="P16" s="10"/>
      <c r="Q16" s="10"/>
      <c r="W16" s="9">
        <f>+W14-W15</f>
        <v>32.130000000000003</v>
      </c>
      <c r="X16" s="9">
        <f>+X14-X15</f>
        <v>138.78000000000003</v>
      </c>
      <c r="Y16" s="9">
        <f t="shared" ref="Y16:AE16" si="6">+Y14-Y15</f>
        <v>257.58</v>
      </c>
      <c r="Z16" s="9">
        <f t="shared" si="6"/>
        <v>408.86999999999995</v>
      </c>
      <c r="AA16" s="9">
        <f t="shared" si="6"/>
        <v>513.53100000000006</v>
      </c>
      <c r="AB16" s="9">
        <f t="shared" si="6"/>
        <v>647.79029999999989</v>
      </c>
      <c r="AC16" s="9">
        <f t="shared" si="6"/>
        <v>712.56933000000004</v>
      </c>
      <c r="AD16" s="9">
        <f t="shared" si="6"/>
        <v>783.82626300000004</v>
      </c>
      <c r="AE16" s="9">
        <f t="shared" si="6"/>
        <v>829.60602615000005</v>
      </c>
    </row>
    <row r="17" spans="2:88" s="9" customFormat="1" x14ac:dyDescent="0.2">
      <c r="B17" s="9" t="s">
        <v>53</v>
      </c>
      <c r="C17" s="10"/>
      <c r="D17" s="10"/>
      <c r="E17" s="10"/>
      <c r="F17" s="10"/>
      <c r="G17" s="10"/>
      <c r="H17" s="10"/>
      <c r="I17" s="10">
        <v>97.430999999999997</v>
      </c>
      <c r="J17" s="10"/>
      <c r="K17" s="10"/>
      <c r="L17" s="10"/>
      <c r="M17" s="10"/>
      <c r="N17" s="10"/>
      <c r="O17" s="10">
        <v>70.686999999999998</v>
      </c>
      <c r="P17" s="10"/>
      <c r="Q17" s="10"/>
    </row>
    <row r="18" spans="2:88" s="9" customFormat="1" x14ac:dyDescent="0.2">
      <c r="B18" s="9" t="s">
        <v>54</v>
      </c>
      <c r="C18" s="10"/>
      <c r="D18" s="10"/>
      <c r="E18" s="10"/>
      <c r="F18" s="10"/>
      <c r="G18" s="10"/>
      <c r="H18" s="10"/>
      <c r="I18" s="10">
        <v>60.670999999999999</v>
      </c>
      <c r="J18" s="10"/>
      <c r="K18" s="10"/>
      <c r="L18" s="10"/>
      <c r="M18" s="10"/>
      <c r="N18" s="10"/>
      <c r="O18" s="10">
        <v>66.783000000000001</v>
      </c>
      <c r="P18" s="10"/>
      <c r="Q18" s="10"/>
      <c r="X18" s="9">
        <v>200</v>
      </c>
      <c r="Y18" s="9">
        <f>+X18*1.01</f>
        <v>202</v>
      </c>
      <c r="Z18" s="9">
        <f t="shared" ref="Z18:AE18" si="7">+Y18*1.01</f>
        <v>204.02</v>
      </c>
      <c r="AA18" s="9">
        <f t="shared" si="7"/>
        <v>206.06020000000001</v>
      </c>
      <c r="AB18" s="9">
        <f t="shared" si="7"/>
        <v>208.120802</v>
      </c>
      <c r="AC18" s="9">
        <f t="shared" si="7"/>
        <v>210.20201001999999</v>
      </c>
      <c r="AD18" s="9">
        <f t="shared" si="7"/>
        <v>212.3040301202</v>
      </c>
      <c r="AE18" s="9">
        <f t="shared" si="7"/>
        <v>214.42707042140199</v>
      </c>
    </row>
    <row r="19" spans="2:88" s="9" customFormat="1" x14ac:dyDescent="0.2">
      <c r="B19" s="9" t="s">
        <v>55</v>
      </c>
      <c r="C19" s="10"/>
      <c r="D19" s="10"/>
      <c r="E19" s="10"/>
      <c r="F19" s="10"/>
      <c r="G19" s="10"/>
      <c r="H19" s="10"/>
      <c r="I19" s="10">
        <f>+I17+I18</f>
        <v>158.102</v>
      </c>
      <c r="J19" s="10"/>
      <c r="K19" s="10"/>
      <c r="L19" s="10"/>
      <c r="M19" s="10"/>
      <c r="N19" s="10"/>
      <c r="O19" s="10">
        <f>+O17+O18</f>
        <v>137.47</v>
      </c>
      <c r="P19" s="10"/>
      <c r="Q19" s="10"/>
      <c r="X19" s="9">
        <f>+X18</f>
        <v>200</v>
      </c>
      <c r="Y19" s="9">
        <f t="shared" ref="Y19:AE19" si="8">+Y18</f>
        <v>202</v>
      </c>
      <c r="Z19" s="9">
        <f t="shared" si="8"/>
        <v>204.02</v>
      </c>
      <c r="AA19" s="9">
        <f t="shared" si="8"/>
        <v>206.06020000000001</v>
      </c>
      <c r="AB19" s="9">
        <f t="shared" si="8"/>
        <v>208.120802</v>
      </c>
      <c r="AC19" s="9">
        <f t="shared" si="8"/>
        <v>210.20201001999999</v>
      </c>
      <c r="AD19" s="9">
        <f t="shared" si="8"/>
        <v>212.3040301202</v>
      </c>
      <c r="AE19" s="9">
        <f t="shared" si="8"/>
        <v>214.42707042140199</v>
      </c>
    </row>
    <row r="20" spans="2:88" s="9" customFormat="1" x14ac:dyDescent="0.2">
      <c r="B20" s="9" t="s">
        <v>56</v>
      </c>
      <c r="C20" s="10"/>
      <c r="D20" s="10"/>
      <c r="E20" s="10"/>
      <c r="F20" s="10"/>
      <c r="G20" s="10"/>
      <c r="H20" s="10"/>
      <c r="I20" s="10">
        <f>+I16-I19</f>
        <v>-144.505</v>
      </c>
      <c r="J20" s="10"/>
      <c r="K20" s="10"/>
      <c r="L20" s="10"/>
      <c r="M20" s="10"/>
      <c r="N20" s="10"/>
      <c r="O20" s="10">
        <f>+O16-O19</f>
        <v>-78.540000000000006</v>
      </c>
      <c r="P20" s="10"/>
      <c r="Q20" s="10"/>
      <c r="X20" s="9">
        <f>+X16-X19</f>
        <v>-61.21999999999997</v>
      </c>
      <c r="Y20" s="9">
        <f t="shared" ref="Y20:AE20" si="9">+Y16-Y19</f>
        <v>55.579999999999984</v>
      </c>
      <c r="Z20" s="9">
        <f t="shared" si="9"/>
        <v>204.84999999999994</v>
      </c>
      <c r="AA20" s="9">
        <f t="shared" si="9"/>
        <v>307.47080000000005</v>
      </c>
      <c r="AB20" s="9">
        <f t="shared" si="9"/>
        <v>439.66949799999986</v>
      </c>
      <c r="AC20" s="9">
        <f t="shared" si="9"/>
        <v>502.36731998000005</v>
      </c>
      <c r="AD20" s="9">
        <f t="shared" si="9"/>
        <v>571.52223287980007</v>
      </c>
      <c r="AE20" s="9">
        <f t="shared" si="9"/>
        <v>615.17895572859811</v>
      </c>
    </row>
    <row r="21" spans="2:88" x14ac:dyDescent="0.2">
      <c r="B21" s="9" t="s">
        <v>59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</row>
    <row r="22" spans="2:88" x14ac:dyDescent="0.2">
      <c r="B22" s="9" t="s">
        <v>58</v>
      </c>
      <c r="X22" s="9">
        <f>+X20+X21</f>
        <v>-61.21999999999997</v>
      </c>
      <c r="Y22" s="9">
        <f t="shared" ref="Y22:AE22" si="10">+Y20+Y21</f>
        <v>55.579999999999984</v>
      </c>
      <c r="Z22" s="9">
        <f t="shared" si="10"/>
        <v>204.84999999999994</v>
      </c>
      <c r="AA22" s="9">
        <f t="shared" si="10"/>
        <v>307.47080000000005</v>
      </c>
      <c r="AB22" s="9">
        <f t="shared" si="10"/>
        <v>439.66949799999986</v>
      </c>
      <c r="AC22" s="9">
        <f t="shared" si="10"/>
        <v>502.36731998000005</v>
      </c>
      <c r="AD22" s="9">
        <f t="shared" si="10"/>
        <v>571.52223287980007</v>
      </c>
      <c r="AE22" s="9">
        <f t="shared" si="10"/>
        <v>615.17895572859811</v>
      </c>
    </row>
    <row r="23" spans="2:88" x14ac:dyDescent="0.2">
      <c r="B23" s="9" t="s">
        <v>57</v>
      </c>
      <c r="X23" s="9">
        <v>0</v>
      </c>
      <c r="Y23" s="9">
        <f>+Y22*0.05</f>
        <v>2.7789999999999995</v>
      </c>
      <c r="Z23" s="9">
        <f t="shared" ref="Z23:AE23" si="11">+Z22*0.05</f>
        <v>10.242499999999998</v>
      </c>
      <c r="AA23" s="9">
        <f t="shared" si="11"/>
        <v>15.373540000000004</v>
      </c>
      <c r="AB23" s="9">
        <f t="shared" si="11"/>
        <v>21.983474899999994</v>
      </c>
      <c r="AC23" s="9">
        <f t="shared" si="11"/>
        <v>25.118365999000005</v>
      </c>
      <c r="AD23" s="9">
        <f t="shared" si="11"/>
        <v>28.576111643990004</v>
      </c>
      <c r="AE23" s="9">
        <f t="shared" si="11"/>
        <v>30.758947786429907</v>
      </c>
    </row>
    <row r="24" spans="2:88" x14ac:dyDescent="0.2">
      <c r="B24" s="9" t="s">
        <v>60</v>
      </c>
      <c r="X24" s="9">
        <f>+X22-X23</f>
        <v>-61.21999999999997</v>
      </c>
      <c r="Y24" s="9">
        <f t="shared" ref="Y24:AE24" si="12">+Y22-Y23</f>
        <v>52.800999999999988</v>
      </c>
      <c r="Z24" s="9">
        <f t="shared" si="12"/>
        <v>194.60749999999993</v>
      </c>
      <c r="AA24" s="9">
        <f t="shared" si="12"/>
        <v>292.09726000000006</v>
      </c>
      <c r="AB24" s="9">
        <f t="shared" si="12"/>
        <v>417.68602309999989</v>
      </c>
      <c r="AC24" s="9">
        <f t="shared" si="12"/>
        <v>477.24895398100006</v>
      </c>
      <c r="AD24" s="9">
        <f t="shared" si="12"/>
        <v>542.9461212358101</v>
      </c>
      <c r="AE24" s="9">
        <f t="shared" si="12"/>
        <v>584.42000794216824</v>
      </c>
      <c r="AF24" s="9">
        <f>AE24*(1+$AH$27)</f>
        <v>578.5758078627465</v>
      </c>
      <c r="AG24" s="9">
        <f t="shared" ref="AG24:CJ24" si="13">AF24*(1+$AH$27)</f>
        <v>572.79004978411899</v>
      </c>
      <c r="AH24" s="9">
        <f t="shared" si="13"/>
        <v>567.06214928627776</v>
      </c>
      <c r="AI24" s="9">
        <f t="shared" si="13"/>
        <v>561.39152779341498</v>
      </c>
      <c r="AJ24" s="9">
        <f t="shared" si="13"/>
        <v>555.77761251548077</v>
      </c>
      <c r="AK24" s="9">
        <f t="shared" si="13"/>
        <v>550.21983639032601</v>
      </c>
      <c r="AL24" s="9">
        <f t="shared" si="13"/>
        <v>544.71763802642272</v>
      </c>
      <c r="AM24" s="9">
        <f t="shared" si="13"/>
        <v>539.27046164615854</v>
      </c>
      <c r="AN24" s="9">
        <f t="shared" si="13"/>
        <v>533.87775702969691</v>
      </c>
      <c r="AO24" s="9">
        <f t="shared" si="13"/>
        <v>528.53897945939991</v>
      </c>
      <c r="AP24" s="9">
        <f t="shared" si="13"/>
        <v>523.25358966480587</v>
      </c>
      <c r="AQ24" s="9">
        <f t="shared" si="13"/>
        <v>518.0210537681578</v>
      </c>
      <c r="AR24" s="9">
        <f t="shared" si="13"/>
        <v>512.84084323047625</v>
      </c>
      <c r="AS24" s="9">
        <f t="shared" si="13"/>
        <v>507.7124347981715</v>
      </c>
      <c r="AT24" s="9">
        <f t="shared" si="13"/>
        <v>502.63531045018976</v>
      </c>
      <c r="AU24" s="9">
        <f t="shared" si="13"/>
        <v>497.60895734568788</v>
      </c>
      <c r="AV24" s="9">
        <f t="shared" si="13"/>
        <v>492.63286777223101</v>
      </c>
      <c r="AW24" s="9">
        <f t="shared" si="13"/>
        <v>487.70653909450868</v>
      </c>
      <c r="AX24" s="9">
        <f t="shared" si="13"/>
        <v>482.82947370356362</v>
      </c>
      <c r="AY24" s="9">
        <f t="shared" si="13"/>
        <v>478.00117896652796</v>
      </c>
      <c r="AZ24" s="9">
        <f t="shared" si="13"/>
        <v>473.22116717686265</v>
      </c>
      <c r="BA24" s="9">
        <f t="shared" si="13"/>
        <v>468.488955505094</v>
      </c>
      <c r="BB24" s="9">
        <f t="shared" si="13"/>
        <v>463.80406595004303</v>
      </c>
      <c r="BC24" s="9">
        <f t="shared" si="13"/>
        <v>459.16602529054256</v>
      </c>
      <c r="BD24" s="9">
        <f t="shared" si="13"/>
        <v>454.57436503763711</v>
      </c>
      <c r="BE24" s="9">
        <f t="shared" si="13"/>
        <v>450.02862138726073</v>
      </c>
      <c r="BF24" s="9">
        <f t="shared" si="13"/>
        <v>445.52833517338814</v>
      </c>
      <c r="BG24" s="9">
        <f t="shared" si="13"/>
        <v>441.07305182165425</v>
      </c>
      <c r="BH24" s="9">
        <f t="shared" si="13"/>
        <v>436.66232130343769</v>
      </c>
      <c r="BI24" s="9">
        <f t="shared" si="13"/>
        <v>432.29569809040333</v>
      </c>
      <c r="BJ24" s="9">
        <f t="shared" si="13"/>
        <v>427.97274110949928</v>
      </c>
      <c r="BK24" s="9">
        <f t="shared" si="13"/>
        <v>423.69301369840429</v>
      </c>
      <c r="BL24" s="9">
        <f t="shared" si="13"/>
        <v>419.45608356142026</v>
      </c>
      <c r="BM24" s="9">
        <f t="shared" si="13"/>
        <v>415.26152272580606</v>
      </c>
      <c r="BN24" s="9">
        <f t="shared" si="13"/>
        <v>411.10890749854798</v>
      </c>
      <c r="BO24" s="9">
        <f t="shared" si="13"/>
        <v>406.99781842356248</v>
      </c>
      <c r="BP24" s="9">
        <f t="shared" si="13"/>
        <v>402.92784023932683</v>
      </c>
      <c r="BQ24" s="9">
        <f t="shared" si="13"/>
        <v>398.89856183693354</v>
      </c>
      <c r="BR24" s="9">
        <f t="shared" si="13"/>
        <v>394.90957621856421</v>
      </c>
      <c r="BS24" s="9">
        <f t="shared" si="13"/>
        <v>390.96048045637855</v>
      </c>
      <c r="BT24" s="9">
        <f t="shared" si="13"/>
        <v>387.05087565181475</v>
      </c>
      <c r="BU24" s="9">
        <f t="shared" si="13"/>
        <v>383.18036689529657</v>
      </c>
      <c r="BV24" s="9">
        <f t="shared" si="13"/>
        <v>379.34856322634363</v>
      </c>
      <c r="BW24" s="9">
        <f t="shared" si="13"/>
        <v>375.55507759408022</v>
      </c>
      <c r="BX24" s="9">
        <f t="shared" si="13"/>
        <v>371.79952681813938</v>
      </c>
      <c r="BY24" s="9">
        <f t="shared" si="13"/>
        <v>368.08153154995802</v>
      </c>
      <c r="BZ24" s="9">
        <f t="shared" si="13"/>
        <v>364.40071623445846</v>
      </c>
      <c r="CA24" s="9">
        <f t="shared" si="13"/>
        <v>360.75670907211389</v>
      </c>
      <c r="CB24" s="9">
        <f t="shared" si="13"/>
        <v>357.14914198139275</v>
      </c>
      <c r="CC24" s="9">
        <f t="shared" si="13"/>
        <v>353.57765056157882</v>
      </c>
      <c r="CD24" s="9">
        <f t="shared" si="13"/>
        <v>350.04187405596304</v>
      </c>
      <c r="CE24" s="9">
        <f t="shared" si="13"/>
        <v>346.54145531540343</v>
      </c>
      <c r="CF24" s="9">
        <f t="shared" si="13"/>
        <v>343.07604076224936</v>
      </c>
      <c r="CG24" s="9">
        <f t="shared" si="13"/>
        <v>339.64528035462689</v>
      </c>
      <c r="CH24" s="9">
        <f t="shared" si="13"/>
        <v>336.24882755108064</v>
      </c>
      <c r="CI24" s="9">
        <f t="shared" si="13"/>
        <v>332.88633927556981</v>
      </c>
      <c r="CJ24" s="9">
        <f t="shared" si="13"/>
        <v>329.55747588281412</v>
      </c>
    </row>
    <row r="25" spans="2:88" x14ac:dyDescent="0.2">
      <c r="B25" s="9" t="s">
        <v>1</v>
      </c>
      <c r="O25" s="5">
        <v>56.883257</v>
      </c>
      <c r="X25" s="1">
        <f>+X24/X26</f>
        <v>-1.0932142857142852</v>
      </c>
      <c r="Y25" s="1">
        <f t="shared" ref="Y25:AE25" si="14">+Y24/Y26</f>
        <v>0.9428749999999998</v>
      </c>
      <c r="Z25" s="1">
        <f t="shared" si="14"/>
        <v>3.4751339285714273</v>
      </c>
      <c r="AA25" s="1">
        <f t="shared" si="14"/>
        <v>5.2160225000000011</v>
      </c>
      <c r="AB25" s="1">
        <f t="shared" si="14"/>
        <v>7.4586789839285697</v>
      </c>
      <c r="AC25" s="1">
        <f t="shared" si="14"/>
        <v>8.5223027496607155</v>
      </c>
      <c r="AD25" s="1">
        <f t="shared" si="14"/>
        <v>9.6954664506394668</v>
      </c>
      <c r="AE25" s="1">
        <f t="shared" si="14"/>
        <v>10.436071570395862</v>
      </c>
    </row>
    <row r="26" spans="2:88" x14ac:dyDescent="0.2">
      <c r="B26" s="9" t="s">
        <v>61</v>
      </c>
      <c r="X26" s="9">
        <v>56</v>
      </c>
      <c r="Y26" s="9">
        <f>+X26</f>
        <v>56</v>
      </c>
      <c r="Z26" s="9">
        <f t="shared" ref="Z26:AE26" si="15">+Y26</f>
        <v>56</v>
      </c>
      <c r="AA26" s="9">
        <f t="shared" si="15"/>
        <v>56</v>
      </c>
      <c r="AB26" s="9">
        <f t="shared" si="15"/>
        <v>56</v>
      </c>
      <c r="AC26" s="9">
        <f t="shared" si="15"/>
        <v>56</v>
      </c>
      <c r="AD26" s="9">
        <f t="shared" si="15"/>
        <v>56</v>
      </c>
      <c r="AE26" s="9">
        <f t="shared" si="15"/>
        <v>56</v>
      </c>
      <c r="AG26" t="s">
        <v>62</v>
      </c>
      <c r="AH26" s="21">
        <v>0.09</v>
      </c>
    </row>
    <row r="27" spans="2:88" x14ac:dyDescent="0.2">
      <c r="AG27" t="s">
        <v>63</v>
      </c>
      <c r="AH27" s="21">
        <v>-0.01</v>
      </c>
    </row>
    <row r="28" spans="2:88" x14ac:dyDescent="0.2">
      <c r="AG28" t="s">
        <v>64</v>
      </c>
      <c r="AH28" s="7">
        <f>NPV(AH26,Y24:CJ24)+Main!K5-Main!K6</f>
        <v>4425.5470028423515</v>
      </c>
    </row>
  </sheetData>
  <hyperlinks>
    <hyperlink ref="A1" location="Main!A1" display="Main" xr:uid="{82E77963-5160-489B-BAD7-F614A24F6B02}"/>
  </hyperlink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1ADA-BB4A-4FAA-A26D-E4D074BEE288}">
  <dimension ref="A1:C2"/>
  <sheetViews>
    <sheetView zoomScale="220" zoomScaleNormal="220" workbookViewId="0"/>
  </sheetViews>
  <sheetFormatPr defaultRowHeight="12.75" x14ac:dyDescent="0.2"/>
  <cols>
    <col min="1" max="1" width="6.28515625" customWidth="1"/>
    <col min="2" max="2" width="12.85546875" customWidth="1"/>
  </cols>
  <sheetData>
    <row r="1" spans="1:3" x14ac:dyDescent="0.2">
      <c r="A1" s="6" t="s">
        <v>22</v>
      </c>
    </row>
    <row r="2" spans="1:3" x14ac:dyDescent="0.2">
      <c r="B2" t="s">
        <v>37</v>
      </c>
      <c r="C2" t="s">
        <v>38</v>
      </c>
    </row>
  </sheetData>
  <hyperlinks>
    <hyperlink ref="A1" location="Main!A1" display="Main" xr:uid="{12226ACA-7B94-4A90-9FC0-400D92625DD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Skytrofa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2023-02-16T13:41:39Z</dcterms:created>
  <dcterms:modified xsi:type="dcterms:W3CDTF">2024-09-05T02:22:55Z</dcterms:modified>
</cp:coreProperties>
</file>