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122C979-2EC8-420F-AD6E-7F9C0AFF5136}" xr6:coauthVersionLast="47" xr6:coauthVersionMax="47" xr10:uidLastSave="{00000000-0000-0000-0000-000000000000}"/>
  <bookViews>
    <workbookView xWindow="7830" yWindow="2700" windowWidth="20760" windowHeight="10725" activeTab="1" xr2:uid="{92810BD6-C4FE-44F7-BDA1-6EEEB686DC43}"/>
  </bookViews>
  <sheets>
    <sheet name="Main" sheetId="1" r:id="rId1"/>
    <sheet name="Model" sheetId="2" r:id="rId2"/>
  </sheets>
  <definedNames>
    <definedName name="RMB">Main!$L$9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9" i="2" l="1"/>
  <c r="T24" i="2"/>
  <c r="T23" i="2"/>
  <c r="T19" i="2"/>
  <c r="T17" i="2"/>
  <c r="T16" i="2"/>
  <c r="T9" i="2"/>
  <c r="S28" i="2"/>
  <c r="U26" i="2"/>
  <c r="U28" i="2" s="1"/>
  <c r="U29" i="2" s="1"/>
  <c r="T26" i="2"/>
  <c r="T28" i="2" s="1"/>
  <c r="U23" i="2"/>
  <c r="U24" i="2" s="1"/>
  <c r="U19" i="2"/>
  <c r="U16" i="2"/>
  <c r="U9" i="2"/>
  <c r="AD32" i="2"/>
  <c r="AC27" i="2"/>
  <c r="AC25" i="2"/>
  <c r="AC23" i="2"/>
  <c r="AC19" i="2"/>
  <c r="AC33" i="2" s="1"/>
  <c r="AE32" i="2"/>
  <c r="AD27" i="2"/>
  <c r="AD25" i="2"/>
  <c r="AD23" i="2"/>
  <c r="AD19" i="2"/>
  <c r="AF32" i="2"/>
  <c r="AE27" i="2"/>
  <c r="AE25" i="2"/>
  <c r="AE23" i="2"/>
  <c r="AE19" i="2"/>
  <c r="AE33" i="2" s="1"/>
  <c r="AG32" i="2"/>
  <c r="AF27" i="2"/>
  <c r="AF25" i="2"/>
  <c r="AF23" i="2"/>
  <c r="AF19" i="2"/>
  <c r="AF33" i="2" s="1"/>
  <c r="AG27" i="2"/>
  <c r="AG25" i="2"/>
  <c r="AH32" i="2"/>
  <c r="AG23" i="2"/>
  <c r="AG19" i="2"/>
  <c r="AL30" i="2"/>
  <c r="AL22" i="2"/>
  <c r="AL21" i="2"/>
  <c r="AL20" i="2"/>
  <c r="AL18" i="2"/>
  <c r="P27" i="2"/>
  <c r="P25" i="2"/>
  <c r="L27" i="2"/>
  <c r="L25" i="2"/>
  <c r="P16" i="2"/>
  <c r="L16" i="2"/>
  <c r="P9" i="2"/>
  <c r="L9" i="2"/>
  <c r="L17" i="2" s="1"/>
  <c r="L19" i="2" s="1"/>
  <c r="M27" i="2"/>
  <c r="Q27" i="2"/>
  <c r="Q25" i="2"/>
  <c r="M25" i="2"/>
  <c r="M16" i="2"/>
  <c r="Q16" i="2"/>
  <c r="Q9" i="2"/>
  <c r="Q17" i="2" s="1"/>
  <c r="M9" i="2"/>
  <c r="M17" i="2" s="1"/>
  <c r="M19" i="2" s="1"/>
  <c r="O7" i="1"/>
  <c r="AK27" i="2"/>
  <c r="AK25" i="2"/>
  <c r="AK23" i="2"/>
  <c r="AK19" i="2"/>
  <c r="N27" i="2"/>
  <c r="N25" i="2"/>
  <c r="R25" i="2"/>
  <c r="N23" i="2"/>
  <c r="R27" i="2"/>
  <c r="R16" i="2"/>
  <c r="N16" i="2"/>
  <c r="R9" i="2"/>
  <c r="N9" i="2"/>
  <c r="O16" i="2"/>
  <c r="O9" i="2"/>
  <c r="O27" i="2"/>
  <c r="O25" i="2"/>
  <c r="O23" i="2"/>
  <c r="S55" i="2"/>
  <c r="O55" i="2"/>
  <c r="S48" i="2"/>
  <c r="S42" i="2"/>
  <c r="S43" i="2"/>
  <c r="S46" i="2"/>
  <c r="S39" i="2"/>
  <c r="S36" i="2"/>
  <c r="S35" i="2" s="1"/>
  <c r="S37" i="2"/>
  <c r="O4" i="1"/>
  <c r="L3" i="1"/>
  <c r="L4" i="1" s="1"/>
  <c r="L7" i="1" s="1"/>
  <c r="S27" i="2"/>
  <c r="S25" i="2"/>
  <c r="S23" i="2"/>
  <c r="R23" i="2"/>
  <c r="Q23" i="2"/>
  <c r="P23" i="2"/>
  <c r="M23" i="2"/>
  <c r="L23" i="2"/>
  <c r="K23" i="2"/>
  <c r="K24" i="2" s="1"/>
  <c r="S16" i="2"/>
  <c r="S9" i="2"/>
  <c r="S17" i="2" s="1"/>
  <c r="N1" i="2"/>
  <c r="R1" i="2" s="1"/>
  <c r="S1" i="2" s="1"/>
  <c r="K17" i="2"/>
  <c r="AH25" i="2"/>
  <c r="AH23" i="2"/>
  <c r="AH19" i="2"/>
  <c r="AH33" i="2" s="1"/>
  <c r="AJ17" i="2"/>
  <c r="AJ19" i="2" s="1"/>
  <c r="AJ33" i="2" s="1"/>
  <c r="AI17" i="2"/>
  <c r="AI19" i="2" s="1"/>
  <c r="AI33" i="2" s="1"/>
  <c r="AJ25" i="2"/>
  <c r="AJ23" i="2"/>
  <c r="AI25" i="2"/>
  <c r="AI23" i="2"/>
  <c r="AK1" i="2"/>
  <c r="AL1" i="2" s="1"/>
  <c r="AM1" i="2" s="1"/>
  <c r="AN1" i="2" s="1"/>
  <c r="AO1" i="2" s="1"/>
  <c r="AP1" i="2" s="1"/>
  <c r="AJ2" i="2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J27" i="2"/>
  <c r="F27" i="2"/>
  <c r="I26" i="2"/>
  <c r="I28" i="2" s="1"/>
  <c r="H26" i="2"/>
  <c r="H28" i="2" s="1"/>
  <c r="G26" i="2"/>
  <c r="G28" i="2" s="1"/>
  <c r="J25" i="2"/>
  <c r="F25" i="2"/>
  <c r="J23" i="2"/>
  <c r="F23" i="2"/>
  <c r="I19" i="2"/>
  <c r="H19" i="2"/>
  <c r="G19" i="2"/>
  <c r="J9" i="2"/>
  <c r="J17" i="2" s="1"/>
  <c r="J19" i="2" s="1"/>
  <c r="F9" i="2"/>
  <c r="F17" i="2" s="1"/>
  <c r="U17" i="2" l="1"/>
  <c r="U32" i="2" s="1"/>
  <c r="AC24" i="2"/>
  <c r="AC26" i="2" s="1"/>
  <c r="AC28" i="2" s="1"/>
  <c r="AC29" i="2" s="1"/>
  <c r="AD24" i="2"/>
  <c r="AD33" i="2"/>
  <c r="N17" i="2"/>
  <c r="N19" i="2" s="1"/>
  <c r="AE24" i="2"/>
  <c r="AE26" i="2" s="1"/>
  <c r="AE28" i="2" s="1"/>
  <c r="AE29" i="2" s="1"/>
  <c r="O17" i="2"/>
  <c r="AF24" i="2"/>
  <c r="AF26" i="2" s="1"/>
  <c r="AF28" i="2" s="1"/>
  <c r="AF29" i="2" s="1"/>
  <c r="AJ32" i="2"/>
  <c r="AI32" i="2"/>
  <c r="AK32" i="2"/>
  <c r="AG24" i="2"/>
  <c r="AG26" i="2" s="1"/>
  <c r="AG28" i="2" s="1"/>
  <c r="AG29" i="2" s="1"/>
  <c r="AG33" i="2"/>
  <c r="AL27" i="2"/>
  <c r="AL25" i="2"/>
  <c r="AL23" i="2"/>
  <c r="AK24" i="2"/>
  <c r="AK26" i="2" s="1"/>
  <c r="AK28" i="2" s="1"/>
  <c r="AK29" i="2" s="1"/>
  <c r="AK33" i="2"/>
  <c r="Q19" i="2"/>
  <c r="Q24" i="2" s="1"/>
  <c r="Q26" i="2" s="1"/>
  <c r="Q28" i="2" s="1"/>
  <c r="Q29" i="2" s="1"/>
  <c r="Q32" i="2"/>
  <c r="P17" i="2"/>
  <c r="T32" i="2" s="1"/>
  <c r="L24" i="2"/>
  <c r="L26" i="2" s="1"/>
  <c r="L28" i="2" s="1"/>
  <c r="L29" i="2" s="1"/>
  <c r="M24" i="2"/>
  <c r="M26" i="2" s="1"/>
  <c r="M28" i="2" s="1"/>
  <c r="M29" i="2" s="1"/>
  <c r="N24" i="2"/>
  <c r="N26" i="2" s="1"/>
  <c r="N28" i="2" s="1"/>
  <c r="N29" i="2" s="1"/>
  <c r="R17" i="2"/>
  <c r="V17" i="2" s="1"/>
  <c r="V32" i="2" s="1"/>
  <c r="O19" i="2"/>
  <c r="O24" i="2" s="1"/>
  <c r="O26" i="2" s="1"/>
  <c r="O28" i="2" s="1"/>
  <c r="O29" i="2" s="1"/>
  <c r="S49" i="2"/>
  <c r="S40" i="2"/>
  <c r="S19" i="2"/>
  <c r="S24" i="2" s="1"/>
  <c r="S26" i="2" s="1"/>
  <c r="S29" i="2" s="1"/>
  <c r="J24" i="2"/>
  <c r="J26" i="2" s="1"/>
  <c r="J28" i="2" s="1"/>
  <c r="J29" i="2" s="1"/>
  <c r="J32" i="2"/>
  <c r="F19" i="2"/>
  <c r="F24" i="2" s="1"/>
  <c r="F26" i="2" s="1"/>
  <c r="F28" i="2" s="1"/>
  <c r="F29" i="2" s="1"/>
  <c r="AH24" i="2"/>
  <c r="AH26" i="2" s="1"/>
  <c r="AJ24" i="2"/>
  <c r="AJ26" i="2" s="1"/>
  <c r="AI24" i="2"/>
  <c r="AI26" i="2" s="1"/>
  <c r="AL17" i="2" l="1"/>
  <c r="AM17" i="2"/>
  <c r="AD26" i="2"/>
  <c r="AD28" i="2" s="1"/>
  <c r="AD29" i="2" s="1"/>
  <c r="P32" i="2"/>
  <c r="P19" i="2"/>
  <c r="P24" i="2" s="1"/>
  <c r="P26" i="2" s="1"/>
  <c r="P28" i="2" s="1"/>
  <c r="P29" i="2" s="1"/>
  <c r="AH28" i="2"/>
  <c r="AH29" i="2" s="1"/>
  <c r="AJ28" i="2"/>
  <c r="AJ29" i="2" s="1"/>
  <c r="AI28" i="2"/>
  <c r="AI29" i="2" s="1"/>
  <c r="R32" i="2"/>
  <c r="AL32" i="2"/>
  <c r="R19" i="2"/>
  <c r="R24" i="2" s="1"/>
  <c r="R26" i="2" s="1"/>
  <c r="R28" i="2" s="1"/>
  <c r="R29" i="2" s="1"/>
  <c r="S32" i="2"/>
  <c r="AM33" i="2" l="1"/>
  <c r="AM32" i="2"/>
  <c r="AL19" i="2"/>
  <c r="AL24" i="2" l="1"/>
  <c r="AL26" i="2" s="1"/>
  <c r="AL28" i="2" s="1"/>
  <c r="AL29" i="2" s="1"/>
  <c r="AL33" i="2"/>
</calcChain>
</file>

<file path=xl/sharedStrings.xml><?xml version="1.0" encoding="utf-8"?>
<sst xmlns="http://schemas.openxmlformats.org/spreadsheetml/2006/main" count="99" uniqueCount="89">
  <si>
    <t>Shares</t>
  </si>
  <si>
    <t>EV</t>
  </si>
  <si>
    <t>5/26/22: FY22 results.</t>
  </si>
  <si>
    <t>HK Listing: 9988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</si>
  <si>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</si>
  <si>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</si>
  <si>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</si>
  <si>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</si>
  <si>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</si>
  <si>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</si>
  <si>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</si>
  <si>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</si>
  <si>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</si>
  <si>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</si>
  <si>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China Customer Management</t>
  </si>
  <si>
    <t>China Direct Sales</t>
  </si>
  <si>
    <t>China Wholesale</t>
  </si>
  <si>
    <t>China Retail</t>
  </si>
  <si>
    <t>International Retail</t>
  </si>
  <si>
    <t>Local Consumer</t>
  </si>
  <si>
    <t>Cainiao</t>
  </si>
  <si>
    <t>Cloud</t>
  </si>
  <si>
    <t>Digital Media</t>
  </si>
  <si>
    <t>Innovation</t>
  </si>
  <si>
    <t>COGS</t>
  </si>
  <si>
    <t>RMB 000s</t>
  </si>
  <si>
    <t>Gross Margin</t>
  </si>
  <si>
    <t>Product Development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</si>
  <si>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</si>
  <si>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</si>
  <si>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</si>
  <si>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</si>
  <si>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</si>
  <si>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</si>
  <si>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</si>
  <si>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</si>
  <si>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</si>
  <si>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Growth</t>
  </si>
  <si>
    <t>ADS = 8 ordinary shares</t>
  </si>
  <si>
    <t>Price USD</t>
  </si>
  <si>
    <t>MC USD</t>
  </si>
  <si>
    <t>Cash RMB</t>
  </si>
  <si>
    <t>Debt RMB</t>
  </si>
  <si>
    <t>RMB</t>
  </si>
  <si>
    <t>CFFO</t>
  </si>
  <si>
    <t>CEO: Eddie Wu, Daniel Zhang, Jack Ma</t>
  </si>
  <si>
    <t>Taobao</t>
  </si>
  <si>
    <t>Tmall</t>
  </si>
  <si>
    <t>CFO: Toby Xu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</si>
  <si>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</si>
  <si>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</si>
  <si>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</si>
  <si>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</si>
  <si>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</si>
  <si>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</si>
  <si>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</si>
  <si>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</si>
  <si>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</si>
  <si>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</si>
  <si>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</si>
  <si>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</si>
  <si>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Other - Eliminations</t>
  </si>
  <si>
    <t>Headcount</t>
  </si>
  <si>
    <t>Price RMB</t>
  </si>
  <si>
    <t>Q224</t>
  </si>
  <si>
    <t>MC RMB</t>
  </si>
  <si>
    <t>Cash USD</t>
  </si>
  <si>
    <t>Debt USD</t>
  </si>
  <si>
    <t>Cash</t>
  </si>
  <si>
    <t>Prepayments</t>
  </si>
  <si>
    <t>PP&amp;E</t>
  </si>
  <si>
    <t>Goodwill</t>
  </si>
  <si>
    <t>Assets</t>
  </si>
  <si>
    <t>Debt</t>
  </si>
  <si>
    <t>DR</t>
  </si>
  <si>
    <t>Merchant</t>
  </si>
  <si>
    <t>Accrued</t>
  </si>
  <si>
    <t>L+SE</t>
  </si>
  <si>
    <t>SE</t>
  </si>
  <si>
    <t>Other</t>
  </si>
  <si>
    <t>CapEx</t>
  </si>
  <si>
    <t>FCF</t>
  </si>
  <si>
    <t>Net Cash</t>
  </si>
  <si>
    <t>China GDP</t>
  </si>
  <si>
    <t>China 10Y</t>
  </si>
  <si>
    <t>FQ126</t>
  </si>
  <si>
    <t>FQ226</t>
  </si>
  <si>
    <t>FQ326</t>
  </si>
  <si>
    <t>FQ426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</si>
</sst>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164" fontId="2" fillId="0" borderId="0" xfId="1" applyNumberForma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F28F8C2-3168-48EC-97D7-88C1B058DD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628072</xdr:colOff>
      <xdr:row>0</xdr:row>
      <xdr:rowOff>0</xdr:rowOff>
    </xdr:from>
    <xdr:to>
      <xdr:col>20</xdr:col>
      <xdr:colOff>628072</xdr:colOff>
      <xdr:row>63</xdr:row>
      <xdr:rowOff>141371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CE6F5E-BEF2-57BD-7B0B-D3DEB45A7832}"/>
            </a:ext>
          </a:extLst>
        </xdr:cNvPr>
        <xdr:cNvCxnSpPr/>
      </xdr:nvCxnSpPr>
      <xdr:spPr>
        <a:xfrm>
          <a:off x="13838514" y="0"/>
          <a:ext cx="0" cy="102964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15438</xdr:colOff>
      <xdr:row>0</xdr:row>
      <xdr:rowOff>0</xdr:rowOff>
    </xdr:from>
    <xdr:to>
      <xdr:col>38</xdr:col>
      <xdr:colOff>15438</xdr:colOff>
      <xdr:row>63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294D9E-89D7-4E03-BF95-102A21600453}"/>
            </a:ext>
          </a:extLst>
        </xdr:cNvPr>
        <xdr:cNvCxnSpPr/>
      </xdr:nvCxnSpPr>
      <xdr:spPr>
        <a:xfrm>
          <a:off x="21305455" y="0"/>
          <a:ext cx="0" cy="104889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BA1B-3870-4960-86CF-D4C6C2448885}">
  <dimension ref="B2:P16"/>
  <sheetViews>
    <sheetView zoomScale="115" zoomScaleNormal="115" workbookViewId="0">
      <selection activeCell="L3" sqref="L3"/>
    </sheetView>
  </sheetViews>
  <sheetFormatPr defaultRowHeight="12.75" x14ac:dyDescent="0.2"/>
  <cols>
    <col min="11" max="11" width="10.5703125" customWidth="1"/>
    <col min="12" max="12" width="10.140625" bestFit="1" customWidth="1"/>
    <col min="14" max="14" width="10.42578125" customWidth="1"/>
    <col min="15" max="15" width="10.140625" customWidth="1"/>
  </cols>
  <sheetData>
    <row r="2" spans="2:16" x14ac:dyDescent="0.2">
      <c r="B2" t="s">
        <v>46</v>
      </c>
      <c r="K2" t="s">
        <v>39</v>
      </c>
      <c r="L2" s="1">
        <v>105.29</v>
      </c>
      <c r="N2" t="s">
        <v>63</v>
      </c>
      <c r="O2" s="1">
        <v>92</v>
      </c>
    </row>
    <row r="3" spans="2:16" x14ac:dyDescent="0.2">
      <c r="B3" t="s">
        <v>47</v>
      </c>
      <c r="K3" t="s">
        <v>0</v>
      </c>
      <c r="L3" s="3">
        <f>+O3/8</f>
        <v>2449.375</v>
      </c>
      <c r="M3" s="2" t="s">
        <v>64</v>
      </c>
      <c r="N3" t="s">
        <v>0</v>
      </c>
      <c r="O3">
        <v>19595</v>
      </c>
      <c r="P3" s="2" t="s">
        <v>64</v>
      </c>
    </row>
    <row r="4" spans="2:16" x14ac:dyDescent="0.2">
      <c r="K4" t="s">
        <v>40</v>
      </c>
      <c r="L4" s="3">
        <f>L2*L3</f>
        <v>257894.69375000001</v>
      </c>
      <c r="M4" s="2"/>
      <c r="N4" t="s">
        <v>65</v>
      </c>
      <c r="O4" s="3">
        <f>+O2*O3</f>
        <v>1802740</v>
      </c>
    </row>
    <row r="5" spans="2:16" x14ac:dyDescent="0.2">
      <c r="K5" t="s">
        <v>66</v>
      </c>
      <c r="M5" s="2" t="s">
        <v>64</v>
      </c>
      <c r="N5" t="s">
        <v>41</v>
      </c>
      <c r="O5" s="3">
        <v>1029873</v>
      </c>
      <c r="P5" s="2" t="s">
        <v>64</v>
      </c>
    </row>
    <row r="6" spans="2:16" x14ac:dyDescent="0.2">
      <c r="K6" t="s">
        <v>67</v>
      </c>
      <c r="M6" s="2" t="s">
        <v>64</v>
      </c>
      <c r="N6" t="s">
        <v>42</v>
      </c>
      <c r="O6" s="3">
        <v>207937</v>
      </c>
      <c r="P6" s="2" t="s">
        <v>64</v>
      </c>
    </row>
    <row r="7" spans="2:16" x14ac:dyDescent="0.2">
      <c r="K7" t="s">
        <v>1</v>
      </c>
      <c r="L7" s="3">
        <f>+L4-L5+L6</f>
        <v>257894.69375000001</v>
      </c>
      <c r="N7" t="s">
        <v>1</v>
      </c>
      <c r="O7" s="3">
        <f>+O4-O5+O6</f>
        <v>980804</v>
      </c>
    </row>
    <row r="9" spans="2:16" x14ac:dyDescent="0.2">
      <c r="K9" t="s">
        <v>43</v>
      </c>
      <c r="L9">
        <v>6.74</v>
      </c>
    </row>
    <row r="13" spans="2:16" x14ac:dyDescent="0.2">
      <c r="K13" t="s">
        <v>3</v>
      </c>
    </row>
    <row r="14" spans="2:16" x14ac:dyDescent="0.2">
      <c r="K14" t="s">
        <v>45</v>
      </c>
    </row>
    <row r="15" spans="2:16" x14ac:dyDescent="0.2">
      <c r="K15" t="s">
        <v>48</v>
      </c>
    </row>
    <row r="16" spans="2:16" x14ac:dyDescent="0.2">
      <c r="B16" t="s">
        <v>2</v>
      </c>
      <c r="K1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4FB6-2DDF-41E8-BD94-FC380ED24DA7}">
  <dimension ref="A1:AU57"/>
  <sheetViews>
    <sheetView tabSelected="1" zoomScale="130" zoomScaleNormal="13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U6" sqref="U6"/>
    </sheetView>
  </sheetViews>
  <sheetFormatPr defaultRowHeight="12.75" x14ac:dyDescent="0.2"/>
  <cols>
    <col min="1" max="1" width="5" bestFit="1" customWidth="1"/>
    <col min="2" max="2" width="26.140625" bestFit="1" customWidth="1"/>
    <col min="3" max="12" width="9.140625" style="2"/>
    <col min="13" max="15" width="9.140625" style="2" customWidth="1"/>
    <col min="16" max="27" width="9.7109375" style="2" customWidth="1"/>
  </cols>
  <sheetData>
    <row r="1" spans="1:47" s="12" customFormat="1" x14ac:dyDescent="0.2">
      <c r="A1" s="14" t="s">
        <v>4</v>
      </c>
      <c r="C1" s="11"/>
      <c r="D1" s="11"/>
      <c r="E1" s="11"/>
      <c r="F1" s="11">
        <v>44286</v>
      </c>
      <c r="G1" s="11"/>
      <c r="H1" s="11"/>
      <c r="I1" s="11"/>
      <c r="J1" s="11">
        <v>44651</v>
      </c>
      <c r="K1" s="11"/>
      <c r="L1" s="11">
        <v>44834</v>
      </c>
      <c r="M1" s="11">
        <v>44926</v>
      </c>
      <c r="N1" s="11">
        <f>+J1+365</f>
        <v>45016</v>
      </c>
      <c r="O1" s="11">
        <v>45107</v>
      </c>
      <c r="P1" s="11">
        <v>45199</v>
      </c>
      <c r="Q1" s="11">
        <v>45291</v>
      </c>
      <c r="R1" s="11">
        <f>+N1+365</f>
        <v>45381</v>
      </c>
      <c r="S1" s="11">
        <f>+R1+92</f>
        <v>45473</v>
      </c>
      <c r="T1" s="11">
        <v>45565</v>
      </c>
      <c r="U1" s="11">
        <v>45657</v>
      </c>
      <c r="V1" s="11"/>
      <c r="W1" s="11"/>
      <c r="X1" s="11"/>
      <c r="Y1" s="11"/>
      <c r="Z1" s="11"/>
      <c r="AA1" s="11"/>
      <c r="AC1" s="12">
        <v>42094</v>
      </c>
      <c r="AD1" s="12">
        <v>42460</v>
      </c>
      <c r="AE1" s="12">
        <v>42825</v>
      </c>
      <c r="AF1" s="12">
        <v>43190</v>
      </c>
      <c r="AG1" s="12">
        <v>43555</v>
      </c>
      <c r="AH1" s="12">
        <v>43921</v>
      </c>
      <c r="AI1" s="12">
        <v>44286</v>
      </c>
      <c r="AJ1" s="12">
        <v>44651</v>
      </c>
      <c r="AK1" s="12">
        <f>AJ1+365</f>
        <v>45016</v>
      </c>
      <c r="AL1" s="12">
        <f>AK1+366</f>
        <v>45382</v>
      </c>
      <c r="AM1" s="12">
        <f t="shared" ref="AM1:AO1" si="0">AL1+365</f>
        <v>45747</v>
      </c>
      <c r="AN1" s="12">
        <f t="shared" si="0"/>
        <v>46112</v>
      </c>
      <c r="AO1" s="12">
        <f t="shared" si="0"/>
        <v>46477</v>
      </c>
      <c r="AP1" s="12">
        <f>AO1+366</f>
        <v>46843</v>
      </c>
    </row>
    <row r="2" spans="1:47" x14ac:dyDescent="0.2">
      <c r="B2" t="s">
        <v>25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57</v>
      </c>
      <c r="T2" s="2" t="s">
        <v>58</v>
      </c>
      <c r="U2" s="2" t="s">
        <v>59</v>
      </c>
      <c r="V2" s="2" t="s">
        <v>60</v>
      </c>
      <c r="W2" s="2" t="s">
        <v>85</v>
      </c>
      <c r="X2" s="2" t="s">
        <v>86</v>
      </c>
      <c r="Y2" s="2" t="s">
        <v>87</v>
      </c>
      <c r="Z2" s="2" t="s">
        <v>88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>
        <v>2021</v>
      </c>
      <c r="AJ2">
        <f>AI2+1</f>
        <v>2022</v>
      </c>
      <c r="AK2">
        <f t="shared" ref="AK2:AU2" si="1">AJ2+1</f>
        <v>2023</v>
      </c>
      <c r="AL2">
        <f t="shared" si="1"/>
        <v>2024</v>
      </c>
      <c r="AM2">
        <f t="shared" si="1"/>
        <v>2025</v>
      </c>
      <c r="AN2">
        <f t="shared" si="1"/>
        <v>2026</v>
      </c>
      <c r="AO2">
        <f t="shared" si="1"/>
        <v>2027</v>
      </c>
      <c r="AP2">
        <f t="shared" si="1"/>
        <v>2028</v>
      </c>
      <c r="AQ2">
        <f t="shared" si="1"/>
        <v>2029</v>
      </c>
      <c r="AR2">
        <f t="shared" si="1"/>
        <v>2030</v>
      </c>
      <c r="AS2">
        <f t="shared" si="1"/>
        <v>2031</v>
      </c>
      <c r="AT2">
        <f t="shared" si="1"/>
        <v>2032</v>
      </c>
      <c r="AU2">
        <f t="shared" si="1"/>
        <v>2033</v>
      </c>
    </row>
    <row r="3" spans="1:47" x14ac:dyDescent="0.2">
      <c r="B3" t="s">
        <v>83</v>
      </c>
      <c r="AI3" s="3">
        <v>14700</v>
      </c>
      <c r="AJ3" s="3">
        <v>17800</v>
      </c>
      <c r="AK3" s="3">
        <v>17900</v>
      </c>
      <c r="AL3" s="3">
        <v>17800</v>
      </c>
    </row>
    <row r="4" spans="1:47" x14ac:dyDescent="0.2">
      <c r="B4" t="s">
        <v>84</v>
      </c>
      <c r="AI4" s="13">
        <v>3.1E-2</v>
      </c>
      <c r="AJ4" s="13">
        <v>2.9000000000000001E-2</v>
      </c>
      <c r="AK4" s="13">
        <v>2.8000000000000001E-2</v>
      </c>
      <c r="AL4" s="13">
        <v>2.7E-2</v>
      </c>
      <c r="AM4" s="13">
        <v>2.1000000000000001E-2</v>
      </c>
    </row>
    <row r="6" spans="1:47" s="3" customFormat="1" x14ac:dyDescent="0.2">
      <c r="B6" s="3" t="s">
        <v>14</v>
      </c>
      <c r="C6" s="4"/>
      <c r="D6" s="4"/>
      <c r="E6" s="4"/>
      <c r="F6" s="4">
        <v>63224</v>
      </c>
      <c r="G6" s="4"/>
      <c r="H6" s="4"/>
      <c r="I6" s="4"/>
      <c r="J6" s="4">
        <v>63421</v>
      </c>
      <c r="K6" s="4"/>
      <c r="L6" s="4">
        <v>66877</v>
      </c>
      <c r="M6" s="4">
        <v>91694</v>
      </c>
      <c r="N6" s="4">
        <v>60545</v>
      </c>
      <c r="O6" s="4">
        <v>79661</v>
      </c>
      <c r="P6" s="4">
        <v>68661</v>
      </c>
      <c r="Q6" s="4">
        <v>92113</v>
      </c>
      <c r="R6" s="4">
        <v>63574</v>
      </c>
      <c r="S6" s="4">
        <v>80115</v>
      </c>
      <c r="T6" s="4">
        <v>70364</v>
      </c>
      <c r="U6" s="4">
        <v>100790</v>
      </c>
      <c r="V6" s="4"/>
      <c r="W6" s="4"/>
      <c r="X6" s="4"/>
      <c r="Y6" s="4"/>
      <c r="Z6" s="4"/>
      <c r="AA6" s="4"/>
    </row>
    <row r="7" spans="1:47" s="3" customFormat="1" x14ac:dyDescent="0.2">
      <c r="B7" s="3" t="s">
        <v>15</v>
      </c>
      <c r="C7" s="4"/>
      <c r="D7" s="4"/>
      <c r="E7" s="4"/>
      <c r="F7" s="4">
        <v>63797</v>
      </c>
      <c r="G7" s="4"/>
      <c r="H7" s="4"/>
      <c r="I7" s="4"/>
      <c r="J7" s="4">
        <v>72526</v>
      </c>
      <c r="K7" s="4"/>
      <c r="L7" s="4">
        <v>22559</v>
      </c>
      <c r="M7" s="4">
        <v>31042</v>
      </c>
      <c r="N7" s="4">
        <v>25212</v>
      </c>
      <c r="O7" s="4">
        <v>30167</v>
      </c>
      <c r="P7" s="4">
        <v>23899</v>
      </c>
      <c r="Q7" s="4">
        <v>31649</v>
      </c>
      <c r="R7" s="4">
        <v>24690</v>
      </c>
      <c r="S7" s="4">
        <v>27306</v>
      </c>
      <c r="T7" s="4">
        <v>22644</v>
      </c>
      <c r="U7" s="4">
        <v>28726</v>
      </c>
      <c r="V7" s="4"/>
      <c r="W7" s="4"/>
      <c r="X7" s="4"/>
      <c r="Y7" s="4"/>
      <c r="Z7" s="4"/>
      <c r="AA7" s="4"/>
    </row>
    <row r="8" spans="1:47" s="3" customFormat="1" x14ac:dyDescent="0.2">
      <c r="B8" s="3" t="s">
        <v>16</v>
      </c>
      <c r="C8" s="4"/>
      <c r="D8" s="4"/>
      <c r="E8" s="4"/>
      <c r="F8" s="4">
        <v>3370</v>
      </c>
      <c r="G8" s="4"/>
      <c r="H8" s="4"/>
      <c r="I8" s="4"/>
      <c r="J8" s="4">
        <v>4383</v>
      </c>
      <c r="K8" s="4"/>
      <c r="L8" s="4">
        <v>4299</v>
      </c>
      <c r="M8" s="4">
        <v>4329</v>
      </c>
      <c r="N8" s="4">
        <v>4132</v>
      </c>
      <c r="O8" s="4">
        <v>5125</v>
      </c>
      <c r="P8" s="4">
        <v>5094</v>
      </c>
      <c r="Q8" s="4">
        <v>5308</v>
      </c>
      <c r="R8" s="4">
        <v>4952</v>
      </c>
      <c r="S8" s="4">
        <v>5952</v>
      </c>
      <c r="T8" s="4">
        <v>5986</v>
      </c>
      <c r="U8" s="4">
        <v>6575</v>
      </c>
      <c r="V8" s="4"/>
      <c r="W8" s="4"/>
      <c r="X8" s="4"/>
      <c r="Y8" s="4"/>
      <c r="Z8" s="4"/>
      <c r="AA8" s="4"/>
    </row>
    <row r="9" spans="1:47" s="15" customFormat="1" x14ac:dyDescent="0.2">
      <c r="B9" s="15" t="s">
        <v>17</v>
      </c>
      <c r="C9" s="16"/>
      <c r="D9" s="16"/>
      <c r="E9" s="16"/>
      <c r="F9" s="16">
        <f>F7+F6+F8</f>
        <v>130391</v>
      </c>
      <c r="G9" s="16"/>
      <c r="H9" s="16"/>
      <c r="I9" s="16"/>
      <c r="J9" s="16">
        <f>J7+J6+J8</f>
        <v>140330</v>
      </c>
      <c r="K9" s="16"/>
      <c r="L9" s="16">
        <f t="shared" ref="L9:U9" si="2">SUM(L6:L8)</f>
        <v>93735</v>
      </c>
      <c r="M9" s="16">
        <f t="shared" si="2"/>
        <v>127065</v>
      </c>
      <c r="N9" s="16">
        <f t="shared" si="2"/>
        <v>89889</v>
      </c>
      <c r="O9" s="16">
        <f t="shared" si="2"/>
        <v>114953</v>
      </c>
      <c r="P9" s="16">
        <f t="shared" si="2"/>
        <v>97654</v>
      </c>
      <c r="Q9" s="16">
        <f t="shared" si="2"/>
        <v>129070</v>
      </c>
      <c r="R9" s="16">
        <f t="shared" si="2"/>
        <v>93216</v>
      </c>
      <c r="S9" s="16">
        <f t="shared" si="2"/>
        <v>113373</v>
      </c>
      <c r="T9" s="16">
        <f t="shared" si="2"/>
        <v>98994</v>
      </c>
      <c r="U9" s="16">
        <f t="shared" si="2"/>
        <v>136091</v>
      </c>
      <c r="V9" s="16"/>
      <c r="W9" s="16"/>
      <c r="X9" s="16"/>
      <c r="Y9" s="16"/>
      <c r="Z9" s="16"/>
      <c r="AA9" s="16"/>
      <c r="AI9" s="15">
        <v>501683</v>
      </c>
      <c r="AJ9" s="15">
        <v>592705</v>
      </c>
    </row>
    <row r="10" spans="1:47" s="3" customFormat="1" x14ac:dyDescent="0.2">
      <c r="B10" s="3" t="s">
        <v>18</v>
      </c>
      <c r="C10" s="4"/>
      <c r="D10" s="4"/>
      <c r="E10" s="4"/>
      <c r="F10" s="4">
        <v>13416</v>
      </c>
      <c r="G10" s="4"/>
      <c r="H10" s="4"/>
      <c r="I10" s="4"/>
      <c r="J10" s="4">
        <v>14335</v>
      </c>
      <c r="K10" s="4"/>
      <c r="L10" s="4">
        <v>16046</v>
      </c>
      <c r="M10" s="4">
        <v>19824</v>
      </c>
      <c r="N10" s="4">
        <v>18915</v>
      </c>
      <c r="O10" s="4">
        <v>22123</v>
      </c>
      <c r="P10" s="4">
        <v>24511</v>
      </c>
      <c r="Q10" s="4">
        <v>28516</v>
      </c>
      <c r="R10" s="4">
        <v>27448</v>
      </c>
      <c r="S10" s="4">
        <v>29293</v>
      </c>
      <c r="T10" s="4">
        <v>31672</v>
      </c>
      <c r="U10" s="4">
        <v>37756</v>
      </c>
      <c r="V10" s="4"/>
      <c r="W10" s="4"/>
      <c r="X10" s="4"/>
      <c r="Y10" s="4"/>
      <c r="Z10" s="4"/>
      <c r="AA10" s="4"/>
      <c r="AI10" s="3">
        <v>48851</v>
      </c>
      <c r="AJ10" s="3">
        <v>61078</v>
      </c>
    </row>
    <row r="11" spans="1:47" s="3" customFormat="1" x14ac:dyDescent="0.2">
      <c r="B11" s="3" t="s">
        <v>19</v>
      </c>
      <c r="C11" s="4"/>
      <c r="D11" s="4"/>
      <c r="E11" s="4"/>
      <c r="F11" s="4">
        <v>8123</v>
      </c>
      <c r="G11" s="4"/>
      <c r="H11" s="4"/>
      <c r="I11" s="4"/>
      <c r="J11" s="4">
        <v>10445</v>
      </c>
      <c r="K11" s="4"/>
      <c r="L11" s="4">
        <v>13381</v>
      </c>
      <c r="M11" s="4">
        <v>13397</v>
      </c>
      <c r="N11" s="4">
        <v>12340</v>
      </c>
      <c r="O11" s="4">
        <v>14450</v>
      </c>
      <c r="P11" s="4">
        <v>15564</v>
      </c>
      <c r="Q11" s="4">
        <v>15160</v>
      </c>
      <c r="R11" s="4">
        <v>14628</v>
      </c>
      <c r="S11" s="4">
        <v>16229</v>
      </c>
      <c r="T11" s="4">
        <v>17725</v>
      </c>
      <c r="U11" s="4">
        <v>16988</v>
      </c>
      <c r="V11" s="4"/>
      <c r="W11" s="4"/>
      <c r="X11" s="4"/>
      <c r="Y11" s="4"/>
      <c r="Z11" s="4"/>
      <c r="AA11" s="4"/>
      <c r="AI11" s="3">
        <v>35442</v>
      </c>
      <c r="AJ11" s="3">
        <v>43491</v>
      </c>
    </row>
    <row r="12" spans="1:47" s="3" customFormat="1" x14ac:dyDescent="0.2">
      <c r="B12" s="3" t="s">
        <v>20</v>
      </c>
      <c r="C12" s="4"/>
      <c r="D12" s="4"/>
      <c r="E12" s="4"/>
      <c r="F12" s="4">
        <v>9959</v>
      </c>
      <c r="G12" s="4"/>
      <c r="H12" s="4"/>
      <c r="I12" s="4"/>
      <c r="J12" s="4">
        <v>11582</v>
      </c>
      <c r="K12" s="4"/>
      <c r="L12" s="4">
        <v>18282</v>
      </c>
      <c r="M12" s="4">
        <v>23023</v>
      </c>
      <c r="N12" s="4">
        <v>18915</v>
      </c>
      <c r="O12" s="4">
        <v>23164</v>
      </c>
      <c r="P12" s="4">
        <v>22823</v>
      </c>
      <c r="Q12" s="4">
        <v>28476</v>
      </c>
      <c r="R12" s="4">
        <v>24557</v>
      </c>
      <c r="S12" s="4">
        <v>26811</v>
      </c>
      <c r="T12" s="4">
        <v>24647</v>
      </c>
      <c r="U12" s="4">
        <v>28241</v>
      </c>
      <c r="V12" s="4"/>
      <c r="W12" s="4"/>
      <c r="X12" s="4"/>
      <c r="Y12" s="4"/>
      <c r="Z12" s="4"/>
      <c r="AA12" s="4"/>
      <c r="AI12" s="3">
        <v>37258</v>
      </c>
      <c r="AJ12" s="3">
        <v>46107</v>
      </c>
    </row>
    <row r="13" spans="1:47" s="3" customFormat="1" x14ac:dyDescent="0.2">
      <c r="B13" s="3" t="s">
        <v>21</v>
      </c>
      <c r="C13" s="4"/>
      <c r="D13" s="4"/>
      <c r="E13" s="4"/>
      <c r="F13" s="4">
        <v>16865</v>
      </c>
      <c r="G13" s="4"/>
      <c r="H13" s="4"/>
      <c r="I13" s="4"/>
      <c r="J13" s="4">
        <v>18971</v>
      </c>
      <c r="K13" s="4"/>
      <c r="L13" s="4">
        <v>27035</v>
      </c>
      <c r="M13" s="4">
        <v>27364</v>
      </c>
      <c r="N13" s="4">
        <v>24742</v>
      </c>
      <c r="O13" s="4">
        <v>25065</v>
      </c>
      <c r="P13" s="4">
        <v>27648</v>
      </c>
      <c r="Q13" s="4">
        <v>28066</v>
      </c>
      <c r="R13" s="4">
        <v>25595</v>
      </c>
      <c r="S13" s="4">
        <v>26549</v>
      </c>
      <c r="T13" s="4">
        <v>29610</v>
      </c>
      <c r="U13" s="4">
        <v>31742</v>
      </c>
      <c r="V13" s="4"/>
      <c r="W13" s="4"/>
      <c r="X13" s="4"/>
      <c r="Y13" s="4"/>
      <c r="Z13" s="4"/>
      <c r="AA13" s="4"/>
      <c r="AH13" s="3">
        <v>40016</v>
      </c>
      <c r="AI13" s="3">
        <v>60558</v>
      </c>
      <c r="AJ13" s="3">
        <v>74568</v>
      </c>
    </row>
    <row r="14" spans="1:47" s="3" customFormat="1" x14ac:dyDescent="0.2">
      <c r="B14" s="3" t="s">
        <v>22</v>
      </c>
      <c r="C14" s="4"/>
      <c r="D14" s="4"/>
      <c r="E14" s="4"/>
      <c r="F14" s="4">
        <v>8047</v>
      </c>
      <c r="G14" s="4"/>
      <c r="H14" s="4"/>
      <c r="I14" s="4"/>
      <c r="J14" s="4">
        <v>8005</v>
      </c>
      <c r="K14" s="4"/>
      <c r="L14" s="4">
        <v>5228</v>
      </c>
      <c r="M14" s="4">
        <v>4261</v>
      </c>
      <c r="N14" s="4">
        <v>4989</v>
      </c>
      <c r="O14" s="4">
        <v>5381</v>
      </c>
      <c r="P14" s="4">
        <v>5779</v>
      </c>
      <c r="Q14" s="4">
        <v>5040</v>
      </c>
      <c r="R14" s="4">
        <v>4945</v>
      </c>
      <c r="S14" s="4">
        <v>5581</v>
      </c>
      <c r="T14" s="4">
        <v>5694</v>
      </c>
      <c r="U14" s="4">
        <v>5438</v>
      </c>
      <c r="V14" s="4"/>
      <c r="W14" s="4"/>
      <c r="X14" s="4"/>
      <c r="Y14" s="4"/>
      <c r="Z14" s="4"/>
      <c r="AA14" s="4"/>
      <c r="AH14" s="3">
        <v>29094</v>
      </c>
      <c r="AI14" s="3">
        <v>31186</v>
      </c>
      <c r="AJ14" s="3">
        <v>32272</v>
      </c>
    </row>
    <row r="15" spans="1:47" s="3" customFormat="1" x14ac:dyDescent="0.2">
      <c r="B15" s="3" t="s">
        <v>23</v>
      </c>
      <c r="C15" s="4"/>
      <c r="D15" s="4"/>
      <c r="E15" s="4"/>
      <c r="F15" s="4">
        <v>594</v>
      </c>
      <c r="G15" s="4"/>
      <c r="H15" s="4"/>
      <c r="I15" s="4"/>
      <c r="J15" s="4">
        <v>384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H15" s="3">
        <v>4497</v>
      </c>
      <c r="AI15" s="3">
        <v>2311</v>
      </c>
      <c r="AJ15" s="3">
        <v>2841</v>
      </c>
    </row>
    <row r="16" spans="1:47" s="3" customFormat="1" x14ac:dyDescent="0.2">
      <c r="B16" s="3" t="s">
        <v>61</v>
      </c>
      <c r="C16" s="4"/>
      <c r="D16" s="4"/>
      <c r="E16" s="4"/>
      <c r="F16" s="4"/>
      <c r="G16" s="4"/>
      <c r="H16" s="4"/>
      <c r="I16" s="4"/>
      <c r="J16" s="4"/>
      <c r="K16" s="4"/>
      <c r="L16" s="4">
        <f>216-14889+48142</f>
        <v>33469</v>
      </c>
      <c r="M16" s="4">
        <f>50334+225-17737</f>
        <v>32822</v>
      </c>
      <c r="N16" s="4">
        <f>53303+232-15125</f>
        <v>38410</v>
      </c>
      <c r="O16" s="4">
        <f>45798-17027+249</f>
        <v>29020</v>
      </c>
      <c r="P16" s="4">
        <f>48052-17518+277</f>
        <v>30811</v>
      </c>
      <c r="Q16" s="4">
        <f>47023+374-21377</f>
        <v>26020</v>
      </c>
      <c r="R16" s="4">
        <f>51458+397-20370</f>
        <v>31485</v>
      </c>
      <c r="S16" s="4">
        <f>47001-22020+419</f>
        <v>25400</v>
      </c>
      <c r="T16" s="4">
        <f>52178+469-24486</f>
        <v>28161</v>
      </c>
      <c r="U16" s="4">
        <f>53102+590-29794</f>
        <v>23898</v>
      </c>
      <c r="V16" s="4"/>
      <c r="W16" s="4"/>
      <c r="X16" s="4"/>
      <c r="Y16" s="4"/>
      <c r="Z16" s="4"/>
      <c r="AA16" s="4"/>
    </row>
    <row r="17" spans="2:39" s="5" customFormat="1" x14ac:dyDescent="0.2">
      <c r="B17" s="5" t="s">
        <v>5</v>
      </c>
      <c r="C17" s="6"/>
      <c r="D17" s="6"/>
      <c r="E17" s="6"/>
      <c r="F17" s="6">
        <f>SUM(F9:F15)</f>
        <v>187395</v>
      </c>
      <c r="G17" s="6"/>
      <c r="H17" s="6"/>
      <c r="I17" s="6"/>
      <c r="J17" s="6">
        <f>SUM(J9:J15)</f>
        <v>204052</v>
      </c>
      <c r="K17" s="6">
        <f>SUM(K9:K15)</f>
        <v>0</v>
      </c>
      <c r="L17" s="6">
        <f t="shared" ref="L17:P17" si="3">SUM(L9:L16)</f>
        <v>207176</v>
      </c>
      <c r="M17" s="6">
        <f>SUM(M9:M16)</f>
        <v>247756</v>
      </c>
      <c r="N17" s="6">
        <f t="shared" si="3"/>
        <v>208200</v>
      </c>
      <c r="O17" s="6">
        <f t="shared" si="3"/>
        <v>234156</v>
      </c>
      <c r="P17" s="6">
        <f t="shared" si="3"/>
        <v>224790</v>
      </c>
      <c r="Q17" s="6">
        <f>SUM(Q9:Q16)</f>
        <v>260348</v>
      </c>
      <c r="R17" s="6">
        <f>SUM(R9:R16)</f>
        <v>221874</v>
      </c>
      <c r="S17" s="6">
        <f>SUM(S9:S16)</f>
        <v>243236</v>
      </c>
      <c r="T17" s="6">
        <f>SUM(T9:T16)</f>
        <v>236503</v>
      </c>
      <c r="U17" s="6">
        <f>SUM(U9:U16)</f>
        <v>280154</v>
      </c>
      <c r="V17" s="6">
        <f>+R17*1.05</f>
        <v>232967.7</v>
      </c>
      <c r="W17" s="6"/>
      <c r="X17" s="6"/>
      <c r="Y17" s="6"/>
      <c r="Z17" s="6"/>
      <c r="AA17" s="6"/>
      <c r="AC17" s="5">
        <v>76204</v>
      </c>
      <c r="AD17" s="5">
        <v>101143</v>
      </c>
      <c r="AE17" s="5">
        <v>158273</v>
      </c>
      <c r="AF17" s="5">
        <v>250266</v>
      </c>
      <c r="AG17" s="5">
        <v>376844</v>
      </c>
      <c r="AH17" s="5">
        <v>509711</v>
      </c>
      <c r="AI17" s="5">
        <f>SUM(AI9:AI15)</f>
        <v>717289</v>
      </c>
      <c r="AJ17" s="5">
        <f>SUM(AJ9:AJ15)</f>
        <v>853062</v>
      </c>
      <c r="AK17" s="5">
        <v>868867</v>
      </c>
      <c r="AL17" s="5">
        <f>SUM(O17:R17)</f>
        <v>941168</v>
      </c>
      <c r="AM17" s="5">
        <f>SUM(S17:V17)</f>
        <v>992860.7</v>
      </c>
    </row>
    <row r="18" spans="2:39" s="3" customFormat="1" x14ac:dyDescent="0.2">
      <c r="B18" s="3" t="s">
        <v>24</v>
      </c>
      <c r="C18" s="4"/>
      <c r="D18" s="4"/>
      <c r="E18" s="4"/>
      <c r="F18" s="4">
        <v>125454</v>
      </c>
      <c r="G18" s="4"/>
      <c r="H18" s="4"/>
      <c r="I18" s="4"/>
      <c r="J18" s="4">
        <v>138945</v>
      </c>
      <c r="K18" s="4"/>
      <c r="L18" s="4">
        <v>131210</v>
      </c>
      <c r="M18" s="4">
        <v>150005</v>
      </c>
      <c r="N18" s="4">
        <v>138823</v>
      </c>
      <c r="O18" s="4">
        <v>142347</v>
      </c>
      <c r="P18" s="4">
        <v>139664</v>
      </c>
      <c r="Q18" s="4">
        <v>156214</v>
      </c>
      <c r="R18" s="4">
        <v>148098</v>
      </c>
      <c r="S18" s="4">
        <v>146106</v>
      </c>
      <c r="T18" s="4">
        <v>144029</v>
      </c>
      <c r="U18" s="4">
        <v>162524</v>
      </c>
      <c r="V18" s="4"/>
      <c r="W18" s="4"/>
      <c r="X18" s="4"/>
      <c r="Y18" s="4"/>
      <c r="Z18" s="4"/>
      <c r="AA18" s="4"/>
      <c r="AC18" s="3">
        <v>23834</v>
      </c>
      <c r="AD18" s="3">
        <v>34355</v>
      </c>
      <c r="AE18" s="3">
        <v>59483</v>
      </c>
      <c r="AF18" s="3">
        <v>107044</v>
      </c>
      <c r="AG18" s="3">
        <v>206929</v>
      </c>
      <c r="AH18" s="3">
        <v>282367</v>
      </c>
      <c r="AI18" s="3">
        <v>421205</v>
      </c>
      <c r="AJ18" s="3">
        <v>539450</v>
      </c>
      <c r="AK18" s="3">
        <v>549695</v>
      </c>
      <c r="AL18" s="3">
        <f>SUM(O18:R18)</f>
        <v>586323</v>
      </c>
    </row>
    <row r="19" spans="2:39" s="3" customFormat="1" x14ac:dyDescent="0.2">
      <c r="B19" s="3" t="s">
        <v>26</v>
      </c>
      <c r="C19" s="4"/>
      <c r="D19" s="4"/>
      <c r="E19" s="4"/>
      <c r="F19" s="4">
        <f>F17-F18</f>
        <v>61941</v>
      </c>
      <c r="G19" s="4">
        <f t="shared" ref="G19:J19" si="4">G17-G18</f>
        <v>0</v>
      </c>
      <c r="H19" s="4">
        <f t="shared" si="4"/>
        <v>0</v>
      </c>
      <c r="I19" s="4">
        <f t="shared" si="4"/>
        <v>0</v>
      </c>
      <c r="J19" s="4">
        <f t="shared" si="4"/>
        <v>65107</v>
      </c>
      <c r="K19" s="4"/>
      <c r="L19" s="4">
        <f>+L17-L18</f>
        <v>75966</v>
      </c>
      <c r="M19" s="4">
        <f>+M17-M18</f>
        <v>97751</v>
      </c>
      <c r="N19" s="4">
        <f t="shared" ref="N19:R19" si="5">+N17-N18</f>
        <v>69377</v>
      </c>
      <c r="O19" s="4">
        <f t="shared" si="5"/>
        <v>91809</v>
      </c>
      <c r="P19" s="4">
        <f t="shared" si="5"/>
        <v>85126</v>
      </c>
      <c r="Q19" s="4">
        <f t="shared" si="5"/>
        <v>104134</v>
      </c>
      <c r="R19" s="4">
        <f t="shared" si="5"/>
        <v>73776</v>
      </c>
      <c r="S19" s="4">
        <f>+S17-S18</f>
        <v>97130</v>
      </c>
      <c r="T19" s="4">
        <f>+T17-T18</f>
        <v>92474</v>
      </c>
      <c r="U19" s="4">
        <f>+U17-U18</f>
        <v>117630</v>
      </c>
      <c r="V19" s="4"/>
      <c r="W19" s="4"/>
      <c r="X19" s="4"/>
      <c r="Y19" s="4"/>
      <c r="Z19" s="4"/>
      <c r="AA19" s="4"/>
      <c r="AC19" s="3">
        <f t="shared" ref="AC19:AD19" si="6">AC17-AC18</f>
        <v>52370</v>
      </c>
      <c r="AD19" s="3">
        <f t="shared" si="6"/>
        <v>66788</v>
      </c>
      <c r="AE19" s="3">
        <f t="shared" ref="AE19:AF19" si="7">AE17-AE18</f>
        <v>98790</v>
      </c>
      <c r="AF19" s="3">
        <f t="shared" si="7"/>
        <v>143222</v>
      </c>
      <c r="AG19" s="3">
        <f>AG17-AG18</f>
        <v>169915</v>
      </c>
      <c r="AH19" s="3">
        <f>AH17-AH18</f>
        <v>227344</v>
      </c>
      <c r="AI19" s="3">
        <f>AI17-AI18</f>
        <v>296084</v>
      </c>
      <c r="AJ19" s="3">
        <f t="shared" ref="AJ19" si="8">AJ17-AJ18</f>
        <v>313612</v>
      </c>
      <c r="AK19" s="3">
        <f>+AK17-AK18</f>
        <v>319172</v>
      </c>
      <c r="AL19" s="3">
        <f>+AL17-AL18</f>
        <v>354845</v>
      </c>
    </row>
    <row r="20" spans="2:39" s="3" customFormat="1" x14ac:dyDescent="0.2">
      <c r="B20" s="3" t="s">
        <v>27</v>
      </c>
      <c r="C20" s="4"/>
      <c r="D20" s="4"/>
      <c r="E20" s="4"/>
      <c r="F20" s="4">
        <v>13302</v>
      </c>
      <c r="G20" s="4"/>
      <c r="H20" s="4"/>
      <c r="I20" s="4"/>
      <c r="J20" s="4">
        <v>10944</v>
      </c>
      <c r="K20" s="4"/>
      <c r="L20" s="4">
        <v>15150</v>
      </c>
      <c r="M20" s="4">
        <v>13521</v>
      </c>
      <c r="N20" s="4">
        <v>13880</v>
      </c>
      <c r="O20" s="4">
        <v>10465</v>
      </c>
      <c r="P20" s="4">
        <v>14218</v>
      </c>
      <c r="Q20" s="4">
        <v>13488</v>
      </c>
      <c r="R20" s="4">
        <v>14085</v>
      </c>
      <c r="S20" s="4">
        <v>13373</v>
      </c>
      <c r="T20" s="4">
        <v>14182</v>
      </c>
      <c r="U20" s="4">
        <v>14662</v>
      </c>
      <c r="V20" s="4"/>
      <c r="W20" s="4"/>
      <c r="X20" s="4"/>
      <c r="Y20" s="4"/>
      <c r="Z20" s="4"/>
      <c r="AA20" s="4"/>
      <c r="AC20" s="3">
        <v>10658</v>
      </c>
      <c r="AD20" s="3">
        <v>13788</v>
      </c>
      <c r="AE20" s="3">
        <v>17060</v>
      </c>
      <c r="AF20" s="3">
        <v>22754</v>
      </c>
      <c r="AG20" s="3">
        <v>37435</v>
      </c>
      <c r="AH20" s="3">
        <v>43080</v>
      </c>
      <c r="AI20" s="3">
        <v>57236</v>
      </c>
      <c r="AJ20" s="3">
        <v>55465</v>
      </c>
      <c r="AK20" s="3">
        <v>56744</v>
      </c>
      <c r="AL20" s="3">
        <f t="shared" ref="AL20:AL22" si="9">SUM(O20:R20)</f>
        <v>52256</v>
      </c>
    </row>
    <row r="21" spans="2:39" s="3" customFormat="1" x14ac:dyDescent="0.2">
      <c r="B21" s="3" t="s">
        <v>28</v>
      </c>
      <c r="C21" s="4"/>
      <c r="D21" s="4"/>
      <c r="E21" s="4"/>
      <c r="F21" s="4">
        <v>25153</v>
      </c>
      <c r="G21" s="4"/>
      <c r="H21" s="4"/>
      <c r="I21" s="4"/>
      <c r="J21" s="4">
        <v>27200</v>
      </c>
      <c r="K21" s="4"/>
      <c r="L21" s="4">
        <v>22359</v>
      </c>
      <c r="M21" s="4">
        <v>30628</v>
      </c>
      <c r="N21" s="4">
        <v>24931</v>
      </c>
      <c r="O21" s="4">
        <v>27047</v>
      </c>
      <c r="P21" s="4">
        <v>25485</v>
      </c>
      <c r="Q21" s="4">
        <v>33783</v>
      </c>
      <c r="R21" s="4">
        <v>28826</v>
      </c>
      <c r="S21" s="4">
        <v>32696</v>
      </c>
      <c r="T21" s="4">
        <v>32471</v>
      </c>
      <c r="U21" s="4">
        <v>42675</v>
      </c>
      <c r="V21" s="4"/>
      <c r="W21" s="4"/>
      <c r="X21" s="4"/>
      <c r="Y21" s="4"/>
      <c r="Z21" s="4"/>
      <c r="AA21" s="4"/>
      <c r="AC21" s="3">
        <v>8513</v>
      </c>
      <c r="AD21" s="3">
        <v>11307</v>
      </c>
      <c r="AE21" s="3">
        <v>16314</v>
      </c>
      <c r="AF21" s="3">
        <v>27299</v>
      </c>
      <c r="AG21" s="3">
        <v>39780</v>
      </c>
      <c r="AH21" s="3">
        <v>50673</v>
      </c>
      <c r="AI21" s="3">
        <v>81519</v>
      </c>
      <c r="AJ21" s="3">
        <v>119799</v>
      </c>
      <c r="AK21" s="3">
        <v>103496</v>
      </c>
      <c r="AL21" s="3">
        <f t="shared" si="9"/>
        <v>115141</v>
      </c>
    </row>
    <row r="22" spans="2:39" s="3" customFormat="1" x14ac:dyDescent="0.2">
      <c r="B22" s="3" t="s">
        <v>29</v>
      </c>
      <c r="C22" s="4"/>
      <c r="D22" s="4"/>
      <c r="E22" s="4"/>
      <c r="F22" s="4">
        <v>27734</v>
      </c>
      <c r="G22" s="4"/>
      <c r="H22" s="4"/>
      <c r="I22" s="4"/>
      <c r="J22" s="4">
        <v>7415</v>
      </c>
      <c r="K22" s="4"/>
      <c r="L22" s="4">
        <v>10591</v>
      </c>
      <c r="M22" s="4">
        <v>10327</v>
      </c>
      <c r="N22" s="4">
        <v>12832</v>
      </c>
      <c r="O22" s="4">
        <v>7297</v>
      </c>
      <c r="P22" s="4">
        <v>9408</v>
      </c>
      <c r="Q22" s="4">
        <v>11261</v>
      </c>
      <c r="R22" s="4">
        <v>14019</v>
      </c>
      <c r="S22" s="4">
        <v>13280</v>
      </c>
      <c r="T22" s="4">
        <v>9777</v>
      </c>
      <c r="U22" s="4">
        <v>10851</v>
      </c>
      <c r="V22" s="4"/>
      <c r="W22" s="4"/>
      <c r="X22" s="4"/>
      <c r="Y22" s="4"/>
      <c r="Z22" s="4"/>
      <c r="AA22" s="4"/>
      <c r="AC22" s="3">
        <v>7800</v>
      </c>
      <c r="AD22" s="3">
        <v>9205</v>
      </c>
      <c r="AE22" s="3">
        <v>12239</v>
      </c>
      <c r="AF22" s="3">
        <v>16241</v>
      </c>
      <c r="AG22" s="3">
        <v>24889</v>
      </c>
      <c r="AH22" s="3">
        <v>28197</v>
      </c>
      <c r="AI22" s="3">
        <v>55224</v>
      </c>
      <c r="AJ22" s="3">
        <v>31922</v>
      </c>
      <c r="AK22" s="3">
        <v>42183</v>
      </c>
      <c r="AL22" s="3">
        <f t="shared" si="9"/>
        <v>41985</v>
      </c>
    </row>
    <row r="23" spans="2:39" s="3" customFormat="1" x14ac:dyDescent="0.2">
      <c r="B23" s="3" t="s">
        <v>30</v>
      </c>
      <c r="C23" s="4"/>
      <c r="D23" s="4"/>
      <c r="E23" s="4"/>
      <c r="F23" s="4">
        <f>SUM(F20:F22)</f>
        <v>66189</v>
      </c>
      <c r="G23" s="4"/>
      <c r="H23" s="4"/>
      <c r="I23" s="4"/>
      <c r="J23" s="4">
        <f>SUM(J20:J22)</f>
        <v>45559</v>
      </c>
      <c r="K23" s="4">
        <f t="shared" ref="K23:R23" si="10">SUM(K20:K22)</f>
        <v>0</v>
      </c>
      <c r="L23" s="4">
        <f t="shared" si="10"/>
        <v>48100</v>
      </c>
      <c r="M23" s="4">
        <f t="shared" si="10"/>
        <v>54476</v>
      </c>
      <c r="N23" s="4">
        <f t="shared" ref="N23" si="11">SUM(N20:N22)</f>
        <v>51643</v>
      </c>
      <c r="O23" s="4">
        <f t="shared" si="10"/>
        <v>44809</v>
      </c>
      <c r="P23" s="4">
        <f t="shared" si="10"/>
        <v>49111</v>
      </c>
      <c r="Q23" s="4">
        <f t="shared" si="10"/>
        <v>58532</v>
      </c>
      <c r="R23" s="4">
        <f t="shared" si="10"/>
        <v>56930</v>
      </c>
      <c r="S23" s="4">
        <f>SUM(S20:S22)</f>
        <v>59349</v>
      </c>
      <c r="T23" s="4">
        <f>SUM(T20:T22)</f>
        <v>56430</v>
      </c>
      <c r="U23" s="4">
        <f>SUM(U20:U22)</f>
        <v>68188</v>
      </c>
      <c r="V23" s="4"/>
      <c r="W23" s="4"/>
      <c r="X23" s="4"/>
      <c r="Y23" s="4"/>
      <c r="Z23" s="4"/>
      <c r="AA23" s="4"/>
      <c r="AC23" s="4">
        <f t="shared" ref="AC23:AD23" si="12">SUM(AC20:AC22)</f>
        <v>26971</v>
      </c>
      <c r="AD23" s="4">
        <f t="shared" si="12"/>
        <v>34300</v>
      </c>
      <c r="AE23" s="4">
        <f t="shared" ref="AE23:AF23" si="13">SUM(AE20:AE22)</f>
        <v>45613</v>
      </c>
      <c r="AF23" s="4">
        <f t="shared" si="13"/>
        <v>66294</v>
      </c>
      <c r="AG23" s="4">
        <f>SUM(AG20:AG22)</f>
        <v>102104</v>
      </c>
      <c r="AH23" s="4">
        <f>SUM(AH20:AH22)</f>
        <v>121950</v>
      </c>
      <c r="AI23" s="4">
        <f>SUM(AI20:AI22)</f>
        <v>193979</v>
      </c>
      <c r="AJ23" s="4">
        <f t="shared" ref="AJ23:AL23" si="14">SUM(AJ20:AJ22)</f>
        <v>207186</v>
      </c>
      <c r="AK23" s="4">
        <f t="shared" si="14"/>
        <v>202423</v>
      </c>
      <c r="AL23" s="4">
        <f t="shared" si="14"/>
        <v>209382</v>
      </c>
    </row>
    <row r="24" spans="2:39" s="3" customFormat="1" x14ac:dyDescent="0.2">
      <c r="B24" s="3" t="s">
        <v>31</v>
      </c>
      <c r="C24" s="4"/>
      <c r="D24" s="4"/>
      <c r="E24" s="4"/>
      <c r="F24" s="4">
        <f>F19-F23</f>
        <v>-4248</v>
      </c>
      <c r="G24" s="4"/>
      <c r="H24" s="4"/>
      <c r="I24" s="4"/>
      <c r="J24" s="4">
        <f>J19-J23</f>
        <v>19548</v>
      </c>
      <c r="K24" s="4">
        <f t="shared" ref="K24:R24" si="15">K19-K23</f>
        <v>0</v>
      </c>
      <c r="L24" s="4">
        <f t="shared" si="15"/>
        <v>27866</v>
      </c>
      <c r="M24" s="4">
        <f t="shared" si="15"/>
        <v>43275</v>
      </c>
      <c r="N24" s="4">
        <f t="shared" ref="N24" si="16">N19-N23</f>
        <v>17734</v>
      </c>
      <c r="O24" s="4">
        <f t="shared" si="15"/>
        <v>47000</v>
      </c>
      <c r="P24" s="4">
        <f t="shared" si="15"/>
        <v>36015</v>
      </c>
      <c r="Q24" s="4">
        <f t="shared" si="15"/>
        <v>45602</v>
      </c>
      <c r="R24" s="4">
        <f t="shared" si="15"/>
        <v>16846</v>
      </c>
      <c r="S24" s="4">
        <f>S19-S23</f>
        <v>37781</v>
      </c>
      <c r="T24" s="4">
        <f>T19-T23</f>
        <v>36044</v>
      </c>
      <c r="U24" s="4">
        <f>U19-U23</f>
        <v>49442</v>
      </c>
      <c r="V24" s="4"/>
      <c r="W24" s="4"/>
      <c r="X24" s="4"/>
      <c r="Y24" s="4"/>
      <c r="Z24" s="4"/>
      <c r="AA24" s="4"/>
      <c r="AC24" s="4">
        <f t="shared" ref="AC24:AD24" si="17">AC19-AC23</f>
        <v>25399</v>
      </c>
      <c r="AD24" s="4">
        <f t="shared" si="17"/>
        <v>32488</v>
      </c>
      <c r="AE24" s="4">
        <f t="shared" ref="AE24:AF24" si="18">AE19-AE23</f>
        <v>53177</v>
      </c>
      <c r="AF24" s="4">
        <f t="shared" si="18"/>
        <v>76928</v>
      </c>
      <c r="AG24" s="4">
        <f>AG19-AG23</f>
        <v>67811</v>
      </c>
      <c r="AH24" s="4">
        <f>AH19-AH23</f>
        <v>105394</v>
      </c>
      <c r="AI24" s="4">
        <f>AI19-AI23</f>
        <v>102105</v>
      </c>
      <c r="AJ24" s="4">
        <f t="shared" ref="AJ24:AL24" si="19">AJ19-AJ23</f>
        <v>106426</v>
      </c>
      <c r="AK24" s="4">
        <f t="shared" si="19"/>
        <v>116749</v>
      </c>
      <c r="AL24" s="4">
        <f t="shared" si="19"/>
        <v>145463</v>
      </c>
    </row>
    <row r="25" spans="2:39" s="3" customFormat="1" x14ac:dyDescent="0.2">
      <c r="B25" s="3" t="s">
        <v>32</v>
      </c>
      <c r="C25" s="4"/>
      <c r="D25" s="4"/>
      <c r="E25" s="4"/>
      <c r="F25" s="4">
        <f>111-1160+2115</f>
        <v>1066</v>
      </c>
      <c r="G25" s="4"/>
      <c r="H25" s="4"/>
      <c r="I25" s="4"/>
      <c r="J25" s="4">
        <f>-36708-1189+1620</f>
        <v>-36277</v>
      </c>
      <c r="K25" s="4"/>
      <c r="L25" s="4">
        <f>-42452-1388+2944</f>
        <v>-40896</v>
      </c>
      <c r="M25" s="4">
        <f>15516-1550+1462</f>
        <v>15428</v>
      </c>
      <c r="N25" s="4">
        <f>10496-1736+1308</f>
        <v>10068</v>
      </c>
      <c r="O25" s="4">
        <f>-5898-1784+1364</f>
        <v>-6318</v>
      </c>
      <c r="P25" s="4">
        <f>5136-1854+1391</f>
        <v>4673</v>
      </c>
      <c r="Q25" s="4">
        <f>-3500-2132+439</f>
        <v>-5193</v>
      </c>
      <c r="R25" s="4">
        <f>-5702-2177+2963</f>
        <v>-4916</v>
      </c>
      <c r="S25" s="4">
        <f>-1478-2188+257</f>
        <v>-3409</v>
      </c>
      <c r="T25" s="4">
        <v>-2427</v>
      </c>
      <c r="U25" s="4">
        <v>-2485</v>
      </c>
      <c r="V25" s="4"/>
      <c r="W25" s="4"/>
      <c r="X25" s="4"/>
      <c r="Y25" s="4"/>
      <c r="Z25" s="4"/>
      <c r="AA25" s="4"/>
      <c r="AC25" s="3">
        <f>9455-2750+2486</f>
        <v>9191</v>
      </c>
      <c r="AD25" s="3">
        <f>52254-1946+2058</f>
        <v>52366</v>
      </c>
      <c r="AE25" s="3">
        <f>8559-2671+6086</f>
        <v>11974</v>
      </c>
      <c r="AF25" s="3">
        <f>30495-3566+4160</f>
        <v>31089</v>
      </c>
      <c r="AG25" s="3">
        <f>44106-5190+221</f>
        <v>39137</v>
      </c>
      <c r="AH25" s="3">
        <f>72956-5180+7439</f>
        <v>75215</v>
      </c>
      <c r="AI25" s="3">
        <f>72794-4476+7582</f>
        <v>75900</v>
      </c>
      <c r="AJ25" s="3">
        <f>-15702-4909+10523</f>
        <v>-10088</v>
      </c>
      <c r="AK25" s="3">
        <f>-11071-5918+5823</f>
        <v>-11166</v>
      </c>
      <c r="AL25" s="3">
        <f t="shared" ref="AL25" si="20">SUM(O25:R25)</f>
        <v>-11754</v>
      </c>
    </row>
    <row r="26" spans="2:39" s="3" customFormat="1" x14ac:dyDescent="0.2">
      <c r="B26" s="3" t="s">
        <v>33</v>
      </c>
      <c r="C26" s="4"/>
      <c r="D26" s="4"/>
      <c r="E26" s="4"/>
      <c r="F26" s="4">
        <f>F24+F25</f>
        <v>-3182</v>
      </c>
      <c r="G26" s="4">
        <f t="shared" ref="G26:J26" si="21">G24+G25</f>
        <v>0</v>
      </c>
      <c r="H26" s="4">
        <f t="shared" si="21"/>
        <v>0</v>
      </c>
      <c r="I26" s="4">
        <f t="shared" si="21"/>
        <v>0</v>
      </c>
      <c r="J26" s="4">
        <f t="shared" si="21"/>
        <v>-16729</v>
      </c>
      <c r="K26" s="4"/>
      <c r="L26" s="4">
        <f t="shared" ref="L26:R26" si="22">+L24+L25</f>
        <v>-13030</v>
      </c>
      <c r="M26" s="4">
        <f t="shared" si="22"/>
        <v>58703</v>
      </c>
      <c r="N26" s="4">
        <f t="shared" si="22"/>
        <v>27802</v>
      </c>
      <c r="O26" s="4">
        <f t="shared" si="22"/>
        <v>40682</v>
      </c>
      <c r="P26" s="4">
        <f t="shared" si="22"/>
        <v>40688</v>
      </c>
      <c r="Q26" s="4">
        <f t="shared" si="22"/>
        <v>40409</v>
      </c>
      <c r="R26" s="4">
        <f t="shared" si="22"/>
        <v>11930</v>
      </c>
      <c r="S26" s="4">
        <f>+S24+S25</f>
        <v>34372</v>
      </c>
      <c r="T26" s="4">
        <f>+T24+T25</f>
        <v>33617</v>
      </c>
      <c r="U26" s="4">
        <f>+U24+U25</f>
        <v>46957</v>
      </c>
      <c r="V26" s="4"/>
      <c r="W26" s="4"/>
      <c r="X26" s="4"/>
      <c r="Y26" s="4"/>
      <c r="Z26" s="4"/>
      <c r="AA26" s="4"/>
      <c r="AC26" s="4">
        <f t="shared" ref="AC26" si="23">AC24+AC25</f>
        <v>34590</v>
      </c>
      <c r="AD26" s="4">
        <f t="shared" ref="AD26:AE26" si="24">AD24+AD25</f>
        <v>84854</v>
      </c>
      <c r="AE26" s="4">
        <f t="shared" si="24"/>
        <v>65151</v>
      </c>
      <c r="AF26" s="4">
        <f t="shared" ref="AF26:AG26" si="25">AF24+AF25</f>
        <v>108017</v>
      </c>
      <c r="AG26" s="4">
        <f t="shared" si="25"/>
        <v>106948</v>
      </c>
      <c r="AH26" s="4">
        <f t="shared" ref="AH26:AI26" si="26">AH24+AH25</f>
        <v>180609</v>
      </c>
      <c r="AI26" s="4">
        <f t="shared" si="26"/>
        <v>178005</v>
      </c>
      <c r="AJ26" s="4">
        <f t="shared" ref="AJ26:AL26" si="27">AJ24+AJ25</f>
        <v>96338</v>
      </c>
      <c r="AK26" s="4">
        <f t="shared" si="27"/>
        <v>105583</v>
      </c>
      <c r="AL26" s="4">
        <f t="shared" si="27"/>
        <v>133709</v>
      </c>
    </row>
    <row r="27" spans="2:39" x14ac:dyDescent="0.2">
      <c r="B27" s="3" t="s">
        <v>34</v>
      </c>
      <c r="F27" s="4">
        <f>-7049+5992</f>
        <v>-1057</v>
      </c>
      <c r="G27" s="4"/>
      <c r="H27" s="4"/>
      <c r="I27" s="4"/>
      <c r="J27" s="4">
        <f>-2079+3282</f>
        <v>1203</v>
      </c>
      <c r="K27" s="4"/>
      <c r="L27" s="4">
        <f>2572+4136-2034</f>
        <v>4674</v>
      </c>
      <c r="M27" s="4">
        <f>3820+893-1167</f>
        <v>3546</v>
      </c>
      <c r="N27" s="4">
        <f>3758-446-1648</f>
        <v>1664</v>
      </c>
      <c r="O27" s="4">
        <f>6022+2850</f>
        <v>8872</v>
      </c>
      <c r="P27" s="4">
        <f>5797+5764-1151</f>
        <v>10410</v>
      </c>
      <c r="Q27" s="4">
        <f>4988+1613-3838</f>
        <v>2763</v>
      </c>
      <c r="R27" s="4">
        <f>5722+3208</f>
        <v>8930</v>
      </c>
      <c r="S27" s="4">
        <f>10063-1505</f>
        <v>8558</v>
      </c>
      <c r="T27" s="4">
        <v>7379</v>
      </c>
      <c r="U27" s="4">
        <v>11149</v>
      </c>
      <c r="V27" s="4"/>
      <c r="W27" s="4"/>
      <c r="X27" s="4"/>
      <c r="Y27" s="4"/>
      <c r="Z27" s="4"/>
      <c r="AA27" s="4"/>
      <c r="AC27" s="4">
        <f>6416+1590+59</f>
        <v>8065</v>
      </c>
      <c r="AD27" s="4">
        <f>8449+1730-171</f>
        <v>10008</v>
      </c>
      <c r="AE27" s="4">
        <f>13776+5027-2449</f>
        <v>16354</v>
      </c>
      <c r="AF27" s="4">
        <f>18199+20792-2681</f>
        <v>36310</v>
      </c>
      <c r="AG27" s="4">
        <f>16553-566-7652+286</f>
        <v>8621</v>
      </c>
      <c r="AH27" s="4">
        <v>17212</v>
      </c>
      <c r="AI27" s="4">
        <v>29588</v>
      </c>
      <c r="AJ27" s="4">
        <v>26815</v>
      </c>
      <c r="AK27" s="3">
        <f>15549+8063</f>
        <v>23612</v>
      </c>
      <c r="AL27" s="3">
        <f t="shared" ref="AL27" si="28">SUM(O27:R27)</f>
        <v>30975</v>
      </c>
    </row>
    <row r="28" spans="2:39" x14ac:dyDescent="0.2">
      <c r="B28" s="3" t="s">
        <v>35</v>
      </c>
      <c r="F28" s="4">
        <f>F26+F27</f>
        <v>-4239</v>
      </c>
      <c r="G28" s="4">
        <f t="shared" ref="G28:J28" si="29">G26+G27</f>
        <v>0</v>
      </c>
      <c r="H28" s="4">
        <f t="shared" si="29"/>
        <v>0</v>
      </c>
      <c r="I28" s="4">
        <f t="shared" si="29"/>
        <v>0</v>
      </c>
      <c r="J28" s="4">
        <f t="shared" si="29"/>
        <v>-15526</v>
      </c>
      <c r="K28" s="4"/>
      <c r="L28" s="4">
        <f t="shared" ref="L28:U28" si="30">+L26-L27</f>
        <v>-17704</v>
      </c>
      <c r="M28" s="4">
        <f t="shared" si="30"/>
        <v>55157</v>
      </c>
      <c r="N28" s="4">
        <f t="shared" si="30"/>
        <v>26138</v>
      </c>
      <c r="O28" s="4">
        <f t="shared" si="30"/>
        <v>31810</v>
      </c>
      <c r="P28" s="4">
        <f t="shared" si="30"/>
        <v>30278</v>
      </c>
      <c r="Q28" s="4">
        <f t="shared" si="30"/>
        <v>37646</v>
      </c>
      <c r="R28" s="4">
        <f t="shared" si="30"/>
        <v>3000</v>
      </c>
      <c r="S28" s="4">
        <f t="shared" si="30"/>
        <v>25814</v>
      </c>
      <c r="T28" s="4">
        <f t="shared" si="30"/>
        <v>26238</v>
      </c>
      <c r="U28" s="4">
        <f t="shared" si="30"/>
        <v>35808</v>
      </c>
      <c r="V28" s="4"/>
      <c r="W28" s="4"/>
      <c r="X28" s="4"/>
      <c r="Y28" s="4"/>
      <c r="Z28" s="4"/>
      <c r="AA28" s="4"/>
      <c r="AC28" s="4">
        <f t="shared" ref="AC28:AD28" si="31">+AC26-AC27</f>
        <v>26525</v>
      </c>
      <c r="AD28" s="4">
        <f t="shared" si="31"/>
        <v>74846</v>
      </c>
      <c r="AE28" s="4">
        <f t="shared" ref="AE28:AF28" si="32">+AE26-AE27</f>
        <v>48797</v>
      </c>
      <c r="AF28" s="4">
        <f t="shared" si="32"/>
        <v>71707</v>
      </c>
      <c r="AG28" s="4">
        <f t="shared" ref="AG28:AL28" si="33">+AG26-AG27</f>
        <v>98327</v>
      </c>
      <c r="AH28" s="4">
        <f t="shared" si="33"/>
        <v>163397</v>
      </c>
      <c r="AI28" s="4">
        <f t="shared" si="33"/>
        <v>148417</v>
      </c>
      <c r="AJ28" s="4">
        <f t="shared" si="33"/>
        <v>69523</v>
      </c>
      <c r="AK28" s="4">
        <f t="shared" si="33"/>
        <v>81971</v>
      </c>
      <c r="AL28" s="4">
        <f t="shared" si="33"/>
        <v>102734</v>
      </c>
    </row>
    <row r="29" spans="2:39" x14ac:dyDescent="0.2">
      <c r="B29" s="3" t="s">
        <v>36</v>
      </c>
      <c r="F29" s="1">
        <f>F28/F30</f>
        <v>-0.19247184889211769</v>
      </c>
      <c r="J29" s="1">
        <f>J28/J30</f>
        <v>-0.72548011775150689</v>
      </c>
      <c r="K29" s="1"/>
      <c r="L29" s="1">
        <f t="shared" ref="L29:U29" si="34">+L28/L30</f>
        <v>-0.83651483651483649</v>
      </c>
      <c r="M29" s="1">
        <f t="shared" si="34"/>
        <v>2.6375765110941085</v>
      </c>
      <c r="N29" s="1">
        <f t="shared" si="34"/>
        <v>1.2517000287328799</v>
      </c>
      <c r="O29" s="1">
        <f t="shared" si="34"/>
        <v>1.5435753105590062</v>
      </c>
      <c r="P29" s="1">
        <f t="shared" si="34"/>
        <v>1.4751047452012083</v>
      </c>
      <c r="Q29" s="1">
        <f t="shared" si="34"/>
        <v>1.8525663107130554</v>
      </c>
      <c r="R29" s="1">
        <f t="shared" si="34"/>
        <v>0.15015015015015015</v>
      </c>
      <c r="S29" s="1">
        <f t="shared" si="34"/>
        <v>1.3173768818576168</v>
      </c>
      <c r="T29" s="1">
        <f t="shared" si="34"/>
        <v>1.3579339612876513</v>
      </c>
      <c r="U29" s="1">
        <f t="shared" si="34"/>
        <v>1.865</v>
      </c>
      <c r="V29" s="1"/>
      <c r="W29" s="1"/>
      <c r="X29" s="1"/>
      <c r="Y29" s="1"/>
      <c r="Z29" s="1"/>
      <c r="AA29" s="1"/>
      <c r="AC29" s="1">
        <f t="shared" ref="AC29:AD29" si="35">AC28/AC30</f>
        <v>10.61</v>
      </c>
      <c r="AD29" s="1">
        <f t="shared" si="35"/>
        <v>29.213895394223265</v>
      </c>
      <c r="AE29" s="1">
        <f t="shared" ref="AE29:AF29" si="36">AE28/AE30</f>
        <v>18.965021375825884</v>
      </c>
      <c r="AF29" s="1">
        <f t="shared" si="36"/>
        <v>27.473946360153256</v>
      </c>
      <c r="AG29" s="1">
        <f>AG28/AG30</f>
        <v>4.6849151896321706</v>
      </c>
      <c r="AH29" s="1">
        <f>AH28/AH30</f>
        <v>7.65468940316687</v>
      </c>
      <c r="AI29" s="1">
        <f>AI28/AI30</f>
        <v>6.7517514329906287</v>
      </c>
      <c r="AJ29" s="1">
        <f t="shared" ref="AJ29:AL29" si="37">AJ28/AJ30</f>
        <v>3.191031348969569</v>
      </c>
      <c r="AK29" s="1">
        <f t="shared" si="37"/>
        <v>3.8823055792365255</v>
      </c>
      <c r="AL29" s="1">
        <f t="shared" si="37"/>
        <v>5.0461840731872041</v>
      </c>
    </row>
    <row r="30" spans="2:39" s="3" customFormat="1" x14ac:dyDescent="0.2">
      <c r="B30" s="3" t="s">
        <v>0</v>
      </c>
      <c r="C30" s="4"/>
      <c r="D30" s="4"/>
      <c r="E30" s="4"/>
      <c r="F30" s="3">
        <v>22024</v>
      </c>
      <c r="G30" s="4"/>
      <c r="H30" s="4"/>
      <c r="I30" s="4"/>
      <c r="J30" s="3">
        <v>21401</v>
      </c>
      <c r="L30" s="3">
        <v>21164</v>
      </c>
      <c r="M30" s="3">
        <v>20912</v>
      </c>
      <c r="N30" s="3">
        <v>20882</v>
      </c>
      <c r="O30" s="3">
        <v>20608</v>
      </c>
      <c r="P30" s="3">
        <v>20526</v>
      </c>
      <c r="Q30" s="3">
        <v>20321</v>
      </c>
      <c r="R30" s="3">
        <v>19980</v>
      </c>
      <c r="S30" s="3">
        <v>19595</v>
      </c>
      <c r="T30" s="3">
        <v>19322</v>
      </c>
      <c r="U30" s="3">
        <v>19200</v>
      </c>
      <c r="AC30" s="3">
        <v>2500</v>
      </c>
      <c r="AD30" s="3">
        <v>2562</v>
      </c>
      <c r="AE30" s="3">
        <v>2573</v>
      </c>
      <c r="AF30" s="3">
        <v>2610</v>
      </c>
      <c r="AG30" s="3">
        <v>20988</v>
      </c>
      <c r="AH30" s="3">
        <v>21346</v>
      </c>
      <c r="AI30" s="3">
        <v>21982</v>
      </c>
      <c r="AJ30" s="3">
        <v>21787</v>
      </c>
      <c r="AK30" s="3">
        <v>21114</v>
      </c>
      <c r="AL30" s="3">
        <f>AVERAGE(O30:R30)</f>
        <v>20358.75</v>
      </c>
    </row>
    <row r="32" spans="2:39" s="9" customFormat="1" x14ac:dyDescent="0.2">
      <c r="B32" s="5" t="s">
        <v>37</v>
      </c>
      <c r="C32" s="7"/>
      <c r="D32" s="7"/>
      <c r="E32" s="7"/>
      <c r="F32" s="7"/>
      <c r="G32" s="7"/>
      <c r="H32" s="7"/>
      <c r="I32" s="7"/>
      <c r="J32" s="8">
        <f>J17/F17-1</f>
        <v>8.8887110114997725E-2</v>
      </c>
      <c r="K32" s="8"/>
      <c r="L32" s="8"/>
      <c r="M32" s="8"/>
      <c r="N32" s="8"/>
      <c r="O32" s="8"/>
      <c r="P32" s="8">
        <f t="shared" ref="P32:V32" si="38">P17/L17-1</f>
        <v>8.5019500328223252E-2</v>
      </c>
      <c r="Q32" s="8">
        <f t="shared" si="38"/>
        <v>5.0824198001259369E-2</v>
      </c>
      <c r="R32" s="8">
        <f t="shared" si="38"/>
        <v>6.567723342939491E-2</v>
      </c>
      <c r="S32" s="8">
        <f t="shared" si="38"/>
        <v>3.8777567092024068E-2</v>
      </c>
      <c r="T32" s="8">
        <f t="shared" si="38"/>
        <v>5.2106410427510186E-2</v>
      </c>
      <c r="U32" s="8">
        <f t="shared" si="38"/>
        <v>7.6075099482231456E-2</v>
      </c>
      <c r="V32" s="8">
        <f t="shared" si="38"/>
        <v>5.0000000000000044E-2</v>
      </c>
      <c r="W32" s="8"/>
      <c r="X32" s="8"/>
      <c r="Y32" s="8"/>
      <c r="Z32" s="8"/>
      <c r="AA32" s="8"/>
      <c r="AD32" s="10">
        <f t="shared" ref="AD32:AM32" si="39">AD17/AC17-1</f>
        <v>0.32726628523437085</v>
      </c>
      <c r="AE32" s="10">
        <f t="shared" si="39"/>
        <v>0.56484383496633472</v>
      </c>
      <c r="AF32" s="10">
        <f t="shared" si="39"/>
        <v>0.58122990023566867</v>
      </c>
      <c r="AG32" s="10">
        <f t="shared" si="39"/>
        <v>0.50577385661655994</v>
      </c>
      <c r="AH32" s="10">
        <f t="shared" si="39"/>
        <v>0.35257825519313024</v>
      </c>
      <c r="AI32" s="10">
        <f t="shared" si="39"/>
        <v>0.40724645926809511</v>
      </c>
      <c r="AJ32" s="10">
        <f t="shared" si="39"/>
        <v>0.18928632671071211</v>
      </c>
      <c r="AK32" s="10">
        <f t="shared" si="39"/>
        <v>1.8527375501429022E-2</v>
      </c>
      <c r="AL32" s="10">
        <f t="shared" si="39"/>
        <v>8.3212965850929965E-2</v>
      </c>
      <c r="AM32" s="10">
        <f t="shared" si="39"/>
        <v>5.4923988065892493E-2</v>
      </c>
    </row>
    <row r="33" spans="2:39" s="9" customFormat="1" x14ac:dyDescent="0.2">
      <c r="B33" s="5" t="s">
        <v>26</v>
      </c>
      <c r="C33" s="7"/>
      <c r="D33" s="7"/>
      <c r="E33" s="7"/>
      <c r="F33" s="7"/>
      <c r="G33" s="7"/>
      <c r="H33" s="7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10">
        <f t="shared" ref="AC33" si="40">+AC19/AC17</f>
        <v>0.68723426591779957</v>
      </c>
      <c r="AD33" s="10">
        <f t="shared" ref="AD33" si="41">+AD19/AD17</f>
        <v>0.66033240066045107</v>
      </c>
      <c r="AE33" s="10">
        <f>+AE19/AE17</f>
        <v>0.62417468551174238</v>
      </c>
      <c r="AF33" s="10">
        <f>+AF19/AF17</f>
        <v>0.57227909504287433</v>
      </c>
      <c r="AG33" s="10">
        <f>+AG19/AG17</f>
        <v>0.45088949273439405</v>
      </c>
      <c r="AH33" s="10">
        <f>+AH19/AH17</f>
        <v>0.44602529668773089</v>
      </c>
      <c r="AI33" s="10">
        <f t="shared" ref="AI33:AM33" si="42">+AI19/AI17</f>
        <v>0.41278201673244674</v>
      </c>
      <c r="AJ33" s="10">
        <f t="shared" si="42"/>
        <v>0.36763095765606718</v>
      </c>
      <c r="AK33" s="10">
        <f t="shared" si="42"/>
        <v>0.36734275786742965</v>
      </c>
      <c r="AL33" s="10">
        <f t="shared" si="42"/>
        <v>0.37702620573585161</v>
      </c>
      <c r="AM33" s="10">
        <f t="shared" si="42"/>
        <v>0</v>
      </c>
    </row>
    <row r="35" spans="2:39" x14ac:dyDescent="0.2">
      <c r="B35" t="s">
        <v>82</v>
      </c>
      <c r="S35" s="4">
        <f>+S36-S42</f>
        <v>821936</v>
      </c>
    </row>
    <row r="36" spans="2:39" x14ac:dyDescent="0.2">
      <c r="B36" t="s">
        <v>68</v>
      </c>
      <c r="S36" s="4">
        <f>219167+176030+46141+53727+330935+203873</f>
        <v>1029873</v>
      </c>
    </row>
    <row r="37" spans="2:39" x14ac:dyDescent="0.2">
      <c r="B37" t="s">
        <v>69</v>
      </c>
      <c r="S37" s="4">
        <f>158625+117340</f>
        <v>275965</v>
      </c>
    </row>
    <row r="38" spans="2:39" x14ac:dyDescent="0.2">
      <c r="B38" t="s">
        <v>70</v>
      </c>
      <c r="S38" s="4">
        <v>194222</v>
      </c>
    </row>
    <row r="39" spans="2:39" x14ac:dyDescent="0.2">
      <c r="B39" t="s">
        <v>71</v>
      </c>
      <c r="S39" s="4">
        <f>25272+259722</f>
        <v>284994</v>
      </c>
    </row>
    <row r="40" spans="2:39" x14ac:dyDescent="0.2">
      <c r="B40" t="s">
        <v>72</v>
      </c>
      <c r="S40" s="4">
        <f>SUM(S36:S39)</f>
        <v>1785054</v>
      </c>
    </row>
    <row r="42" spans="2:39" x14ac:dyDescent="0.2">
      <c r="B42" t="s">
        <v>73</v>
      </c>
      <c r="S42" s="4">
        <f>13567+55631+86574+35822+16343</f>
        <v>207937</v>
      </c>
    </row>
    <row r="43" spans="2:39" x14ac:dyDescent="0.2">
      <c r="B43" t="s">
        <v>34</v>
      </c>
      <c r="S43" s="4">
        <f>6868+54279</f>
        <v>61147</v>
      </c>
    </row>
    <row r="44" spans="2:39" x14ac:dyDescent="0.2">
      <c r="B44" t="s">
        <v>76</v>
      </c>
      <c r="S44" s="4">
        <v>339279</v>
      </c>
    </row>
    <row r="45" spans="2:39" x14ac:dyDescent="0.2">
      <c r="B45" t="s">
        <v>75</v>
      </c>
      <c r="S45" s="4">
        <v>12449</v>
      </c>
    </row>
    <row r="46" spans="2:39" x14ac:dyDescent="0.2">
      <c r="B46" t="s">
        <v>74</v>
      </c>
      <c r="S46" s="4">
        <f>74384+4313</f>
        <v>78697</v>
      </c>
    </row>
    <row r="47" spans="2:39" x14ac:dyDescent="0.2">
      <c r="B47" t="s">
        <v>79</v>
      </c>
      <c r="S47" s="4">
        <v>32185</v>
      </c>
    </row>
    <row r="48" spans="2:39" x14ac:dyDescent="0.2">
      <c r="B48" t="s">
        <v>78</v>
      </c>
      <c r="S48" s="4">
        <f>1042457+10903</f>
        <v>1053360</v>
      </c>
    </row>
    <row r="49" spans="2:38" x14ac:dyDescent="0.2">
      <c r="B49" t="s">
        <v>77</v>
      </c>
      <c r="S49" s="4">
        <f>SUM(S42:S48)</f>
        <v>1785054</v>
      </c>
    </row>
    <row r="53" spans="2:38" s="3" customFormat="1" x14ac:dyDescent="0.2">
      <c r="B53" s="3" t="s">
        <v>44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45306</v>
      </c>
      <c r="P53" s="4"/>
      <c r="Q53" s="4"/>
      <c r="R53" s="4"/>
      <c r="S53" s="4">
        <v>33636</v>
      </c>
      <c r="T53" s="4"/>
      <c r="U53" s="4"/>
      <c r="V53" s="4"/>
      <c r="W53" s="4"/>
      <c r="X53" s="4"/>
      <c r="Y53" s="4"/>
      <c r="Z53" s="4"/>
      <c r="AA53" s="4"/>
      <c r="AH53" s="3">
        <v>180607</v>
      </c>
      <c r="AI53" s="3">
        <v>231786</v>
      </c>
      <c r="AJ53" s="3">
        <v>142759</v>
      </c>
      <c r="AK53" s="3">
        <v>199752</v>
      </c>
      <c r="AL53" s="3">
        <v>182593</v>
      </c>
    </row>
    <row r="54" spans="2:38" x14ac:dyDescent="0.2">
      <c r="B54" t="s">
        <v>80</v>
      </c>
      <c r="O54" s="4">
        <v>6007</v>
      </c>
      <c r="P54" s="4"/>
      <c r="Q54" s="4"/>
      <c r="R54" s="4"/>
      <c r="S54" s="4">
        <v>11939</v>
      </c>
    </row>
    <row r="55" spans="2:38" x14ac:dyDescent="0.2">
      <c r="B55" t="s">
        <v>81</v>
      </c>
      <c r="O55" s="4">
        <f>+O53-O54</f>
        <v>39299</v>
      </c>
      <c r="S55" s="4">
        <f>+S53-S54</f>
        <v>21697</v>
      </c>
    </row>
    <row r="57" spans="2:38" s="3" customFormat="1" x14ac:dyDescent="0.2">
      <c r="B57" s="3" t="s">
        <v>62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224955</v>
      </c>
      <c r="Q57" s="4">
        <v>219260</v>
      </c>
      <c r="R57" s="4">
        <v>204891</v>
      </c>
      <c r="S57" s="4">
        <v>198162</v>
      </c>
      <c r="T57" s="4">
        <v>197991</v>
      </c>
      <c r="U57" s="4">
        <v>194320</v>
      </c>
      <c r="V57" s="4"/>
      <c r="W57" s="4"/>
      <c r="X57" s="4"/>
      <c r="Y57" s="4"/>
      <c r="Z57" s="4"/>
      <c r="AA57" s="4"/>
    </row>
  </sheetData>
  <hyperlinks>
    <hyperlink ref="A1" location="Main!A1" display="Main" xr:uid="{FAA98B89-DC2B-402A-A0D0-CDB62F656CC1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Model</vt:lpstr>
      <vt:lpstr>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2022-07-18T13:42:23Z</dcterms:created>
  <dcterms:modified xsi:type="dcterms:W3CDTF">2025-04-09T19:56:24Z</dcterms:modified>
</cp:coreProperties>
</file>