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3761FF53-90F8-4B7E-8A3B-479A3E9A61FF}" xr6:coauthVersionLast="47" xr6:coauthVersionMax="47" xr10:uidLastSave="{00000000-0000-0000-0000-000000000000}"/>
  <bookViews>
    <workbookView xWindow="24855" yWindow="135" windowWidth="24795" windowHeight="20100" activeTab="1" xr2:uid="{80D34D77-E514-4500-BDDF-0CF4860ADC68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30" i="2" l="1"/>
  <c r="AB30" i="2"/>
  <c r="AA30" i="2"/>
  <c r="AB26" i="2"/>
  <c r="AC26" i="2"/>
  <c r="H22" i="2"/>
  <c r="H20" i="2"/>
  <c r="H17" i="2"/>
  <c r="L29" i="2"/>
  <c r="L24" i="2"/>
  <c r="L22" i="2"/>
  <c r="L20" i="2"/>
  <c r="L21" i="2" s="1"/>
  <c r="L23" i="2" s="1"/>
  <c r="L25" i="2" s="1"/>
  <c r="L26" i="2" s="1"/>
  <c r="L17" i="2"/>
  <c r="J50" i="2"/>
  <c r="N50" i="2"/>
  <c r="AC50" i="2"/>
  <c r="AB50" i="2"/>
  <c r="AA50" i="2"/>
  <c r="AA24" i="2"/>
  <c r="AA22" i="2"/>
  <c r="AA20" i="2"/>
  <c r="AB24" i="2"/>
  <c r="AB22" i="2"/>
  <c r="AC22" i="2"/>
  <c r="AB20" i="2"/>
  <c r="AC24" i="2"/>
  <c r="AC20" i="2"/>
  <c r="AC13" i="2"/>
  <c r="AB13" i="2"/>
  <c r="AA13" i="2"/>
  <c r="AC9" i="2"/>
  <c r="AB9" i="2"/>
  <c r="AA9" i="2"/>
  <c r="AC6" i="2"/>
  <c r="AB6" i="2"/>
  <c r="AA6" i="2"/>
  <c r="AC15" i="2"/>
  <c r="AC17" i="2" s="1"/>
  <c r="AC21" i="2" s="1"/>
  <c r="AC23" i="2" s="1"/>
  <c r="AC25" i="2" s="1"/>
  <c r="AB15" i="2"/>
  <c r="AB17" i="2" s="1"/>
  <c r="W2" i="2"/>
  <c r="X2" i="2" s="1"/>
  <c r="Y2" i="2" s="1"/>
  <c r="Z2" i="2" s="1"/>
  <c r="AA2" i="2" s="1"/>
  <c r="AB2" i="2" s="1"/>
  <c r="AC2" i="2" s="1"/>
  <c r="AD2" i="2" s="1"/>
  <c r="AE2" i="2" s="1"/>
  <c r="AF2" i="2" s="1"/>
  <c r="AG2" i="2" s="1"/>
  <c r="AH2" i="2" s="1"/>
  <c r="AI2" i="2" s="1"/>
  <c r="AJ2" i="2" s="1"/>
  <c r="AK2" i="2" s="1"/>
  <c r="AL2" i="2" s="1"/>
  <c r="AM2" i="2" s="1"/>
  <c r="AN2" i="2" s="1"/>
  <c r="AO2" i="2" s="1"/>
  <c r="AP2" i="2" s="1"/>
  <c r="AQ2" i="2" s="1"/>
  <c r="AR2" i="2" s="1"/>
  <c r="AS2" i="2" s="1"/>
  <c r="AT2" i="2" s="1"/>
  <c r="AU2" i="2" s="1"/>
  <c r="AV2" i="2" s="1"/>
  <c r="N29" i="2"/>
  <c r="J13" i="2"/>
  <c r="J9" i="2"/>
  <c r="J6" i="2"/>
  <c r="N13" i="2"/>
  <c r="N9" i="2"/>
  <c r="N6" i="2"/>
  <c r="M7" i="1"/>
  <c r="N41" i="2"/>
  <c r="N46" i="2" s="1"/>
  <c r="N37" i="2"/>
  <c r="N32" i="2"/>
  <c r="J24" i="2"/>
  <c r="J22" i="2"/>
  <c r="N24" i="2"/>
  <c r="N22" i="2"/>
  <c r="J20" i="2"/>
  <c r="J17" i="2"/>
  <c r="N20" i="2"/>
  <c r="N17" i="2"/>
  <c r="M4" i="1"/>
  <c r="AC29" i="2" l="1"/>
  <c r="AA15" i="2"/>
  <c r="AA17" i="2" s="1"/>
  <c r="AA21" i="2" s="1"/>
  <c r="AA23" i="2" s="1"/>
  <c r="AA25" i="2" s="1"/>
  <c r="H21" i="2"/>
  <c r="H23" i="2" s="1"/>
  <c r="H25" i="2" s="1"/>
  <c r="H26" i="2" s="1"/>
  <c r="AB21" i="2"/>
  <c r="AB23" i="2" s="1"/>
  <c r="AB25" i="2"/>
  <c r="N21" i="2"/>
  <c r="N23" i="2" s="1"/>
  <c r="N25" i="2" s="1"/>
  <c r="N26" i="2" s="1"/>
  <c r="N39" i="2"/>
  <c r="J21" i="2"/>
  <c r="J23" i="2" s="1"/>
  <c r="J25" i="2" s="1"/>
  <c r="J26" i="2" s="1"/>
  <c r="AB29" i="2" l="1"/>
</calcChain>
</file>

<file path=xl/sharedStrings.xml><?xml version="1.0" encoding="utf-8"?>
<sst xmlns="http://schemas.openxmlformats.org/spreadsheetml/2006/main" count="87" uniqueCount="76">
  <si>
    <t>Price</t>
  </si>
  <si>
    <t>Shares</t>
  </si>
  <si>
    <t>MC</t>
  </si>
  <si>
    <t>Cash</t>
  </si>
  <si>
    <t>Debt</t>
  </si>
  <si>
    <t>EV</t>
  </si>
  <si>
    <t>Q422</t>
  </si>
  <si>
    <t>Main</t>
  </si>
  <si>
    <t>Revenue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</si>
  <si>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</si>
  <si>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</si>
  <si>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</si>
  <si>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</si>
  <si>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</si>
  <si>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</si>
  <si>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</si>
  <si>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</si>
  <si>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</si>
  <si>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</si>
  <si>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Q322</t>
  </si>
  <si>
    <t>Q123</t>
  </si>
  <si>
    <t>Q223</t>
  </si>
  <si>
    <t>Q323</t>
  </si>
  <si>
    <t>Q423</t>
  </si>
  <si>
    <t>Operating Income</t>
  </si>
  <si>
    <t>Operating Expenses</t>
  </si>
  <si>
    <t>R&amp;D</t>
  </si>
  <si>
    <t>S&amp;A</t>
  </si>
  <si>
    <t>Gross Margin</t>
  </si>
  <si>
    <t>COGS</t>
  </si>
  <si>
    <t>EPS</t>
  </si>
  <si>
    <t>Net Income</t>
  </si>
  <si>
    <t>Taxes</t>
  </si>
  <si>
    <t>Pretax Income</t>
  </si>
  <si>
    <t>Interest Expense</t>
  </si>
  <si>
    <t>AR</t>
  </si>
  <si>
    <t>Inventories</t>
  </si>
  <si>
    <t>Prepaids</t>
  </si>
  <si>
    <t>PP&amp;E</t>
  </si>
  <si>
    <t>Goodwill</t>
  </si>
  <si>
    <t>OA</t>
  </si>
  <si>
    <t>Assets</t>
  </si>
  <si>
    <t>AP</t>
  </si>
  <si>
    <t>Pension</t>
  </si>
  <si>
    <t>DT/OL</t>
  </si>
  <si>
    <t>S/E</t>
  </si>
  <si>
    <t>L+S/E</t>
  </si>
  <si>
    <t>Delivery</t>
  </si>
  <si>
    <t>Management</t>
  </si>
  <si>
    <t>Pharma Systems</t>
  </si>
  <si>
    <t>Medical</t>
  </si>
  <si>
    <t>Diagnostics</t>
  </si>
  <si>
    <t>Biosciences</t>
  </si>
  <si>
    <t>Life Sciences</t>
  </si>
  <si>
    <t>Surgery</t>
  </si>
  <si>
    <t>Peripheral</t>
  </si>
  <si>
    <t>Urology/CC</t>
  </si>
  <si>
    <t>Interventional</t>
  </si>
  <si>
    <t>Revenue y/y</t>
  </si>
  <si>
    <t>CFFO</t>
  </si>
  <si>
    <t>CapEx</t>
  </si>
  <si>
    <t>Medication Delivery</t>
  </si>
  <si>
    <t>Catheters, Ultrasound, Syringes, Dressings, Connectors, Sharp disposals</t>
  </si>
  <si>
    <t>Medication Management</t>
  </si>
  <si>
    <t>Pumps, IV fluids, Dispensing Systems</t>
  </si>
  <si>
    <t>Pharmaceutical Systems</t>
  </si>
  <si>
    <t>Prefilled syringes, self-injection systems</t>
  </si>
  <si>
    <t>Specimen collection, Blood collection, Culture Systems, ID tests, Cytology, HPV tests</t>
  </si>
  <si>
    <t>FACS, cell analysis antibodies, reagents</t>
  </si>
  <si>
    <t>Hernia &amp; soft tissue repair, grafts</t>
  </si>
  <si>
    <t>Division</t>
  </si>
  <si>
    <t>Products</t>
  </si>
  <si>
    <t>PTA balloon catheters, RF catheters, peripheral stents</t>
  </si>
  <si>
    <t>Urology/Crit Care</t>
  </si>
  <si>
    <t xml:space="preserve">Urine management, urological drainage, kidney stone management devices, </t>
  </si>
  <si>
    <t>FCF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</si>
</sst>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3" fontId="0" fillId="0" borderId="0" xfId="0" applyNumberFormat="1"/>
    <xf numFmtId="0" fontId="0" fillId="0" borderId="0" xfId="0" applyAlignment="1">
      <alignment horizontal="right"/>
    </xf>
    <xf numFmtId="4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0" fontId="2" fillId="0" borderId="0" xfId="1"/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9" fontId="0" fillId="0" borderId="0" xfId="0" applyNumberFormat="1" applyAlignment="1">
      <alignment horizontal="right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/>
    <xf numFmtId="9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26276</xdr:colOff>
      <xdr:row>0</xdr:row>
      <xdr:rowOff>39414</xdr:rowOff>
    </xdr:from>
    <xdr:to>
      <xdr:col>14</xdr:col>
      <xdr:colOff>26276</xdr:colOff>
      <xdr:row>57</xdr:row>
      <xdr:rowOff>13138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D94D232D-709B-3E72-D585-FD71FEA21BD2}"/>
            </a:ext>
          </a:extLst>
        </xdr:cNvPr>
        <xdr:cNvCxnSpPr/>
      </xdr:nvCxnSpPr>
      <xdr:spPr>
        <a:xfrm>
          <a:off x="8900948" y="39414"/>
          <a:ext cx="0" cy="687113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7882</xdr:colOff>
      <xdr:row>0</xdr:row>
      <xdr:rowOff>0</xdr:rowOff>
    </xdr:from>
    <xdr:to>
      <xdr:col>29</xdr:col>
      <xdr:colOff>7882</xdr:colOff>
      <xdr:row>56</xdr:row>
      <xdr:rowOff>137948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4C3EB6D7-5407-444A-B583-1DA6C14CDC3C}"/>
            </a:ext>
          </a:extLst>
        </xdr:cNvPr>
        <xdr:cNvCxnSpPr/>
      </xdr:nvCxnSpPr>
      <xdr:spPr>
        <a:xfrm>
          <a:off x="18046261" y="0"/>
          <a:ext cx="0" cy="917027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A20A5-9A2C-4630-A7F8-40230434F347}">
  <dimension ref="B2:N11"/>
  <sheetViews>
    <sheetView zoomScale="160" zoomScaleNormal="160" workbookViewId="0">
      <selection activeCell="C10" sqref="C10"/>
    </sheetView>
  </sheetViews>
  <sheetFormatPr defaultRowHeight="12.75" x14ac:dyDescent="0.2"/>
  <sheetData>
    <row r="2" spans="2:14" x14ac:dyDescent="0.2">
      <c r="B2" s="9" t="s">
        <v>70</v>
      </c>
      <c r="C2" s="10" t="s">
        <v>71</v>
      </c>
      <c r="D2" s="10"/>
      <c r="E2" s="10"/>
      <c r="F2" s="10"/>
      <c r="G2" s="10"/>
      <c r="H2" s="10"/>
      <c r="I2" s="10"/>
      <c r="J2" s="11"/>
      <c r="L2" t="s">
        <v>0</v>
      </c>
      <c r="M2">
        <v>245.84</v>
      </c>
    </row>
    <row r="3" spans="2:14" x14ac:dyDescent="0.2">
      <c r="B3" s="12" t="s">
        <v>61</v>
      </c>
      <c r="C3" s="13" t="s">
        <v>62</v>
      </c>
      <c r="D3" s="13"/>
      <c r="E3" s="13"/>
      <c r="F3" s="13"/>
      <c r="G3" s="13"/>
      <c r="H3" s="13"/>
      <c r="I3" s="13"/>
      <c r="J3" s="14"/>
      <c r="L3" t="s">
        <v>1</v>
      </c>
      <c r="M3" s="1">
        <v>283.90164199999998</v>
      </c>
      <c r="N3" s="2" t="s">
        <v>6</v>
      </c>
    </row>
    <row r="4" spans="2:14" x14ac:dyDescent="0.2">
      <c r="B4" s="12" t="s">
        <v>63</v>
      </c>
      <c r="C4" s="13" t="s">
        <v>64</v>
      </c>
      <c r="D4" s="13"/>
      <c r="E4" s="13"/>
      <c r="F4" s="13"/>
      <c r="G4" s="13"/>
      <c r="H4" s="13"/>
      <c r="I4" s="13"/>
      <c r="J4" s="14"/>
      <c r="L4" t="s">
        <v>2</v>
      </c>
      <c r="M4" s="1">
        <f>+M2*M3</f>
        <v>69794.379669279995</v>
      </c>
    </row>
    <row r="5" spans="2:14" x14ac:dyDescent="0.2">
      <c r="B5" s="12" t="s">
        <v>65</v>
      </c>
      <c r="C5" s="13" t="s">
        <v>66</v>
      </c>
      <c r="D5" s="13"/>
      <c r="E5" s="13"/>
      <c r="F5" s="13"/>
      <c r="G5" s="13"/>
      <c r="H5" s="13"/>
      <c r="I5" s="13"/>
      <c r="J5" s="14"/>
      <c r="L5" t="s">
        <v>3</v>
      </c>
      <c r="M5" s="1">
        <v>745</v>
      </c>
      <c r="N5" s="2" t="s">
        <v>6</v>
      </c>
    </row>
    <row r="6" spans="2:14" x14ac:dyDescent="0.2">
      <c r="B6" s="12" t="s">
        <v>51</v>
      </c>
      <c r="C6" s="13" t="s">
        <v>67</v>
      </c>
      <c r="D6" s="13"/>
      <c r="E6" s="13"/>
      <c r="F6" s="13"/>
      <c r="G6" s="13"/>
      <c r="H6" s="13"/>
      <c r="I6" s="13"/>
      <c r="J6" s="14"/>
      <c r="L6" t="s">
        <v>4</v>
      </c>
      <c r="M6" s="1">
        <v>16456</v>
      </c>
      <c r="N6" s="2" t="s">
        <v>6</v>
      </c>
    </row>
    <row r="7" spans="2:14" x14ac:dyDescent="0.2">
      <c r="B7" s="12" t="s">
        <v>52</v>
      </c>
      <c r="C7" s="13" t="s">
        <v>68</v>
      </c>
      <c r="D7" s="13"/>
      <c r="E7" s="13"/>
      <c r="F7" s="13"/>
      <c r="G7" s="13"/>
      <c r="H7" s="13"/>
      <c r="I7" s="13"/>
      <c r="J7" s="14"/>
      <c r="L7" t="s">
        <v>5</v>
      </c>
      <c r="M7" s="1">
        <f>+M4-M5+M6</f>
        <v>85505.379669279995</v>
      </c>
    </row>
    <row r="8" spans="2:14" x14ac:dyDescent="0.2">
      <c r="B8" s="12" t="s">
        <v>54</v>
      </c>
      <c r="C8" s="13" t="s">
        <v>69</v>
      </c>
      <c r="D8" s="13"/>
      <c r="E8" s="13"/>
      <c r="F8" s="13"/>
      <c r="G8" s="13"/>
      <c r="H8" s="13"/>
      <c r="I8" s="13"/>
      <c r="J8" s="14"/>
    </row>
    <row r="9" spans="2:14" x14ac:dyDescent="0.2">
      <c r="B9" s="12" t="s">
        <v>55</v>
      </c>
      <c r="C9" s="18" t="s">
        <v>72</v>
      </c>
      <c r="D9" s="13"/>
      <c r="E9" s="13"/>
      <c r="F9" s="13"/>
      <c r="G9" s="13"/>
      <c r="H9" s="13"/>
      <c r="I9" s="13"/>
      <c r="J9" s="14"/>
    </row>
    <row r="10" spans="2:14" x14ac:dyDescent="0.2">
      <c r="B10" s="12" t="s">
        <v>73</v>
      </c>
      <c r="C10" s="18" t="s">
        <v>74</v>
      </c>
      <c r="D10" s="13"/>
      <c r="E10" s="13"/>
      <c r="F10" s="13"/>
      <c r="G10" s="13"/>
      <c r="H10" s="13"/>
      <c r="I10" s="13"/>
      <c r="J10" s="14"/>
    </row>
    <row r="11" spans="2:14" x14ac:dyDescent="0.2">
      <c r="B11" s="15"/>
      <c r="C11" s="16"/>
      <c r="D11" s="16"/>
      <c r="E11" s="16"/>
      <c r="F11" s="16"/>
      <c r="G11" s="16"/>
      <c r="H11" s="16"/>
      <c r="I11" s="16"/>
      <c r="J11" s="17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71EA3-2045-440B-A275-1406DD96650B}">
  <dimension ref="A1:AV50"/>
  <sheetViews>
    <sheetView tabSelected="1" zoomScale="145" zoomScaleNormal="145" workbookViewId="0">
      <pane xSplit="2" ySplit="2" topLeftCell="W3" activePane="bottomRight" state="frozen"/>
      <selection pane="topRight" activeCell="C1" sqref="C1"/>
      <selection pane="bottomLeft" activeCell="A3" sqref="A3"/>
      <selection pane="bottomRight" activeCell="AC30" sqref="AC30"/>
    </sheetView>
  </sheetViews>
  <sheetFormatPr defaultRowHeight="12.75" x14ac:dyDescent="0.2"/>
  <cols>
    <col min="1" max="1" width="5" bestFit="1" customWidth="1"/>
    <col min="2" max="2" width="18.140625" bestFit="1" customWidth="1"/>
    <col min="3" max="18" width="9.140625" style="2"/>
  </cols>
  <sheetData>
    <row r="1" spans="1:48" x14ac:dyDescent="0.2">
      <c r="A1" s="5" t="s">
        <v>7</v>
      </c>
    </row>
    <row r="2" spans="1:48" x14ac:dyDescent="0.2">
      <c r="C2" s="2" t="s">
        <v>9</v>
      </c>
      <c r="D2" s="2" t="s">
        <v>10</v>
      </c>
      <c r="E2" s="2" t="s">
        <v>11</v>
      </c>
      <c r="F2" s="2" t="s">
        <v>12</v>
      </c>
      <c r="G2" s="2" t="s">
        <v>13</v>
      </c>
      <c r="H2" s="2" t="s">
        <v>14</v>
      </c>
      <c r="I2" s="2" t="s">
        <v>15</v>
      </c>
      <c r="J2" s="2" t="s">
        <v>16</v>
      </c>
      <c r="K2" s="2" t="s">
        <v>17</v>
      </c>
      <c r="L2" s="2" t="s">
        <v>18</v>
      </c>
      <c r="M2" s="2" t="s">
        <v>19</v>
      </c>
      <c r="N2" s="2" t="s">
        <v>6</v>
      </c>
      <c r="O2" s="2" t="s">
        <v>20</v>
      </c>
      <c r="P2" s="2" t="s">
        <v>21</v>
      </c>
      <c r="Q2" s="2" t="s">
        <v>22</v>
      </c>
      <c r="R2" s="2" t="s">
        <v>23</v>
      </c>
      <c r="V2">
        <v>2015</v>
      </c>
      <c r="W2">
        <f>+V2+1</f>
        <v>2016</v>
      </c>
      <c r="X2">
        <f t="shared" ref="X2:AV2" si="0">+W2+1</f>
        <v>2017</v>
      </c>
      <c r="Y2">
        <f t="shared" si="0"/>
        <v>2018</v>
      </c>
      <c r="Z2">
        <f t="shared" si="0"/>
        <v>2019</v>
      </c>
      <c r="AA2">
        <f t="shared" si="0"/>
        <v>2020</v>
      </c>
      <c r="AB2">
        <f t="shared" si="0"/>
        <v>2021</v>
      </c>
      <c r="AC2">
        <f t="shared" si="0"/>
        <v>2022</v>
      </c>
      <c r="AD2">
        <f t="shared" si="0"/>
        <v>2023</v>
      </c>
      <c r="AE2">
        <f t="shared" si="0"/>
        <v>2024</v>
      </c>
      <c r="AF2">
        <f t="shared" si="0"/>
        <v>2025</v>
      </c>
      <c r="AG2">
        <f t="shared" si="0"/>
        <v>2026</v>
      </c>
      <c r="AH2">
        <f t="shared" si="0"/>
        <v>2027</v>
      </c>
      <c r="AI2">
        <f t="shared" si="0"/>
        <v>2028</v>
      </c>
      <c r="AJ2">
        <f t="shared" si="0"/>
        <v>2029</v>
      </c>
      <c r="AK2">
        <f t="shared" si="0"/>
        <v>2030</v>
      </c>
      <c r="AL2">
        <f t="shared" si="0"/>
        <v>2031</v>
      </c>
      <c r="AM2">
        <f t="shared" si="0"/>
        <v>2032</v>
      </c>
      <c r="AN2">
        <f t="shared" si="0"/>
        <v>2033</v>
      </c>
      <c r="AO2">
        <f t="shared" si="0"/>
        <v>2034</v>
      </c>
      <c r="AP2">
        <f t="shared" si="0"/>
        <v>2035</v>
      </c>
      <c r="AQ2">
        <f t="shared" si="0"/>
        <v>2036</v>
      </c>
      <c r="AR2">
        <f t="shared" si="0"/>
        <v>2037</v>
      </c>
      <c r="AS2">
        <f t="shared" si="0"/>
        <v>2038</v>
      </c>
      <c r="AT2">
        <f t="shared" si="0"/>
        <v>2039</v>
      </c>
      <c r="AU2">
        <f t="shared" si="0"/>
        <v>2040</v>
      </c>
      <c r="AV2">
        <f t="shared" si="0"/>
        <v>2041</v>
      </c>
    </row>
    <row r="3" spans="1:48" s="1" customFormat="1" x14ac:dyDescent="0.2">
      <c r="B3" s="1" t="s">
        <v>47</v>
      </c>
      <c r="C3" s="4"/>
      <c r="D3" s="4"/>
      <c r="E3" s="4"/>
      <c r="F3" s="4"/>
      <c r="G3" s="4"/>
      <c r="H3" s="4"/>
      <c r="I3" s="4"/>
      <c r="J3" s="4">
        <v>1096</v>
      </c>
      <c r="K3" s="4"/>
      <c r="L3" s="4"/>
      <c r="M3" s="4"/>
      <c r="N3" s="4">
        <v>1039</v>
      </c>
      <c r="O3" s="4"/>
      <c r="P3" s="4"/>
      <c r="Q3" s="4"/>
      <c r="R3" s="4"/>
      <c r="AA3" s="1">
        <v>3596</v>
      </c>
      <c r="AB3" s="1">
        <v>4101</v>
      </c>
      <c r="AC3" s="1">
        <v>4308</v>
      </c>
    </row>
    <row r="4" spans="1:48" s="1" customFormat="1" x14ac:dyDescent="0.2">
      <c r="B4" s="1" t="s">
        <v>48</v>
      </c>
      <c r="C4" s="4"/>
      <c r="D4" s="4"/>
      <c r="E4" s="4"/>
      <c r="F4" s="4"/>
      <c r="G4" s="4"/>
      <c r="H4" s="4"/>
      <c r="I4" s="4"/>
      <c r="J4" s="4">
        <v>627</v>
      </c>
      <c r="K4" s="4"/>
      <c r="L4" s="4"/>
      <c r="M4" s="4"/>
      <c r="N4" s="4">
        <v>706</v>
      </c>
      <c r="O4" s="4"/>
      <c r="P4" s="4"/>
      <c r="Q4" s="4"/>
      <c r="R4" s="4"/>
      <c r="AA4" s="1">
        <v>2454</v>
      </c>
      <c r="AB4" s="1">
        <v>2432</v>
      </c>
      <c r="AC4" s="1">
        <v>2533</v>
      </c>
    </row>
    <row r="5" spans="1:48" s="1" customFormat="1" x14ac:dyDescent="0.2">
      <c r="B5" s="1" t="s">
        <v>49</v>
      </c>
      <c r="C5" s="4"/>
      <c r="D5" s="4"/>
      <c r="E5" s="4"/>
      <c r="F5" s="4"/>
      <c r="G5" s="4"/>
      <c r="H5" s="4"/>
      <c r="I5" s="4"/>
      <c r="J5" s="4">
        <v>397</v>
      </c>
      <c r="K5" s="4"/>
      <c r="L5" s="4"/>
      <c r="M5" s="4"/>
      <c r="N5" s="4">
        <v>409</v>
      </c>
      <c r="O5" s="4"/>
      <c r="P5" s="4"/>
      <c r="Q5" s="4"/>
      <c r="R5" s="4"/>
      <c r="AA5" s="1">
        <v>1587</v>
      </c>
      <c r="AB5" s="1">
        <v>1828</v>
      </c>
      <c r="AC5" s="1">
        <v>2001</v>
      </c>
    </row>
    <row r="6" spans="1:48" s="6" customFormat="1" x14ac:dyDescent="0.2">
      <c r="B6" s="6" t="s">
        <v>50</v>
      </c>
      <c r="C6" s="7"/>
      <c r="D6" s="7"/>
      <c r="E6" s="7"/>
      <c r="F6" s="7"/>
      <c r="G6" s="7"/>
      <c r="H6" s="7"/>
      <c r="I6" s="7"/>
      <c r="J6" s="7">
        <f>+J3+J4+J5</f>
        <v>2120</v>
      </c>
      <c r="K6" s="7"/>
      <c r="L6" s="7"/>
      <c r="M6" s="7"/>
      <c r="N6" s="7">
        <f>+N3+N4+N5</f>
        <v>2154</v>
      </c>
      <c r="O6" s="7"/>
      <c r="P6" s="7"/>
      <c r="Q6" s="7"/>
      <c r="R6" s="7"/>
      <c r="AA6" s="6">
        <f>+AA5+AA4+AA3</f>
        <v>7637</v>
      </c>
      <c r="AB6" s="6">
        <f t="shared" ref="AB6:AC6" si="1">+AB5+AB4+AB3</f>
        <v>8361</v>
      </c>
      <c r="AC6" s="6">
        <f t="shared" si="1"/>
        <v>8842</v>
      </c>
    </row>
    <row r="7" spans="1:48" s="1" customFormat="1" x14ac:dyDescent="0.2">
      <c r="B7" s="1" t="s">
        <v>51</v>
      </c>
      <c r="C7" s="4"/>
      <c r="D7" s="4"/>
      <c r="E7" s="4"/>
      <c r="F7" s="4"/>
      <c r="G7" s="4"/>
      <c r="H7" s="4"/>
      <c r="I7" s="4"/>
      <c r="J7" s="4">
        <v>1145</v>
      </c>
      <c r="K7" s="4"/>
      <c r="L7" s="4"/>
      <c r="M7" s="4"/>
      <c r="N7" s="4">
        <v>952</v>
      </c>
      <c r="O7" s="4"/>
      <c r="P7" s="4"/>
      <c r="Q7" s="4"/>
      <c r="R7" s="4"/>
      <c r="AA7" s="1">
        <v>3532</v>
      </c>
      <c r="AB7" s="1">
        <v>5225</v>
      </c>
      <c r="AC7" s="1">
        <v>4185</v>
      </c>
    </row>
    <row r="8" spans="1:48" s="1" customFormat="1" x14ac:dyDescent="0.2">
      <c r="B8" s="1" t="s">
        <v>52</v>
      </c>
      <c r="C8" s="4"/>
      <c r="D8" s="4"/>
      <c r="E8" s="4"/>
      <c r="F8" s="4"/>
      <c r="G8" s="4"/>
      <c r="H8" s="4"/>
      <c r="I8" s="4"/>
      <c r="J8" s="4">
        <v>338</v>
      </c>
      <c r="K8" s="4"/>
      <c r="L8" s="4"/>
      <c r="M8" s="4"/>
      <c r="N8" s="4">
        <v>349</v>
      </c>
      <c r="O8" s="4"/>
      <c r="P8" s="4"/>
      <c r="Q8" s="4"/>
      <c r="R8" s="4"/>
      <c r="AA8" s="1">
        <v>1143</v>
      </c>
      <c r="AB8" s="1">
        <v>1305</v>
      </c>
      <c r="AC8" s="1">
        <v>1379</v>
      </c>
    </row>
    <row r="9" spans="1:48" s="6" customFormat="1" x14ac:dyDescent="0.2">
      <c r="B9" s="6" t="s">
        <v>53</v>
      </c>
      <c r="C9" s="7"/>
      <c r="D9" s="7"/>
      <c r="E9" s="7"/>
      <c r="F9" s="7"/>
      <c r="G9" s="7"/>
      <c r="H9" s="7"/>
      <c r="I9" s="7"/>
      <c r="J9" s="7">
        <f>+J7+J8</f>
        <v>1483</v>
      </c>
      <c r="K9" s="7"/>
      <c r="L9" s="7"/>
      <c r="M9" s="7"/>
      <c r="N9" s="7">
        <f>+N7+N8</f>
        <v>1301</v>
      </c>
      <c r="O9" s="7"/>
      <c r="P9" s="7"/>
      <c r="Q9" s="7"/>
      <c r="R9" s="7"/>
      <c r="AA9" s="6">
        <f>+AA7+AA8</f>
        <v>4675</v>
      </c>
      <c r="AB9" s="6">
        <f t="shared" ref="AB9:AC9" si="2">+AB7+AB8</f>
        <v>6530</v>
      </c>
      <c r="AC9" s="6">
        <f t="shared" si="2"/>
        <v>5564</v>
      </c>
    </row>
    <row r="10" spans="1:48" s="1" customFormat="1" x14ac:dyDescent="0.2">
      <c r="B10" s="1" t="s">
        <v>54</v>
      </c>
      <c r="C10" s="4"/>
      <c r="D10" s="4"/>
      <c r="E10" s="4"/>
      <c r="F10" s="4"/>
      <c r="G10" s="4"/>
      <c r="H10" s="4"/>
      <c r="I10" s="4"/>
      <c r="J10" s="4">
        <v>361</v>
      </c>
      <c r="K10" s="4"/>
      <c r="L10" s="4"/>
      <c r="M10" s="4"/>
      <c r="N10" s="4">
        <v>363</v>
      </c>
      <c r="O10" s="4"/>
      <c r="P10" s="4"/>
      <c r="Q10" s="4"/>
      <c r="R10" s="4"/>
      <c r="AA10" s="1">
        <v>1121</v>
      </c>
      <c r="AB10" s="1">
        <v>1296</v>
      </c>
      <c r="AC10" s="1">
        <v>1400</v>
      </c>
    </row>
    <row r="11" spans="1:48" s="1" customFormat="1" x14ac:dyDescent="0.2">
      <c r="B11" s="1" t="s">
        <v>55</v>
      </c>
      <c r="C11" s="4"/>
      <c r="D11" s="4"/>
      <c r="E11" s="4"/>
      <c r="F11" s="4"/>
      <c r="G11" s="4"/>
      <c r="H11" s="4"/>
      <c r="I11" s="4"/>
      <c r="J11" s="4">
        <v>413</v>
      </c>
      <c r="K11" s="4"/>
      <c r="L11" s="4"/>
      <c r="M11" s="4"/>
      <c r="N11" s="4">
        <v>433</v>
      </c>
      <c r="O11" s="4"/>
      <c r="P11" s="4"/>
      <c r="Q11" s="4"/>
      <c r="R11" s="4"/>
      <c r="AA11" s="1">
        <v>1511</v>
      </c>
      <c r="AB11" s="1">
        <v>1711</v>
      </c>
      <c r="AC11" s="1">
        <v>1759</v>
      </c>
    </row>
    <row r="12" spans="1:48" s="1" customFormat="1" x14ac:dyDescent="0.2">
      <c r="B12" s="1" t="s">
        <v>56</v>
      </c>
      <c r="C12" s="4"/>
      <c r="D12" s="4"/>
      <c r="E12" s="4"/>
      <c r="F12" s="4"/>
      <c r="G12" s="4"/>
      <c r="H12" s="4"/>
      <c r="I12" s="4"/>
      <c r="J12" s="4">
        <v>340</v>
      </c>
      <c r="K12" s="4"/>
      <c r="L12" s="4"/>
      <c r="M12" s="4"/>
      <c r="N12" s="4">
        <v>333</v>
      </c>
      <c r="O12" s="4"/>
      <c r="P12" s="4"/>
      <c r="Q12" s="4"/>
      <c r="R12" s="4"/>
      <c r="AA12" s="1">
        <v>1130</v>
      </c>
      <c r="AB12" s="1">
        <v>1232</v>
      </c>
      <c r="AC12" s="1">
        <v>1305</v>
      </c>
    </row>
    <row r="13" spans="1:48" s="6" customFormat="1" x14ac:dyDescent="0.2">
      <c r="B13" s="6" t="s">
        <v>57</v>
      </c>
      <c r="C13" s="7"/>
      <c r="D13" s="7"/>
      <c r="E13" s="7"/>
      <c r="F13" s="7"/>
      <c r="G13" s="7"/>
      <c r="H13" s="7"/>
      <c r="I13" s="7"/>
      <c r="J13" s="7">
        <f>+J10+J11+J12</f>
        <v>1114</v>
      </c>
      <c r="K13" s="7"/>
      <c r="L13" s="7"/>
      <c r="M13" s="7"/>
      <c r="N13" s="7">
        <f>+N10+N11+N12</f>
        <v>1129</v>
      </c>
      <c r="O13" s="7"/>
      <c r="P13" s="7"/>
      <c r="Q13" s="7"/>
      <c r="R13" s="7"/>
      <c r="AA13" s="6">
        <f>+AA10+AA11+AA12</f>
        <v>3762</v>
      </c>
      <c r="AB13" s="6">
        <f t="shared" ref="AB13:AC13" si="3">+AB10+AB11+AB12</f>
        <v>4239</v>
      </c>
      <c r="AC13" s="6">
        <f t="shared" si="3"/>
        <v>4464</v>
      </c>
    </row>
    <row r="15" spans="1:48" s="6" customFormat="1" x14ac:dyDescent="0.2">
      <c r="B15" s="6" t="s">
        <v>8</v>
      </c>
      <c r="C15" s="7"/>
      <c r="D15" s="7"/>
      <c r="E15" s="7"/>
      <c r="F15" s="7"/>
      <c r="G15" s="7"/>
      <c r="H15" s="7">
        <v>4607</v>
      </c>
      <c r="I15" s="7"/>
      <c r="J15" s="7">
        <v>4718</v>
      </c>
      <c r="K15" s="7"/>
      <c r="L15" s="7">
        <v>4641</v>
      </c>
      <c r="M15" s="7"/>
      <c r="N15" s="7">
        <v>4586</v>
      </c>
      <c r="O15" s="7"/>
      <c r="P15" s="7"/>
      <c r="Q15" s="7"/>
      <c r="R15" s="7"/>
      <c r="AA15" s="6">
        <f>+AA13+AA9+AA6</f>
        <v>16074</v>
      </c>
      <c r="AB15" s="6">
        <f t="shared" ref="AB15:AC15" si="4">+AB13+AB9+AB6</f>
        <v>19130</v>
      </c>
      <c r="AC15" s="6">
        <f t="shared" si="4"/>
        <v>18870</v>
      </c>
    </row>
    <row r="16" spans="1:48" s="1" customFormat="1" x14ac:dyDescent="0.2">
      <c r="B16" s="1" t="s">
        <v>29</v>
      </c>
      <c r="C16" s="4"/>
      <c r="D16" s="4"/>
      <c r="E16" s="4"/>
      <c r="F16" s="4"/>
      <c r="G16" s="4"/>
      <c r="H16" s="4">
        <v>2649</v>
      </c>
      <c r="I16" s="4"/>
      <c r="J16" s="4">
        <v>2498</v>
      </c>
      <c r="K16" s="4"/>
      <c r="L16" s="4">
        <v>2574</v>
      </c>
      <c r="M16" s="4"/>
      <c r="N16" s="4">
        <v>2453</v>
      </c>
      <c r="O16" s="4"/>
      <c r="P16" s="4"/>
      <c r="Q16" s="4"/>
      <c r="R16" s="4"/>
      <c r="AA16" s="1">
        <v>9276</v>
      </c>
      <c r="AB16" s="1">
        <v>10500</v>
      </c>
      <c r="AC16" s="1">
        <v>10393</v>
      </c>
    </row>
    <row r="17" spans="2:29" s="1" customFormat="1" x14ac:dyDescent="0.2">
      <c r="B17" s="1" t="s">
        <v>28</v>
      </c>
      <c r="C17" s="4"/>
      <c r="D17" s="4"/>
      <c r="E17" s="4"/>
      <c r="F17" s="4"/>
      <c r="G17" s="4"/>
      <c r="H17" s="4">
        <f>+H15-H16</f>
        <v>1958</v>
      </c>
      <c r="I17" s="4"/>
      <c r="J17" s="4">
        <f>+J15-J16</f>
        <v>2220</v>
      </c>
      <c r="K17" s="4"/>
      <c r="L17" s="4">
        <f>+L15-L16</f>
        <v>2067</v>
      </c>
      <c r="M17" s="4"/>
      <c r="N17" s="4">
        <f>+N15-N16</f>
        <v>2133</v>
      </c>
      <c r="O17" s="4"/>
      <c r="P17" s="4"/>
      <c r="Q17" s="4"/>
      <c r="R17" s="4"/>
      <c r="AA17" s="1">
        <f>+AA15-AA16</f>
        <v>6798</v>
      </c>
      <c r="AB17" s="1">
        <f t="shared" ref="AB17:AC17" si="5">+AB15-AB16</f>
        <v>8630</v>
      </c>
      <c r="AC17" s="1">
        <f t="shared" si="5"/>
        <v>8477</v>
      </c>
    </row>
    <row r="18" spans="2:29" s="1" customFormat="1" x14ac:dyDescent="0.2">
      <c r="B18" s="1" t="s">
        <v>27</v>
      </c>
      <c r="C18" s="4"/>
      <c r="D18" s="4"/>
      <c r="E18" s="4"/>
      <c r="F18" s="4"/>
      <c r="G18" s="4"/>
      <c r="H18" s="4">
        <v>1200</v>
      </c>
      <c r="I18" s="4"/>
      <c r="J18" s="4">
        <v>1185</v>
      </c>
      <c r="K18" s="4"/>
      <c r="L18" s="4">
        <v>1149</v>
      </c>
      <c r="M18" s="4"/>
      <c r="N18" s="4">
        <v>1187</v>
      </c>
      <c r="O18" s="4"/>
      <c r="P18" s="4"/>
      <c r="Q18" s="4"/>
      <c r="R18" s="4"/>
      <c r="AA18" s="1">
        <v>4185</v>
      </c>
      <c r="AB18" s="1">
        <v>4719</v>
      </c>
      <c r="AC18" s="1">
        <v>4709</v>
      </c>
    </row>
    <row r="19" spans="2:29" s="1" customFormat="1" x14ac:dyDescent="0.2">
      <c r="B19" s="1" t="s">
        <v>26</v>
      </c>
      <c r="C19" s="4"/>
      <c r="D19" s="4"/>
      <c r="E19" s="4"/>
      <c r="F19" s="4"/>
      <c r="G19" s="4"/>
      <c r="H19" s="4">
        <v>330</v>
      </c>
      <c r="I19" s="4"/>
      <c r="J19" s="4">
        <v>314</v>
      </c>
      <c r="K19" s="4"/>
      <c r="L19" s="4">
        <v>315</v>
      </c>
      <c r="M19" s="4"/>
      <c r="N19" s="4">
        <v>313</v>
      </c>
      <c r="O19" s="4"/>
      <c r="P19" s="4"/>
      <c r="Q19" s="4"/>
      <c r="R19" s="4"/>
      <c r="AA19" s="1">
        <v>1039</v>
      </c>
      <c r="AB19" s="1">
        <v>1279</v>
      </c>
      <c r="AC19" s="1">
        <v>1256</v>
      </c>
    </row>
    <row r="20" spans="2:29" s="1" customFormat="1" x14ac:dyDescent="0.2">
      <c r="B20" s="1" t="s">
        <v>25</v>
      </c>
      <c r="C20" s="4"/>
      <c r="D20" s="4"/>
      <c r="E20" s="4"/>
      <c r="F20" s="4"/>
      <c r="G20" s="4"/>
      <c r="H20" s="4">
        <f>+H18+H19</f>
        <v>1530</v>
      </c>
      <c r="I20" s="4"/>
      <c r="J20" s="4">
        <f>+J18+J19</f>
        <v>1499</v>
      </c>
      <c r="K20" s="4"/>
      <c r="L20" s="4">
        <f>+L18+L19</f>
        <v>1464</v>
      </c>
      <c r="M20" s="4"/>
      <c r="N20" s="4">
        <f>+N18+N19</f>
        <v>1500</v>
      </c>
      <c r="O20" s="4"/>
      <c r="P20" s="4"/>
      <c r="Q20" s="4"/>
      <c r="R20" s="4"/>
      <c r="AA20" s="1">
        <f>+AA18+AA19</f>
        <v>5224</v>
      </c>
      <c r="AB20" s="1">
        <f>+AB18+AB19</f>
        <v>5998</v>
      </c>
      <c r="AC20" s="1">
        <f>+AC18+AC19</f>
        <v>5965</v>
      </c>
    </row>
    <row r="21" spans="2:29" s="1" customFormat="1" x14ac:dyDescent="0.2">
      <c r="B21" s="1" t="s">
        <v>24</v>
      </c>
      <c r="C21" s="4"/>
      <c r="D21" s="4"/>
      <c r="E21" s="4"/>
      <c r="F21" s="4"/>
      <c r="G21" s="4"/>
      <c r="H21" s="4">
        <f>+H17-H20</f>
        <v>428</v>
      </c>
      <c r="I21" s="4"/>
      <c r="J21" s="4">
        <f>+J17-J20</f>
        <v>721</v>
      </c>
      <c r="K21" s="4"/>
      <c r="L21" s="4">
        <f>+L17-L20</f>
        <v>603</v>
      </c>
      <c r="M21" s="4"/>
      <c r="N21" s="4">
        <f>+N17-N20</f>
        <v>633</v>
      </c>
      <c r="O21" s="4"/>
      <c r="P21" s="4"/>
      <c r="Q21" s="4"/>
      <c r="R21" s="4"/>
      <c r="AA21" s="1">
        <f>+AA17-AA20</f>
        <v>1574</v>
      </c>
      <c r="AB21" s="1">
        <f>+AB17-AB20</f>
        <v>2632</v>
      </c>
      <c r="AC21" s="1">
        <f>+AC17-AC20</f>
        <v>2512</v>
      </c>
    </row>
    <row r="22" spans="2:29" s="1" customFormat="1" x14ac:dyDescent="0.2">
      <c r="B22" s="1" t="s">
        <v>34</v>
      </c>
      <c r="C22" s="4"/>
      <c r="D22" s="4"/>
      <c r="E22" s="4"/>
      <c r="F22" s="4"/>
      <c r="G22" s="4"/>
      <c r="H22" s="4">
        <f>-115+88+2-1</f>
        <v>-26</v>
      </c>
      <c r="I22" s="4"/>
      <c r="J22" s="4">
        <f>-98+2+4</f>
        <v>-92</v>
      </c>
      <c r="K22" s="4"/>
      <c r="L22" s="4">
        <f>-99+5-21-11</f>
        <v>-126</v>
      </c>
      <c r="M22" s="4"/>
      <c r="N22" s="4">
        <f>-102+6-8</f>
        <v>-104</v>
      </c>
      <c r="O22" s="4"/>
      <c r="P22" s="4"/>
      <c r="Q22" s="4"/>
      <c r="R22" s="4"/>
      <c r="AA22" s="1">
        <f>-363-528+7+23</f>
        <v>-861</v>
      </c>
      <c r="AB22" s="1">
        <f>-203-469-99+9</f>
        <v>-762</v>
      </c>
      <c r="AC22" s="1">
        <f>-398+16-117-37</f>
        <v>-536</v>
      </c>
    </row>
    <row r="23" spans="2:29" s="1" customFormat="1" x14ac:dyDescent="0.2">
      <c r="B23" s="1" t="s">
        <v>33</v>
      </c>
      <c r="C23" s="4"/>
      <c r="D23" s="4"/>
      <c r="E23" s="4"/>
      <c r="F23" s="4"/>
      <c r="G23" s="4"/>
      <c r="H23" s="4">
        <f>+H21+H22</f>
        <v>402</v>
      </c>
      <c r="I23" s="4"/>
      <c r="J23" s="4">
        <f>+J21+J22</f>
        <v>629</v>
      </c>
      <c r="K23" s="4"/>
      <c r="L23" s="4">
        <f>+L21+L22</f>
        <v>477</v>
      </c>
      <c r="M23" s="4"/>
      <c r="N23" s="4">
        <f>+N21+N22</f>
        <v>529</v>
      </c>
      <c r="O23" s="4"/>
      <c r="P23" s="4"/>
      <c r="Q23" s="4"/>
      <c r="R23" s="4"/>
      <c r="AA23" s="1">
        <f>+AA21+AA22</f>
        <v>713</v>
      </c>
      <c r="AB23" s="1">
        <f>+AB21+AB22</f>
        <v>1870</v>
      </c>
      <c r="AC23" s="1">
        <f>+AC21+AC22</f>
        <v>1976</v>
      </c>
    </row>
    <row r="24" spans="2:29" s="1" customFormat="1" x14ac:dyDescent="0.2">
      <c r="B24" s="1" t="s">
        <v>32</v>
      </c>
      <c r="C24" s="4"/>
      <c r="D24" s="4"/>
      <c r="E24" s="4"/>
      <c r="F24" s="4"/>
      <c r="G24" s="4"/>
      <c r="H24" s="4">
        <v>23</v>
      </c>
      <c r="I24" s="4"/>
      <c r="J24" s="4">
        <f>32+23</f>
        <v>55</v>
      </c>
      <c r="K24" s="4"/>
      <c r="L24" s="4">
        <f>31+23</f>
        <v>54</v>
      </c>
      <c r="M24" s="4"/>
      <c r="N24" s="4">
        <f>-28+23</f>
        <v>-5</v>
      </c>
      <c r="O24" s="4"/>
      <c r="P24" s="4"/>
      <c r="Q24" s="4"/>
      <c r="R24" s="4"/>
      <c r="AA24" s="1">
        <f>62+107</f>
        <v>169</v>
      </c>
      <c r="AB24" s="1">
        <f>88+90</f>
        <v>178</v>
      </c>
      <c r="AC24" s="1">
        <f>148+90</f>
        <v>238</v>
      </c>
    </row>
    <row r="25" spans="2:29" s="1" customFormat="1" x14ac:dyDescent="0.2">
      <c r="B25" s="1" t="s">
        <v>31</v>
      </c>
      <c r="C25" s="4"/>
      <c r="D25" s="4"/>
      <c r="E25" s="4"/>
      <c r="F25" s="4"/>
      <c r="G25" s="4"/>
      <c r="H25" s="4">
        <f>+H23-H24</f>
        <v>379</v>
      </c>
      <c r="I25" s="4"/>
      <c r="J25" s="4">
        <f>+J23-J24</f>
        <v>574</v>
      </c>
      <c r="K25" s="4"/>
      <c r="L25" s="4">
        <f>+L23-L24</f>
        <v>423</v>
      </c>
      <c r="M25" s="4"/>
      <c r="N25" s="4">
        <f>+N23-N24</f>
        <v>534</v>
      </c>
      <c r="O25" s="4"/>
      <c r="P25" s="4"/>
      <c r="Q25" s="4"/>
      <c r="R25" s="4"/>
      <c r="AA25" s="1">
        <f>+AA23-AA24</f>
        <v>544</v>
      </c>
      <c r="AB25" s="1">
        <f>+AB23-AB24</f>
        <v>1692</v>
      </c>
      <c r="AC25" s="1">
        <f>+AC23-AC24</f>
        <v>1738</v>
      </c>
    </row>
    <row r="26" spans="2:29" x14ac:dyDescent="0.2">
      <c r="B26" t="s">
        <v>30</v>
      </c>
      <c r="H26" s="3" t="e">
        <f>+H25/H27</f>
        <v>#DIV/0!</v>
      </c>
      <c r="J26" s="3">
        <f>+J25/J27</f>
        <v>2.0019321784440032</v>
      </c>
      <c r="L26" s="3">
        <f>+L25/L27</f>
        <v>1.4831951257285223</v>
      </c>
      <c r="N26" s="3">
        <f>+N25/N27</f>
        <v>1.8809331155611986</v>
      </c>
      <c r="AB26" s="1">
        <f>364.639901-80.163949</f>
        <v>284.47595200000001</v>
      </c>
      <c r="AC26" s="1">
        <f>364.639901-81.283191</f>
        <v>283.35671000000002</v>
      </c>
    </row>
    <row r="27" spans="2:29" s="1" customFormat="1" x14ac:dyDescent="0.2">
      <c r="B27" s="1" t="s">
        <v>1</v>
      </c>
      <c r="C27" s="4"/>
      <c r="D27" s="4"/>
      <c r="E27" s="4"/>
      <c r="F27" s="4"/>
      <c r="G27" s="4"/>
      <c r="H27" s="4"/>
      <c r="I27" s="4"/>
      <c r="J27" s="4">
        <v>286.72300000000001</v>
      </c>
      <c r="K27" s="4"/>
      <c r="L27" s="4">
        <v>285.19511199999999</v>
      </c>
      <c r="M27" s="4"/>
      <c r="N27" s="4">
        <v>283.90164199999998</v>
      </c>
      <c r="O27" s="4"/>
      <c r="P27" s="4"/>
      <c r="Q27" s="4"/>
      <c r="R27" s="4"/>
    </row>
    <row r="29" spans="2:29" x14ac:dyDescent="0.2">
      <c r="B29" s="1" t="s">
        <v>58</v>
      </c>
      <c r="L29" s="8">
        <f>+L15/H15-1</f>
        <v>7.3800738007379074E-3</v>
      </c>
      <c r="N29" s="8">
        <f>+N15/J15-1</f>
        <v>-2.7977956761339517E-2</v>
      </c>
      <c r="AB29" s="19">
        <f>+AB15/AA15-1</f>
        <v>0.19012069180042301</v>
      </c>
      <c r="AC29" s="19">
        <f>+AC15/AB15-1</f>
        <v>-1.3591217982226844E-2</v>
      </c>
    </row>
    <row r="30" spans="2:29" x14ac:dyDescent="0.2">
      <c r="B30" s="1" t="s">
        <v>28</v>
      </c>
      <c r="L30" s="8"/>
      <c r="N30" s="8"/>
      <c r="AA30" s="19">
        <f>+AA17/AA15</f>
        <v>0.42291899962672641</v>
      </c>
      <c r="AB30" s="19">
        <f t="shared" ref="AB30:AC30" si="6">+AB17/AB15</f>
        <v>0.45112388917929952</v>
      </c>
      <c r="AC30" s="19">
        <f t="shared" si="6"/>
        <v>0.44923158452570217</v>
      </c>
    </row>
    <row r="32" spans="2:29" s="1" customFormat="1" x14ac:dyDescent="0.2">
      <c r="B32" s="1" t="s">
        <v>3</v>
      </c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>
        <f>612+133</f>
        <v>745</v>
      </c>
      <c r="O32" s="4"/>
      <c r="P32" s="4"/>
      <c r="Q32" s="4"/>
      <c r="R32" s="4"/>
    </row>
    <row r="33" spans="2:29" s="1" customFormat="1" x14ac:dyDescent="0.2">
      <c r="B33" s="1" t="s">
        <v>35</v>
      </c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>
        <v>2282</v>
      </c>
      <c r="O33" s="4"/>
      <c r="P33" s="4"/>
      <c r="Q33" s="4"/>
      <c r="R33" s="4"/>
    </row>
    <row r="34" spans="2:29" s="1" customFormat="1" x14ac:dyDescent="0.2">
      <c r="B34" s="1" t="s">
        <v>36</v>
      </c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>
        <v>3604</v>
      </c>
      <c r="O34" s="4"/>
      <c r="P34" s="4"/>
      <c r="Q34" s="4"/>
      <c r="R34" s="4"/>
    </row>
    <row r="35" spans="2:29" s="1" customFormat="1" x14ac:dyDescent="0.2">
      <c r="B35" s="1" t="s">
        <v>37</v>
      </c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>
        <v>1545</v>
      </c>
      <c r="O35" s="4"/>
      <c r="P35" s="4"/>
      <c r="Q35" s="4"/>
      <c r="R35" s="4"/>
    </row>
    <row r="36" spans="2:29" s="1" customFormat="1" x14ac:dyDescent="0.2">
      <c r="B36" s="1" t="s">
        <v>38</v>
      </c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>
        <v>6247</v>
      </c>
      <c r="O36" s="4"/>
      <c r="P36" s="4"/>
      <c r="Q36" s="4"/>
      <c r="R36" s="4"/>
    </row>
    <row r="37" spans="2:29" s="1" customFormat="1" x14ac:dyDescent="0.2">
      <c r="B37" s="1" t="s">
        <v>39</v>
      </c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>
        <f>24763+8874+2599+517</f>
        <v>36753</v>
      </c>
      <c r="O37" s="4"/>
      <c r="P37" s="4"/>
      <c r="Q37" s="4"/>
      <c r="R37" s="4"/>
    </row>
    <row r="38" spans="2:29" s="1" customFormat="1" x14ac:dyDescent="0.2">
      <c r="B38" s="1" t="s">
        <v>40</v>
      </c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>
        <v>1955</v>
      </c>
      <c r="O38" s="4"/>
      <c r="P38" s="4"/>
      <c r="Q38" s="4"/>
      <c r="R38" s="4"/>
    </row>
    <row r="39" spans="2:29" s="1" customFormat="1" x14ac:dyDescent="0.2">
      <c r="B39" s="1" t="s">
        <v>41</v>
      </c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>
        <f>SUM(N32:N38)</f>
        <v>53131</v>
      </c>
      <c r="O39" s="4"/>
      <c r="P39" s="4"/>
      <c r="Q39" s="4"/>
      <c r="R39" s="4"/>
    </row>
    <row r="40" spans="2:29" s="1" customFormat="1" x14ac:dyDescent="0.2"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</row>
    <row r="41" spans="2:29" s="1" customFormat="1" x14ac:dyDescent="0.2">
      <c r="B41" s="1" t="s">
        <v>4</v>
      </c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>
        <f>2188+14268</f>
        <v>16456</v>
      </c>
      <c r="O41" s="4"/>
      <c r="P41" s="4"/>
      <c r="Q41" s="4"/>
      <c r="R41" s="4"/>
    </row>
    <row r="42" spans="2:29" s="1" customFormat="1" x14ac:dyDescent="0.2">
      <c r="B42" s="1" t="s">
        <v>42</v>
      </c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>
        <v>5437</v>
      </c>
      <c r="O42" s="4"/>
      <c r="P42" s="4"/>
      <c r="Q42" s="4"/>
      <c r="R42" s="4"/>
    </row>
    <row r="43" spans="2:29" s="1" customFormat="1" x14ac:dyDescent="0.2">
      <c r="B43" s="1" t="s">
        <v>43</v>
      </c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>
        <v>902</v>
      </c>
      <c r="O43" s="4"/>
      <c r="P43" s="4"/>
      <c r="Q43" s="4"/>
      <c r="R43" s="4"/>
    </row>
    <row r="44" spans="2:29" s="1" customFormat="1" x14ac:dyDescent="0.2">
      <c r="B44" s="1" t="s">
        <v>44</v>
      </c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>
        <v>4862</v>
      </c>
      <c r="O44" s="4"/>
      <c r="P44" s="4"/>
      <c r="Q44" s="4"/>
      <c r="R44" s="4"/>
    </row>
    <row r="45" spans="2:29" s="1" customFormat="1" x14ac:dyDescent="0.2">
      <c r="B45" s="1" t="s">
        <v>45</v>
      </c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>
        <v>25472</v>
      </c>
      <c r="O45" s="4"/>
      <c r="P45" s="4"/>
      <c r="Q45" s="4"/>
      <c r="R45" s="4"/>
    </row>
    <row r="46" spans="2:29" s="1" customFormat="1" x14ac:dyDescent="0.2">
      <c r="B46" s="1" t="s">
        <v>46</v>
      </c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>
        <f>SUM(N41:N45)</f>
        <v>53129</v>
      </c>
      <c r="O46" s="4"/>
      <c r="P46" s="4"/>
      <c r="Q46" s="4"/>
      <c r="R46" s="4"/>
    </row>
    <row r="48" spans="2:29" x14ac:dyDescent="0.2">
      <c r="B48" s="1" t="s">
        <v>59</v>
      </c>
      <c r="J48" s="2">
        <v>530</v>
      </c>
      <c r="N48" s="2">
        <v>399</v>
      </c>
      <c r="AA48" s="1">
        <v>2937</v>
      </c>
      <c r="AB48" s="1">
        <v>4126</v>
      </c>
      <c r="AC48" s="1">
        <v>2471</v>
      </c>
    </row>
    <row r="49" spans="2:29" x14ac:dyDescent="0.2">
      <c r="B49" s="1" t="s">
        <v>60</v>
      </c>
      <c r="J49" s="2">
        <v>183</v>
      </c>
      <c r="N49" s="2">
        <v>208</v>
      </c>
      <c r="AA49" s="1">
        <v>769</v>
      </c>
      <c r="AB49" s="1">
        <v>1194</v>
      </c>
      <c r="AC49" s="1">
        <v>973</v>
      </c>
    </row>
    <row r="50" spans="2:29" x14ac:dyDescent="0.2">
      <c r="B50" s="1" t="s">
        <v>75</v>
      </c>
      <c r="J50" s="2">
        <f>+J48-J49</f>
        <v>347</v>
      </c>
      <c r="N50" s="2">
        <f>+N48-N49</f>
        <v>191</v>
      </c>
      <c r="AA50" s="1">
        <f>+AA48-AA49</f>
        <v>2168</v>
      </c>
      <c r="AB50" s="1">
        <f t="shared" ref="AB50:AC50" si="7">+AB48-AB49</f>
        <v>2932</v>
      </c>
      <c r="AC50" s="1">
        <f t="shared" si="7"/>
        <v>1498</v>
      </c>
    </row>
  </sheetData>
  <hyperlinks>
    <hyperlink ref="A1" location="Main!A1" display="Main" xr:uid="{B056562E-DC6A-4278-A6AB-2C9AB58C019E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2023-02-04T15:25:30Z</dcterms:created>
  <dcterms:modified xsi:type="dcterms:W3CDTF">2023-02-04T16:10:38Z</dcterms:modified>
</cp:coreProperties>
</file>