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78F70B0C-5292-4DB0-A2B2-D5026499712A}" xr6:coauthVersionLast="47" xr6:coauthVersionMax="47" xr10:uidLastSave="{00000000-0000-0000-0000-000000000000}"/>
  <bookViews>
    <workbookView xWindow="-20325" yWindow="0" windowWidth="20100" windowHeight="20985" xr2:uid="{E6509C3E-AEFE-495C-9954-6EF38529214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50" i="2" l="1"/>
  <c r="AN50" i="2"/>
  <c r="S50" i="2"/>
  <c r="P50" i="2"/>
  <c r="T50" i="2"/>
  <c r="L7" i="1"/>
  <c r="T24" i="2"/>
  <c r="AK12" i="2"/>
  <c r="AJ12" i="2"/>
  <c r="AK7" i="2"/>
  <c r="AK9" i="2" s="1"/>
  <c r="AJ7" i="2"/>
  <c r="AJ9" i="2" s="1"/>
  <c r="AP18" i="2"/>
  <c r="AO18" i="2"/>
  <c r="AN18" i="2"/>
  <c r="AM18" i="2"/>
  <c r="AL19" i="2"/>
  <c r="AL16" i="2"/>
  <c r="AL14" i="2"/>
  <c r="AL11" i="2"/>
  <c r="AL12" i="2" s="1"/>
  <c r="AL10" i="2"/>
  <c r="AL8" i="2"/>
  <c r="AL6" i="2"/>
  <c r="AL5" i="2"/>
  <c r="AL7" i="2" s="1"/>
  <c r="AL9" i="2" s="1"/>
  <c r="AL13" i="2" s="1"/>
  <c r="AL15" i="2" s="1"/>
  <c r="AL17" i="2" s="1"/>
  <c r="AL18" i="2" s="1"/>
  <c r="V16" i="2"/>
  <c r="U16" i="2"/>
  <c r="V14" i="2"/>
  <c r="U14" i="2"/>
  <c r="V11" i="2"/>
  <c r="U11" i="2"/>
  <c r="V10" i="2"/>
  <c r="U10" i="2"/>
  <c r="U12" i="2" s="1"/>
  <c r="U13" i="2" s="1"/>
  <c r="V8" i="2"/>
  <c r="U8" i="2"/>
  <c r="V9" i="2"/>
  <c r="U9" i="2"/>
  <c r="U22" i="2" s="1"/>
  <c r="V22" i="2"/>
  <c r="L21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T22" i="2"/>
  <c r="V21" i="2"/>
  <c r="U21" i="2"/>
  <c r="V12" i="2"/>
  <c r="V13" i="2" s="1"/>
  <c r="U19" i="2"/>
  <c r="V19" i="2" s="1"/>
  <c r="AO19" i="2"/>
  <c r="AN19" i="2"/>
  <c r="AM19" i="2"/>
  <c r="AO14" i="2"/>
  <c r="AP11" i="2"/>
  <c r="AO11" i="2"/>
  <c r="AO12" i="2" s="1"/>
  <c r="AN11" i="2"/>
  <c r="AN12" i="2" s="1"/>
  <c r="AM11" i="2"/>
  <c r="AM12" i="2" s="1"/>
  <c r="AO10" i="2"/>
  <c r="AN10" i="2"/>
  <c r="AM10" i="2"/>
  <c r="AP8" i="2"/>
  <c r="AO8" i="2"/>
  <c r="AN8" i="2"/>
  <c r="AM8" i="2"/>
  <c r="V6" i="2"/>
  <c r="V5" i="2"/>
  <c r="U6" i="2"/>
  <c r="AP6" i="2" s="1"/>
  <c r="U5" i="2"/>
  <c r="U7" i="2" s="1"/>
  <c r="AM6" i="2"/>
  <c r="AM5" i="2"/>
  <c r="AM7" i="2" s="1"/>
  <c r="AM9" i="2" s="1"/>
  <c r="AN6" i="2"/>
  <c r="AN5" i="2"/>
  <c r="AN7" i="2" s="1"/>
  <c r="AO6" i="2"/>
  <c r="AO5" i="2"/>
  <c r="AO7" i="2" s="1"/>
  <c r="AP5" i="2"/>
  <c r="H16" i="2"/>
  <c r="H14" i="2"/>
  <c r="H12" i="2"/>
  <c r="H7" i="2"/>
  <c r="H9" i="2" s="1"/>
  <c r="H13" i="2" s="1"/>
  <c r="I14" i="2"/>
  <c r="I12" i="2"/>
  <c r="I7" i="2"/>
  <c r="I9" i="2" s="1"/>
  <c r="AK13" i="2" l="1"/>
  <c r="AK15" i="2" s="1"/>
  <c r="AK17" i="2" s="1"/>
  <c r="AJ13" i="2"/>
  <c r="AJ15" i="2" s="1"/>
  <c r="AJ17" i="2" s="1"/>
  <c r="U15" i="2"/>
  <c r="U17" i="2" s="1"/>
  <c r="U18" i="2" s="1"/>
  <c r="V15" i="2"/>
  <c r="V17" i="2" s="1"/>
  <c r="V18" i="2" s="1"/>
  <c r="AP10" i="2"/>
  <c r="AP12" i="2"/>
  <c r="AN9" i="2"/>
  <c r="AN13" i="2" s="1"/>
  <c r="AN21" i="2"/>
  <c r="AO21" i="2"/>
  <c r="AO9" i="2"/>
  <c r="AO13" i="2" s="1"/>
  <c r="AO15" i="2" s="1"/>
  <c r="AM13" i="2"/>
  <c r="V7" i="2"/>
  <c r="H15" i="2"/>
  <c r="AP19" i="2"/>
  <c r="AP7" i="2"/>
  <c r="H17" i="2"/>
  <c r="H18" i="2" s="1"/>
  <c r="I13" i="2"/>
  <c r="I15" i="2" s="1"/>
  <c r="I17" i="2" s="1"/>
  <c r="I18" i="2" s="1"/>
  <c r="N21" i="2"/>
  <c r="L16" i="2"/>
  <c r="L12" i="2"/>
  <c r="L7" i="2"/>
  <c r="L9" i="2" s="1"/>
  <c r="M16" i="2"/>
  <c r="M12" i="2"/>
  <c r="M7" i="2"/>
  <c r="N16" i="2"/>
  <c r="N12" i="2"/>
  <c r="N7" i="2"/>
  <c r="Q16" i="2"/>
  <c r="Q12" i="2"/>
  <c r="Q7" i="2"/>
  <c r="Q9" i="2" s="1"/>
  <c r="O16" i="2"/>
  <c r="AO16" i="2" s="1"/>
  <c r="R16" i="2"/>
  <c r="R7" i="2"/>
  <c r="R9" i="2" s="1"/>
  <c r="O12" i="2"/>
  <c r="O7" i="2"/>
  <c r="O9" i="2" s="1"/>
  <c r="T45" i="2"/>
  <c r="T42" i="2"/>
  <c r="T38" i="2"/>
  <c r="T41" i="2"/>
  <c r="T40" i="2"/>
  <c r="T46" i="2" s="1"/>
  <c r="T36" i="2"/>
  <c r="S36" i="2"/>
  <c r="R36" i="2"/>
  <c r="Q36" i="2"/>
  <c r="P36" i="2"/>
  <c r="O36" i="2"/>
  <c r="N36" i="2"/>
  <c r="M36" i="2"/>
  <c r="L36" i="2"/>
  <c r="T35" i="2"/>
  <c r="T25" i="2"/>
  <c r="T32" i="2"/>
  <c r="P16" i="2"/>
  <c r="R12" i="2"/>
  <c r="P12" i="2"/>
  <c r="S16" i="2"/>
  <c r="S12" i="2"/>
  <c r="T16" i="2"/>
  <c r="T14" i="2"/>
  <c r="AP14" i="2" s="1"/>
  <c r="T12" i="2"/>
  <c r="T7" i="2"/>
  <c r="T9" i="2" s="1"/>
  <c r="T13" i="2" s="1"/>
  <c r="T15" i="2" s="1"/>
  <c r="S7" i="2"/>
  <c r="S9" i="2" s="1"/>
  <c r="P7" i="2"/>
  <c r="T21" i="2" s="1"/>
  <c r="K21" i="2"/>
  <c r="AC2" i="2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K45" i="2"/>
  <c r="K42" i="2"/>
  <c r="K38" i="2"/>
  <c r="K40" i="2"/>
  <c r="K27" i="2"/>
  <c r="K25" i="2"/>
  <c r="K32" i="2"/>
  <c r="K16" i="2"/>
  <c r="J16" i="2"/>
  <c r="G16" i="2"/>
  <c r="AM16" i="2" s="1"/>
  <c r="K14" i="2"/>
  <c r="AN14" i="2" s="1"/>
  <c r="J14" i="2"/>
  <c r="G14" i="2"/>
  <c r="AM14" i="2" s="1"/>
  <c r="K12" i="2"/>
  <c r="J12" i="2"/>
  <c r="G12" i="2"/>
  <c r="G7" i="2"/>
  <c r="G9" i="2" s="1"/>
  <c r="G13" i="2" s="1"/>
  <c r="G15" i="2" s="1"/>
  <c r="J7" i="2"/>
  <c r="J9" i="2" s="1"/>
  <c r="J13" i="2" s="1"/>
  <c r="J15" i="2" s="1"/>
  <c r="K7" i="2"/>
  <c r="K9" i="2" s="1"/>
  <c r="K13" i="2" s="1"/>
  <c r="P21" i="2" l="1"/>
  <c r="O21" i="2"/>
  <c r="AP9" i="2"/>
  <c r="AP13" i="2" s="1"/>
  <c r="AP15" i="2" s="1"/>
  <c r="AP21" i="2"/>
  <c r="AM15" i="2"/>
  <c r="AM17" i="2" s="1"/>
  <c r="K46" i="2"/>
  <c r="M9" i="2"/>
  <c r="M21" i="2"/>
  <c r="Q21" i="2"/>
  <c r="K36" i="2"/>
  <c r="S13" i="2"/>
  <c r="S15" i="2" s="1"/>
  <c r="S17" i="2" s="1"/>
  <c r="S18" i="2" s="1"/>
  <c r="AP16" i="2"/>
  <c r="P9" i="2"/>
  <c r="P13" i="2" s="1"/>
  <c r="P15" i="2" s="1"/>
  <c r="P17" i="2" s="1"/>
  <c r="P18" i="2" s="1"/>
  <c r="AN16" i="2"/>
  <c r="AO17" i="2"/>
  <c r="R21" i="2"/>
  <c r="AN15" i="2"/>
  <c r="AN17" i="2" s="1"/>
  <c r="L13" i="2"/>
  <c r="L15" i="2" s="1"/>
  <c r="L17" i="2" s="1"/>
  <c r="L18" i="2" s="1"/>
  <c r="M13" i="2"/>
  <c r="M15" i="2" s="1"/>
  <c r="M17" i="2" s="1"/>
  <c r="M18" i="2" s="1"/>
  <c r="N9" i="2"/>
  <c r="N13" i="2" s="1"/>
  <c r="N15" i="2" s="1"/>
  <c r="N17" i="2" s="1"/>
  <c r="N18" i="2" s="1"/>
  <c r="Q13" i="2"/>
  <c r="Q15" i="2" s="1"/>
  <c r="Q17" i="2" s="1"/>
  <c r="Q18" i="2" s="1"/>
  <c r="O13" i="2"/>
  <c r="O15" i="2" s="1"/>
  <c r="O17" i="2" s="1"/>
  <c r="O18" i="2" s="1"/>
  <c r="S21" i="2"/>
  <c r="R13" i="2"/>
  <c r="R15" i="2" s="1"/>
  <c r="R17" i="2" s="1"/>
  <c r="R18" i="2" s="1"/>
  <c r="K15" i="2"/>
  <c r="K17" i="2" s="1"/>
  <c r="K18" i="2" s="1"/>
  <c r="J17" i="2"/>
  <c r="J18" i="2" s="1"/>
  <c r="T17" i="2"/>
  <c r="T18" i="2" s="1"/>
  <c r="K24" i="2"/>
  <c r="G17" i="2"/>
  <c r="G18" i="2" s="1"/>
  <c r="L4" i="1"/>
  <c r="AP17" i="2" l="1"/>
</calcChain>
</file>

<file path=xl/sharedStrings.xml><?xml version="1.0" encoding="utf-8"?>
<sst xmlns="http://schemas.openxmlformats.org/spreadsheetml/2006/main" count="82" uniqueCount="74">
  <si>
    <t>Price</t>
  </si>
  <si>
    <t>Shares</t>
  </si>
  <si>
    <t>MC</t>
  </si>
  <si>
    <t>Cash</t>
  </si>
  <si>
    <t>Debt</t>
  </si>
  <si>
    <t>EV</t>
  </si>
  <si>
    <t>Founded</t>
  </si>
  <si>
    <t>Q122</t>
  </si>
  <si>
    <t>Main</t>
  </si>
  <si>
    <t>RMB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</si>
  <si>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</si>
  <si>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</si>
  <si>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</si>
  <si>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</si>
  <si>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</si>
  <si>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</si>
  <si>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</si>
  <si>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</si>
  <si>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</si>
  <si>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</si>
  <si>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</si>
  <si>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</si>
  <si>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Marketing</t>
  </si>
  <si>
    <t>Other</t>
  </si>
  <si>
    <t>COGS</t>
  </si>
  <si>
    <t>Gross Margin</t>
  </si>
  <si>
    <t>SG&amp;A</t>
  </si>
  <si>
    <t>R&amp;D</t>
  </si>
  <si>
    <t>OpEx</t>
  </si>
  <si>
    <t>OpInc</t>
  </si>
  <si>
    <t>Interest</t>
  </si>
  <si>
    <t>Pretax</t>
  </si>
  <si>
    <t>Taxes</t>
  </si>
  <si>
    <t>Net Income</t>
  </si>
  <si>
    <t>EPS</t>
  </si>
  <si>
    <t>Copyrights</t>
  </si>
  <si>
    <t>Produced content</t>
  </si>
  <si>
    <t>Goodwill</t>
  </si>
  <si>
    <t>AR</t>
  </si>
  <si>
    <t>Related Parties</t>
  </si>
  <si>
    <t>ONCA</t>
  </si>
  <si>
    <t>PP&amp;E</t>
  </si>
  <si>
    <t>Leases</t>
  </si>
  <si>
    <t>OCA</t>
  </si>
  <si>
    <t>Assets</t>
  </si>
  <si>
    <t>DR</t>
  </si>
  <si>
    <t>AP</t>
  </si>
  <si>
    <t>Related</t>
  </si>
  <si>
    <t>Net Cash</t>
  </si>
  <si>
    <t>L+SE</t>
  </si>
  <si>
    <t>SE</t>
  </si>
  <si>
    <t>ONCL</t>
  </si>
  <si>
    <t>Cash RMB</t>
  </si>
  <si>
    <t>Debt RMB</t>
  </si>
  <si>
    <t>iQIYI</t>
  </si>
  <si>
    <t>Q123</t>
  </si>
  <si>
    <t>Q223</t>
  </si>
  <si>
    <t>Q323</t>
  </si>
  <si>
    <t>Q423</t>
  </si>
  <si>
    <t>Q124</t>
  </si>
  <si>
    <t>Q224</t>
  </si>
  <si>
    <t>Q324</t>
  </si>
  <si>
    <t>Q424</t>
  </si>
  <si>
    <t>Q125</t>
  </si>
  <si>
    <t>Q225</t>
  </si>
  <si>
    <t>Q325</t>
  </si>
  <si>
    <t>Q425</t>
  </si>
  <si>
    <t>CEO: Robin Li</t>
  </si>
  <si>
    <t>CFO: Rong Luo</t>
  </si>
  <si>
    <t>Revenue y/y</t>
  </si>
  <si>
    <t>CFFO</t>
  </si>
  <si>
    <t>CapEx</t>
  </si>
  <si>
    <t>FCF</t>
  </si>
  <si>
    <t>IQIYI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</si>
</sst>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0" fontId="2" fillId="0" borderId="0" xfId="1"/>
    <xf numFmtId="9" fontId="0" fillId="0" borderId="0" xfId="0" applyNumberFormat="1" applyAlignment="1">
      <alignment horizontal="right"/>
    </xf>
    <xf numFmtId="9" fontId="0" fillId="0" borderId="0" xfId="0" applyNumberFormat="1"/>
    <xf numFmtId="4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B050C7BF-44BA-4B8E-80E2-6ECF931862A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1361</xdr:colOff>
      <xdr:row>0</xdr:row>
      <xdr:rowOff>0</xdr:rowOff>
    </xdr:from>
    <xdr:to>
      <xdr:col>20</xdr:col>
      <xdr:colOff>1361</xdr:colOff>
      <xdr:row>57</xdr:row>
      <xdr:rowOff>87086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A959509-F37D-7B08-8B1F-EA79E79CAF1D}"/>
            </a:ext>
          </a:extLst>
        </xdr:cNvPr>
        <xdr:cNvCxnSpPr/>
      </xdr:nvCxnSpPr>
      <xdr:spPr>
        <a:xfrm>
          <a:off x="12438290" y="0"/>
          <a:ext cx="0" cy="923108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19707</xdr:colOff>
      <xdr:row>0</xdr:row>
      <xdr:rowOff>26276</xdr:rowOff>
    </xdr:from>
    <xdr:to>
      <xdr:col>41</xdr:col>
      <xdr:colOff>19707</xdr:colOff>
      <xdr:row>55</xdr:row>
      <xdr:rowOff>29308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94D8B0A8-B969-8598-B935-D3928A278DEB}"/>
            </a:ext>
          </a:extLst>
        </xdr:cNvPr>
        <xdr:cNvCxnSpPr/>
      </xdr:nvCxnSpPr>
      <xdr:spPr>
        <a:xfrm>
          <a:off x="25209669" y="26276"/>
          <a:ext cx="0" cy="886860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6D289-974A-40CE-AEFB-C496CBF2CC73}">
  <dimension ref="B2:M12"/>
  <sheetViews>
    <sheetView tabSelected="1" topLeftCell="C1" zoomScale="130" zoomScaleNormal="130" workbookViewId="0">
      <selection activeCell="F2" sqref="F2"/>
    </sheetView>
  </sheetViews>
  <sheetFormatPr defaultRowHeight="12.75" x14ac:dyDescent="0.2"/>
  <cols>
    <col min="11" max="11" width="11.85546875" customWidth="1"/>
  </cols>
  <sheetData>
    <row r="2" spans="2:13" x14ac:dyDescent="0.2">
      <c r="B2" t="s">
        <v>73</v>
      </c>
      <c r="K2" t="s">
        <v>0</v>
      </c>
      <c r="L2">
        <v>92.75</v>
      </c>
    </row>
    <row r="3" spans="2:13" x14ac:dyDescent="0.2">
      <c r="K3" t="s">
        <v>1</v>
      </c>
      <c r="L3" s="1">
        <v>2834</v>
      </c>
      <c r="M3" s="2" t="s">
        <v>60</v>
      </c>
    </row>
    <row r="4" spans="2:13" x14ac:dyDescent="0.2">
      <c r="K4" t="s">
        <v>2</v>
      </c>
      <c r="L4" s="1">
        <f>+L2*L3</f>
        <v>262853.5</v>
      </c>
    </row>
    <row r="5" spans="2:13" x14ac:dyDescent="0.2">
      <c r="K5" t="s">
        <v>52</v>
      </c>
      <c r="L5" s="1">
        <v>280691</v>
      </c>
      <c r="M5" s="2" t="s">
        <v>60</v>
      </c>
    </row>
    <row r="6" spans="2:13" x14ac:dyDescent="0.2">
      <c r="K6" t="s">
        <v>53</v>
      </c>
      <c r="L6" s="1">
        <v>74548</v>
      </c>
      <c r="M6" s="2" t="s">
        <v>60</v>
      </c>
    </row>
    <row r="7" spans="2:13" x14ac:dyDescent="0.2">
      <c r="K7" t="s">
        <v>5</v>
      </c>
      <c r="L7" s="1">
        <f>+L4-L5+L6</f>
        <v>56710.5</v>
      </c>
    </row>
    <row r="9" spans="2:13" x14ac:dyDescent="0.2">
      <c r="K9" t="s">
        <v>6</v>
      </c>
      <c r="L9">
        <v>2000</v>
      </c>
    </row>
    <row r="11" spans="2:13" x14ac:dyDescent="0.2">
      <c r="K11" t="s">
        <v>67</v>
      </c>
    </row>
    <row r="12" spans="2:13" x14ac:dyDescent="0.2">
      <c r="K12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257A8-EE5B-46CF-8076-BD55C12B5BDA}">
  <dimension ref="A1:BF50"/>
  <sheetViews>
    <sheetView zoomScale="130" zoomScaleNormal="130" workbookViewId="0">
      <pane xSplit="2" ySplit="2" topLeftCell="AH3" activePane="bottomRight" state="frozen"/>
      <selection pane="topRight" activeCell="C1" sqref="C1"/>
      <selection pane="bottomLeft" activeCell="A3" sqref="A3"/>
      <selection pane="bottomRight" activeCell="AS48" sqref="AS48"/>
    </sheetView>
  </sheetViews>
  <sheetFormatPr defaultRowHeight="12.75" x14ac:dyDescent="0.2"/>
  <cols>
    <col min="1" max="1" width="5" bestFit="1" customWidth="1"/>
    <col min="2" max="2" width="17" customWidth="1"/>
    <col min="3" max="14" width="9.140625" style="2"/>
  </cols>
  <sheetData>
    <row r="1" spans="1:58" x14ac:dyDescent="0.2">
      <c r="A1" s="7" t="s">
        <v>8</v>
      </c>
    </row>
    <row r="2" spans="1:58" x14ac:dyDescent="0.2">
      <c r="B2" t="s">
        <v>9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  <c r="K2" s="2" t="s">
        <v>7</v>
      </c>
      <c r="L2" s="2" t="s">
        <v>19</v>
      </c>
      <c r="M2" s="2" t="s">
        <v>20</v>
      </c>
      <c r="N2" s="2" t="s">
        <v>21</v>
      </c>
      <c r="O2" s="2" t="s">
        <v>55</v>
      </c>
      <c r="P2" s="2" t="s">
        <v>56</v>
      </c>
      <c r="Q2" s="2" t="s">
        <v>57</v>
      </c>
      <c r="R2" s="2" t="s">
        <v>58</v>
      </c>
      <c r="S2" s="2" t="s">
        <v>59</v>
      </c>
      <c r="T2" s="2" t="s">
        <v>60</v>
      </c>
      <c r="U2" s="2" t="s">
        <v>61</v>
      </c>
      <c r="V2" s="2" t="s">
        <v>62</v>
      </c>
      <c r="W2" s="2" t="s">
        <v>63</v>
      </c>
      <c r="X2" s="2" t="s">
        <v>64</v>
      </c>
      <c r="Y2" s="2" t="s">
        <v>65</v>
      </c>
      <c r="Z2" s="2" t="s">
        <v>66</v>
      </c>
      <c r="AB2">
        <v>2010</v>
      </c>
      <c r="AC2">
        <f>+AB2+1</f>
        <v>2011</v>
      </c>
      <c r="AD2">
        <f t="shared" ref="AD2:BF2" si="0">+AC2+1</f>
        <v>2012</v>
      </c>
      <c r="AE2">
        <f t="shared" si="0"/>
        <v>2013</v>
      </c>
      <c r="AF2">
        <f t="shared" si="0"/>
        <v>2014</v>
      </c>
      <c r="AG2">
        <f t="shared" si="0"/>
        <v>2015</v>
      </c>
      <c r="AH2">
        <f t="shared" si="0"/>
        <v>2016</v>
      </c>
      <c r="AI2">
        <f t="shared" si="0"/>
        <v>2017</v>
      </c>
      <c r="AJ2">
        <f t="shared" si="0"/>
        <v>2018</v>
      </c>
      <c r="AK2">
        <f t="shared" si="0"/>
        <v>2019</v>
      </c>
      <c r="AL2">
        <f t="shared" si="0"/>
        <v>2020</v>
      </c>
      <c r="AM2">
        <f t="shared" si="0"/>
        <v>2021</v>
      </c>
      <c r="AN2">
        <f t="shared" si="0"/>
        <v>2022</v>
      </c>
      <c r="AO2">
        <f t="shared" si="0"/>
        <v>2023</v>
      </c>
      <c r="AP2">
        <f t="shared" si="0"/>
        <v>2024</v>
      </c>
      <c r="AQ2">
        <f t="shared" si="0"/>
        <v>2025</v>
      </c>
      <c r="AR2">
        <f t="shared" si="0"/>
        <v>2026</v>
      </c>
      <c r="AS2">
        <f t="shared" si="0"/>
        <v>2027</v>
      </c>
      <c r="AT2">
        <f t="shared" si="0"/>
        <v>2028</v>
      </c>
      <c r="AU2">
        <f t="shared" si="0"/>
        <v>2029</v>
      </c>
      <c r="AV2">
        <f t="shared" si="0"/>
        <v>2030</v>
      </c>
      <c r="AW2">
        <f t="shared" si="0"/>
        <v>2031</v>
      </c>
      <c r="AX2">
        <f t="shared" si="0"/>
        <v>2032</v>
      </c>
      <c r="AY2">
        <f t="shared" si="0"/>
        <v>2033</v>
      </c>
      <c r="AZ2">
        <f t="shared" si="0"/>
        <v>2034</v>
      </c>
      <c r="BA2">
        <f t="shared" si="0"/>
        <v>2035</v>
      </c>
      <c r="BB2">
        <f t="shared" si="0"/>
        <v>2036</v>
      </c>
      <c r="BC2">
        <f t="shared" si="0"/>
        <v>2037</v>
      </c>
      <c r="BD2">
        <f t="shared" si="0"/>
        <v>2038</v>
      </c>
      <c r="BE2">
        <f t="shared" si="0"/>
        <v>2039</v>
      </c>
      <c r="BF2">
        <f t="shared" si="0"/>
        <v>2040</v>
      </c>
    </row>
    <row r="3" spans="1:58" s="1" customFormat="1" x14ac:dyDescent="0.2">
      <c r="B3" s="1" t="s">
        <v>54</v>
      </c>
      <c r="C3" s="3"/>
      <c r="D3" s="3"/>
      <c r="E3" s="3"/>
      <c r="F3" s="3"/>
      <c r="G3" s="3">
        <v>7968</v>
      </c>
      <c r="H3" s="3"/>
      <c r="I3" s="3"/>
      <c r="J3" s="3">
        <v>7389</v>
      </c>
      <c r="K3" s="3">
        <v>7277</v>
      </c>
      <c r="L3" s="3"/>
      <c r="M3" s="3"/>
      <c r="N3" s="3"/>
    </row>
    <row r="5" spans="1:58" s="1" customFormat="1" x14ac:dyDescent="0.2">
      <c r="B5" s="1" t="s">
        <v>22</v>
      </c>
      <c r="C5" s="3"/>
      <c r="D5" s="3"/>
      <c r="E5" s="3"/>
      <c r="F5" s="3"/>
      <c r="G5" s="3">
        <v>18094</v>
      </c>
      <c r="H5" s="3">
        <v>20828</v>
      </c>
      <c r="I5" s="3">
        <v>21050</v>
      </c>
      <c r="J5" s="3">
        <v>20723</v>
      </c>
      <c r="K5" s="3">
        <v>16929</v>
      </c>
      <c r="L5" s="1">
        <v>18268</v>
      </c>
      <c r="M5" s="1">
        <v>19943</v>
      </c>
      <c r="N5" s="1">
        <v>19571</v>
      </c>
      <c r="O5" s="1">
        <v>17972</v>
      </c>
      <c r="P5" s="1">
        <v>21081</v>
      </c>
      <c r="Q5" s="1">
        <v>21346</v>
      </c>
      <c r="R5" s="1">
        <v>20804</v>
      </c>
      <c r="S5" s="1">
        <v>18490</v>
      </c>
      <c r="T5" s="1">
        <v>20625</v>
      </c>
      <c r="U5" s="1">
        <f>+Q5</f>
        <v>21346</v>
      </c>
      <c r="V5" s="1">
        <f>+R5</f>
        <v>20804</v>
      </c>
      <c r="AJ5" s="1">
        <v>81912</v>
      </c>
      <c r="AK5" s="1">
        <v>78093</v>
      </c>
      <c r="AL5" s="1">
        <f>SUM(F5:I5)</f>
        <v>59972</v>
      </c>
      <c r="AM5" s="1">
        <f>SUM(G5:J5)</f>
        <v>80695</v>
      </c>
      <c r="AN5" s="1">
        <f>SUM(K5:N5)</f>
        <v>74711</v>
      </c>
      <c r="AO5" s="1">
        <f>SUM(O5:R5)</f>
        <v>81203</v>
      </c>
      <c r="AP5" s="1">
        <f>SUM(S5:V5)</f>
        <v>81265</v>
      </c>
    </row>
    <row r="6" spans="1:58" s="1" customFormat="1" x14ac:dyDescent="0.2">
      <c r="B6" s="1" t="s">
        <v>23</v>
      </c>
      <c r="C6" s="3"/>
      <c r="D6" s="3"/>
      <c r="E6" s="3"/>
      <c r="F6" s="3"/>
      <c r="G6" s="3">
        <v>10040</v>
      </c>
      <c r="H6" s="3">
        <v>10522</v>
      </c>
      <c r="I6" s="3">
        <v>10871</v>
      </c>
      <c r="J6" s="3">
        <v>12365</v>
      </c>
      <c r="K6" s="3">
        <v>11482</v>
      </c>
      <c r="L6" s="1">
        <v>11379</v>
      </c>
      <c r="M6" s="1">
        <v>12597</v>
      </c>
      <c r="N6" s="1">
        <v>13506</v>
      </c>
      <c r="O6" s="1">
        <v>13172</v>
      </c>
      <c r="P6" s="1">
        <v>12975</v>
      </c>
      <c r="Q6" s="1">
        <v>13101</v>
      </c>
      <c r="R6" s="1">
        <v>14147</v>
      </c>
      <c r="S6" s="1">
        <v>13023</v>
      </c>
      <c r="T6" s="1">
        <v>13306</v>
      </c>
      <c r="U6" s="1">
        <f>+Q6</f>
        <v>13101</v>
      </c>
      <c r="V6" s="1">
        <f>+R6</f>
        <v>14147</v>
      </c>
      <c r="AJ6" s="1">
        <v>20365</v>
      </c>
      <c r="AK6" s="1">
        <v>29320</v>
      </c>
      <c r="AL6" s="1">
        <f>SUM(F6:I6)</f>
        <v>31433</v>
      </c>
      <c r="AM6" s="1">
        <f>SUM(G6:J6)</f>
        <v>43798</v>
      </c>
      <c r="AN6" s="1">
        <f>SUM(K6:N6)</f>
        <v>48964</v>
      </c>
      <c r="AO6" s="1">
        <f>SUM(O6:R6)</f>
        <v>53395</v>
      </c>
      <c r="AP6" s="1">
        <f>SUM(S6:V6)</f>
        <v>53577</v>
      </c>
    </row>
    <row r="7" spans="1:58" s="4" customFormat="1" x14ac:dyDescent="0.2">
      <c r="B7" s="4" t="s">
        <v>10</v>
      </c>
      <c r="C7" s="5"/>
      <c r="D7" s="5"/>
      <c r="E7" s="5"/>
      <c r="F7" s="5"/>
      <c r="G7" s="5">
        <f>+G5+G6</f>
        <v>28134</v>
      </c>
      <c r="H7" s="5">
        <f>+H5+H6</f>
        <v>31350</v>
      </c>
      <c r="I7" s="5">
        <f>+I5+I6</f>
        <v>31921</v>
      </c>
      <c r="J7" s="5">
        <f>+J5+J6</f>
        <v>33088</v>
      </c>
      <c r="K7" s="5">
        <f>+K5+K6</f>
        <v>28411</v>
      </c>
      <c r="L7" s="4">
        <f>+L5+L6</f>
        <v>29647</v>
      </c>
      <c r="M7" s="4">
        <f>+M5+M6</f>
        <v>32540</v>
      </c>
      <c r="N7" s="4">
        <f>+N5+N6</f>
        <v>33077</v>
      </c>
      <c r="O7" s="4">
        <f>+O5+O6</f>
        <v>31144</v>
      </c>
      <c r="P7" s="4">
        <f>+P5+P6</f>
        <v>34056</v>
      </c>
      <c r="Q7" s="4">
        <f>+Q5+Q6</f>
        <v>34447</v>
      </c>
      <c r="R7" s="4">
        <f>+R5+R6</f>
        <v>34951</v>
      </c>
      <c r="S7" s="4">
        <f>+S5+S6</f>
        <v>31513</v>
      </c>
      <c r="T7" s="4">
        <f>+T5+T6</f>
        <v>33931</v>
      </c>
      <c r="U7" s="4">
        <f>+U5+U6</f>
        <v>34447</v>
      </c>
      <c r="V7" s="4">
        <f>+V5+V6</f>
        <v>34951</v>
      </c>
      <c r="AJ7" s="4">
        <f t="shared" ref="AJ7:AK7" si="1">+AJ5+AJ6</f>
        <v>102277</v>
      </c>
      <c r="AK7" s="4">
        <f t="shared" si="1"/>
        <v>107413</v>
      </c>
      <c r="AL7" s="4">
        <f>+AL5+AL6</f>
        <v>91405</v>
      </c>
      <c r="AM7" s="4">
        <f>+AM5+AM6</f>
        <v>124493</v>
      </c>
      <c r="AN7" s="4">
        <f>+AN5+AN6</f>
        <v>123675</v>
      </c>
      <c r="AO7" s="4">
        <f>+AO5+AO6</f>
        <v>134598</v>
      </c>
      <c r="AP7" s="4">
        <f>+AP6+AP5</f>
        <v>134842</v>
      </c>
    </row>
    <row r="8" spans="1:58" s="1" customFormat="1" x14ac:dyDescent="0.2">
      <c r="B8" s="1" t="s">
        <v>24</v>
      </c>
      <c r="C8" s="3"/>
      <c r="D8" s="3"/>
      <c r="E8" s="3"/>
      <c r="F8" s="3"/>
      <c r="G8" s="3">
        <v>15002</v>
      </c>
      <c r="H8" s="3">
        <v>15897</v>
      </c>
      <c r="I8" s="3">
        <v>16126</v>
      </c>
      <c r="J8" s="3">
        <v>17289</v>
      </c>
      <c r="K8" s="3">
        <v>15546</v>
      </c>
      <c r="L8" s="1">
        <v>15171</v>
      </c>
      <c r="M8" s="1">
        <v>16273</v>
      </c>
      <c r="N8" s="1">
        <v>16945</v>
      </c>
      <c r="O8" s="1">
        <v>15152</v>
      </c>
      <c r="P8" s="1">
        <v>16167</v>
      </c>
      <c r="Q8" s="1">
        <v>16294</v>
      </c>
      <c r="R8" s="1">
        <v>17418</v>
      </c>
      <c r="S8" s="1">
        <v>15291</v>
      </c>
      <c r="T8" s="1">
        <v>16398</v>
      </c>
      <c r="U8" s="1">
        <f>+U7-U9</f>
        <v>16534.559999999998</v>
      </c>
      <c r="V8" s="1">
        <f>+V7-V9</f>
        <v>16776.48</v>
      </c>
      <c r="AJ8" s="1">
        <v>51744</v>
      </c>
      <c r="AK8" s="1">
        <v>62850</v>
      </c>
      <c r="AL8" s="1">
        <f>SUM(F8:I8)</f>
        <v>47025</v>
      </c>
      <c r="AM8" s="1">
        <f>SUM(G8:J8)</f>
        <v>64314</v>
      </c>
      <c r="AN8" s="1">
        <f>SUM(K8:N8)</f>
        <v>63935</v>
      </c>
      <c r="AO8" s="1">
        <f>SUM(O8:R8)</f>
        <v>65031</v>
      </c>
      <c r="AP8" s="1">
        <f>SUM(S8:V8)</f>
        <v>65000.039999999994</v>
      </c>
    </row>
    <row r="9" spans="1:58" s="1" customFormat="1" x14ac:dyDescent="0.2">
      <c r="B9" s="1" t="s">
        <v>25</v>
      </c>
      <c r="C9" s="3"/>
      <c r="D9" s="3"/>
      <c r="E9" s="3"/>
      <c r="F9" s="3"/>
      <c r="G9" s="3">
        <f>+G7-G8</f>
        <v>13132</v>
      </c>
      <c r="H9" s="3">
        <f t="shared" ref="H9:I9" si="2">+H7-H8</f>
        <v>15453</v>
      </c>
      <c r="I9" s="3">
        <f t="shared" si="2"/>
        <v>15795</v>
      </c>
      <c r="J9" s="3">
        <f t="shared" ref="J9:K9" si="3">+J7-J8</f>
        <v>15799</v>
      </c>
      <c r="K9" s="3">
        <f t="shared" si="3"/>
        <v>12865</v>
      </c>
      <c r="L9" s="1">
        <f>+L7-L8</f>
        <v>14476</v>
      </c>
      <c r="M9" s="1">
        <f>+M7-M8</f>
        <v>16267</v>
      </c>
      <c r="N9" s="1">
        <f>+N7-N8</f>
        <v>16132</v>
      </c>
      <c r="O9" s="1">
        <f>+O7-O8</f>
        <v>15992</v>
      </c>
      <c r="P9" s="1">
        <f>+P7-P8</f>
        <v>17889</v>
      </c>
      <c r="Q9" s="1">
        <f>+Q7-Q8</f>
        <v>18153</v>
      </c>
      <c r="R9" s="1">
        <f>+R7-R8</f>
        <v>17533</v>
      </c>
      <c r="S9" s="1">
        <f>+S7-S8</f>
        <v>16222</v>
      </c>
      <c r="T9" s="1">
        <f>+T7-T8</f>
        <v>17533</v>
      </c>
      <c r="U9" s="1">
        <f>+U7*0.52</f>
        <v>17912.440000000002</v>
      </c>
      <c r="V9" s="1">
        <f>+V7*0.52</f>
        <v>18174.52</v>
      </c>
      <c r="AJ9" s="1">
        <f t="shared" ref="AJ9:AK9" si="4">+AJ7-AJ8</f>
        <v>50533</v>
      </c>
      <c r="AK9" s="1">
        <f t="shared" si="4"/>
        <v>44563</v>
      </c>
      <c r="AL9" s="1">
        <f>+AL7-AL8</f>
        <v>44380</v>
      </c>
      <c r="AM9" s="1">
        <f>+AM7-AM8</f>
        <v>60179</v>
      </c>
      <c r="AN9" s="1">
        <f>+AN7-AN8</f>
        <v>59740</v>
      </c>
      <c r="AO9" s="1">
        <f>+AO7-AO8</f>
        <v>69567</v>
      </c>
      <c r="AP9" s="1">
        <f>+AP7-AP8</f>
        <v>69841.960000000006</v>
      </c>
    </row>
    <row r="10" spans="1:58" s="1" customFormat="1" x14ac:dyDescent="0.2">
      <c r="B10" s="1" t="s">
        <v>26</v>
      </c>
      <c r="C10" s="3"/>
      <c r="D10" s="3"/>
      <c r="E10" s="3"/>
      <c r="F10" s="3"/>
      <c r="G10" s="3">
        <v>5245</v>
      </c>
      <c r="H10" s="3">
        <v>5707</v>
      </c>
      <c r="I10" s="3">
        <v>7320</v>
      </c>
      <c r="J10" s="3">
        <v>6451</v>
      </c>
      <c r="K10" s="3">
        <v>4656</v>
      </c>
      <c r="L10" s="1">
        <v>4784</v>
      </c>
      <c r="M10" s="1">
        <v>5193</v>
      </c>
      <c r="N10" s="1">
        <v>5881</v>
      </c>
      <c r="O10" s="1">
        <v>5589</v>
      </c>
      <c r="P10" s="1">
        <v>6298</v>
      </c>
      <c r="Q10" s="1">
        <v>5778</v>
      </c>
      <c r="R10" s="1">
        <v>5854</v>
      </c>
      <c r="S10" s="1">
        <v>5375</v>
      </c>
      <c r="T10" s="1">
        <v>5700</v>
      </c>
      <c r="U10" s="1">
        <f>+Q10</f>
        <v>5778</v>
      </c>
      <c r="V10" s="1">
        <f>+R10</f>
        <v>5854</v>
      </c>
      <c r="AJ10" s="1">
        <v>19231</v>
      </c>
      <c r="AK10" s="1">
        <v>19910</v>
      </c>
      <c r="AL10" s="1">
        <f>SUM(F10:I10)</f>
        <v>18272</v>
      </c>
      <c r="AM10" s="1">
        <f>SUM(G10:J10)</f>
        <v>24723</v>
      </c>
      <c r="AN10" s="1">
        <f>SUM(K10:N10)</f>
        <v>20514</v>
      </c>
      <c r="AO10" s="1">
        <f>SUM(O10:R10)</f>
        <v>23519</v>
      </c>
      <c r="AP10" s="1">
        <f>SUM(S10:V10)</f>
        <v>22707</v>
      </c>
    </row>
    <row r="11" spans="1:58" s="1" customFormat="1" x14ac:dyDescent="0.2">
      <c r="B11" s="1" t="s">
        <v>27</v>
      </c>
      <c r="C11" s="3"/>
      <c r="D11" s="3"/>
      <c r="E11" s="3"/>
      <c r="F11" s="3"/>
      <c r="G11" s="3">
        <v>5098</v>
      </c>
      <c r="H11" s="3">
        <v>6283</v>
      </c>
      <c r="I11" s="3">
        <v>6167</v>
      </c>
      <c r="J11" s="3">
        <v>7390</v>
      </c>
      <c r="K11" s="3">
        <v>5608</v>
      </c>
      <c r="L11" s="1">
        <v>6292</v>
      </c>
      <c r="M11" s="1">
        <v>5757</v>
      </c>
      <c r="N11" s="1">
        <v>5658</v>
      </c>
      <c r="O11" s="1">
        <v>5423</v>
      </c>
      <c r="P11" s="1">
        <v>6381</v>
      </c>
      <c r="Q11" s="1">
        <v>6101</v>
      </c>
      <c r="R11" s="1">
        <v>6287</v>
      </c>
      <c r="S11" s="1">
        <v>5363</v>
      </c>
      <c r="T11" s="1">
        <v>5889</v>
      </c>
      <c r="U11" s="1">
        <f>+Q11</f>
        <v>6101</v>
      </c>
      <c r="V11" s="1">
        <f>+R11</f>
        <v>6287</v>
      </c>
      <c r="AJ11" s="1">
        <v>15772</v>
      </c>
      <c r="AK11" s="1">
        <v>18346</v>
      </c>
      <c r="AL11" s="1">
        <f>SUM(F11:I11)</f>
        <v>17548</v>
      </c>
      <c r="AM11" s="1">
        <f>SUM(G11:J11)</f>
        <v>24938</v>
      </c>
      <c r="AN11" s="1">
        <f>SUM(K11:N11)</f>
        <v>23315</v>
      </c>
      <c r="AO11" s="1">
        <f>SUM(O11:R11)</f>
        <v>24192</v>
      </c>
      <c r="AP11" s="1">
        <f>SUM(S11:V11)</f>
        <v>23640</v>
      </c>
    </row>
    <row r="12" spans="1:58" s="1" customFormat="1" x14ac:dyDescent="0.2">
      <c r="B12" s="1" t="s">
        <v>28</v>
      </c>
      <c r="C12" s="3"/>
      <c r="D12" s="3"/>
      <c r="E12" s="3"/>
      <c r="F12" s="3"/>
      <c r="G12" s="3">
        <f>+G10+G11</f>
        <v>10343</v>
      </c>
      <c r="H12" s="3">
        <f>+H10+H11</f>
        <v>11990</v>
      </c>
      <c r="I12" s="3">
        <f>+I10+I11</f>
        <v>13487</v>
      </c>
      <c r="J12" s="3">
        <f>+J10+J11</f>
        <v>13841</v>
      </c>
      <c r="K12" s="3">
        <f>+K10+K11</f>
        <v>10264</v>
      </c>
      <c r="L12" s="3">
        <f t="shared" ref="L12:P12" si="5">+L10+L11</f>
        <v>11076</v>
      </c>
      <c r="M12" s="3">
        <f t="shared" si="5"/>
        <v>10950</v>
      </c>
      <c r="N12" s="3">
        <f t="shared" si="5"/>
        <v>11539</v>
      </c>
      <c r="O12" s="3">
        <f t="shared" si="5"/>
        <v>11012</v>
      </c>
      <c r="P12" s="3">
        <f t="shared" si="5"/>
        <v>12679</v>
      </c>
      <c r="Q12" s="3">
        <f t="shared" ref="Q12:R12" si="6">+Q10+Q11</f>
        <v>11879</v>
      </c>
      <c r="R12" s="3">
        <f t="shared" si="6"/>
        <v>12141</v>
      </c>
      <c r="S12" s="3">
        <f t="shared" ref="S12" si="7">+S10+S11</f>
        <v>10738</v>
      </c>
      <c r="T12" s="3">
        <f>+T10+T11</f>
        <v>11589</v>
      </c>
      <c r="U12" s="3">
        <f>+U10+U11</f>
        <v>11879</v>
      </c>
      <c r="V12" s="3">
        <f>+V10+V11</f>
        <v>12141</v>
      </c>
      <c r="AJ12" s="1">
        <f t="shared" ref="AJ12:AK12" si="8">+AJ11+AJ10</f>
        <v>35003</v>
      </c>
      <c r="AK12" s="1">
        <f t="shared" si="8"/>
        <v>38256</v>
      </c>
      <c r="AL12" s="1">
        <f>+AL11+AL10</f>
        <v>35820</v>
      </c>
      <c r="AM12" s="1">
        <f>+AM11+AM10</f>
        <v>49661</v>
      </c>
      <c r="AN12" s="1">
        <f t="shared" ref="AN12:AP12" si="9">+AN11+AN10</f>
        <v>43829</v>
      </c>
      <c r="AO12" s="1">
        <f t="shared" si="9"/>
        <v>47711</v>
      </c>
      <c r="AP12" s="1">
        <f t="shared" si="9"/>
        <v>46347</v>
      </c>
    </row>
    <row r="13" spans="1:58" s="1" customFormat="1" x14ac:dyDescent="0.2">
      <c r="B13" s="1" t="s">
        <v>29</v>
      </c>
      <c r="C13" s="3"/>
      <c r="D13" s="3"/>
      <c r="E13" s="3"/>
      <c r="F13" s="3"/>
      <c r="G13" s="3">
        <f>+G9-G12</f>
        <v>2789</v>
      </c>
      <c r="H13" s="3">
        <f>+H9-H12</f>
        <v>3463</v>
      </c>
      <c r="I13" s="3">
        <f>+I9-I12</f>
        <v>2308</v>
      </c>
      <c r="J13" s="3">
        <f>+J9-J12</f>
        <v>1958</v>
      </c>
      <c r="K13" s="3">
        <f>+K9-K12</f>
        <v>2601</v>
      </c>
      <c r="L13" s="3">
        <f t="shared" ref="L13:P13" si="10">+L9-L12</f>
        <v>3400</v>
      </c>
      <c r="M13" s="3">
        <f t="shared" si="10"/>
        <v>5317</v>
      </c>
      <c r="N13" s="3">
        <f t="shared" si="10"/>
        <v>4593</v>
      </c>
      <c r="O13" s="3">
        <f t="shared" si="10"/>
        <v>4980</v>
      </c>
      <c r="P13" s="3">
        <f t="shared" si="10"/>
        <v>5210</v>
      </c>
      <c r="Q13" s="3">
        <f t="shared" ref="Q13:R13" si="11">+Q9-Q12</f>
        <v>6274</v>
      </c>
      <c r="R13" s="3">
        <f t="shared" si="11"/>
        <v>5392</v>
      </c>
      <c r="S13" s="3">
        <f t="shared" ref="S13" si="12">+S9-S12</f>
        <v>5484</v>
      </c>
      <c r="T13" s="3">
        <f>+T9-T12</f>
        <v>5944</v>
      </c>
      <c r="U13" s="3">
        <f>+U9-U12</f>
        <v>6033.4400000000023</v>
      </c>
      <c r="V13" s="3">
        <f>+V9-V12</f>
        <v>6033.52</v>
      </c>
      <c r="AJ13" s="1">
        <f t="shared" ref="AJ13:AK13" si="13">+AJ9-AJ12</f>
        <v>15530</v>
      </c>
      <c r="AK13" s="1">
        <f t="shared" si="13"/>
        <v>6307</v>
      </c>
      <c r="AL13" s="1">
        <f>+AL9-AL12</f>
        <v>8560</v>
      </c>
      <c r="AM13" s="1">
        <f>+AM9-AM12</f>
        <v>10518</v>
      </c>
      <c r="AN13" s="1">
        <f t="shared" ref="AN13:AP13" si="14">+AN9-AN12</f>
        <v>15911</v>
      </c>
      <c r="AO13" s="1">
        <f t="shared" si="14"/>
        <v>21856</v>
      </c>
      <c r="AP13" s="1">
        <f t="shared" si="14"/>
        <v>23494.960000000006</v>
      </c>
    </row>
    <row r="14" spans="1:58" s="1" customFormat="1" x14ac:dyDescent="0.2">
      <c r="B14" s="1" t="s">
        <v>30</v>
      </c>
      <c r="C14" s="3"/>
      <c r="D14" s="3"/>
      <c r="E14" s="3"/>
      <c r="F14" s="3"/>
      <c r="G14" s="3">
        <f>1233-823</f>
        <v>410</v>
      </c>
      <c r="H14" s="3">
        <f>1342-845-36-4</f>
        <v>457</v>
      </c>
      <c r="I14" s="3">
        <f>1462-880+7-4</f>
        <v>585</v>
      </c>
      <c r="J14" s="3">
        <f>1514-873</f>
        <v>641</v>
      </c>
      <c r="K14" s="3">
        <f>1454-710</f>
        <v>744</v>
      </c>
      <c r="L14" s="1">
        <v>151</v>
      </c>
      <c r="M14" s="1">
        <v>-4770</v>
      </c>
      <c r="N14" s="1">
        <v>1781</v>
      </c>
      <c r="O14" s="1">
        <v>2595</v>
      </c>
      <c r="P14" s="1">
        <v>1369</v>
      </c>
      <c r="Q14" s="1">
        <v>1905</v>
      </c>
      <c r="R14" s="1">
        <v>-2527</v>
      </c>
      <c r="S14" s="1">
        <v>1246</v>
      </c>
      <c r="T14" s="1">
        <f>1993-742+93-119-454</f>
        <v>771</v>
      </c>
      <c r="U14" s="1">
        <f>+Q14</f>
        <v>1905</v>
      </c>
      <c r="V14" s="1">
        <f>+R14</f>
        <v>-2527</v>
      </c>
      <c r="AJ14" s="1">
        <v>11795</v>
      </c>
      <c r="AK14" s="1">
        <v>-6647</v>
      </c>
      <c r="AL14" s="1">
        <f>SUM(F14:I14)</f>
        <v>1452</v>
      </c>
      <c r="AM14" s="1">
        <f>SUM(G14:J14)</f>
        <v>2093</v>
      </c>
      <c r="AN14" s="1">
        <f>SUM(K14:N14)</f>
        <v>-2094</v>
      </c>
      <c r="AO14" s="1">
        <f>SUM(O14:R14)</f>
        <v>3342</v>
      </c>
      <c r="AP14" s="1">
        <f>SUM(S14:V14)</f>
        <v>1395</v>
      </c>
    </row>
    <row r="15" spans="1:58" s="1" customFormat="1" x14ac:dyDescent="0.2">
      <c r="B15" s="1" t="s">
        <v>31</v>
      </c>
      <c r="C15" s="3"/>
      <c r="D15" s="3"/>
      <c r="E15" s="3"/>
      <c r="F15" s="3"/>
      <c r="G15" s="3">
        <f>+G13+G14</f>
        <v>3199</v>
      </c>
      <c r="H15" s="3">
        <f>+H13+H14</f>
        <v>3920</v>
      </c>
      <c r="I15" s="3">
        <f>+I13+I14</f>
        <v>2893</v>
      </c>
      <c r="J15" s="3">
        <f>+J13+J14</f>
        <v>2599</v>
      </c>
      <c r="K15" s="3">
        <f>+K13+K14</f>
        <v>3345</v>
      </c>
      <c r="L15" s="3">
        <f t="shared" ref="L15:V15" si="15">+L13+L14</f>
        <v>3551</v>
      </c>
      <c r="M15" s="3">
        <f t="shared" si="15"/>
        <v>547</v>
      </c>
      <c r="N15" s="3">
        <f t="shared" si="15"/>
        <v>6374</v>
      </c>
      <c r="O15" s="3">
        <f t="shared" si="15"/>
        <v>7575</v>
      </c>
      <c r="P15" s="3">
        <f t="shared" si="15"/>
        <v>6579</v>
      </c>
      <c r="Q15" s="3">
        <f t="shared" si="15"/>
        <v>8179</v>
      </c>
      <c r="R15" s="3">
        <f t="shared" si="15"/>
        <v>2865</v>
      </c>
      <c r="S15" s="3">
        <f t="shared" si="15"/>
        <v>6730</v>
      </c>
      <c r="T15" s="3">
        <f t="shared" si="15"/>
        <v>6715</v>
      </c>
      <c r="U15" s="3">
        <f t="shared" si="15"/>
        <v>7938.4400000000023</v>
      </c>
      <c r="V15" s="3">
        <f t="shared" si="15"/>
        <v>3506.5200000000004</v>
      </c>
      <c r="AJ15" s="1">
        <f t="shared" ref="AJ15:AK15" si="16">+AJ13+AJ14</f>
        <v>27325</v>
      </c>
      <c r="AK15" s="1">
        <f t="shared" si="16"/>
        <v>-340</v>
      </c>
      <c r="AL15" s="1">
        <f>+AL13+AL14</f>
        <v>10012</v>
      </c>
      <c r="AM15" s="1">
        <f>+AM13+AM14</f>
        <v>12611</v>
      </c>
      <c r="AN15" s="1">
        <f>+AN13+AN14</f>
        <v>13817</v>
      </c>
      <c r="AO15" s="1">
        <f>+AO13+AO14</f>
        <v>25198</v>
      </c>
      <c r="AP15" s="1">
        <f>+AP13+AP14</f>
        <v>24889.960000000006</v>
      </c>
    </row>
    <row r="16" spans="1:58" s="1" customFormat="1" x14ac:dyDescent="0.2">
      <c r="B16" s="1" t="s">
        <v>32</v>
      </c>
      <c r="C16" s="3"/>
      <c r="D16" s="3"/>
      <c r="E16" s="3"/>
      <c r="F16" s="3"/>
      <c r="G16" s="3">
        <f>1534-621</f>
        <v>913</v>
      </c>
      <c r="H16" s="3">
        <f>1618-246</f>
        <v>1372</v>
      </c>
      <c r="I16" s="3">
        <v>0</v>
      </c>
      <c r="J16" s="3">
        <f>1295-645</f>
        <v>650</v>
      </c>
      <c r="K16" s="3">
        <f>391+134</f>
        <v>525</v>
      </c>
      <c r="L16" s="1">
        <f>25-111</f>
        <v>-86</v>
      </c>
      <c r="M16" s="1">
        <f>908-215</f>
        <v>693</v>
      </c>
      <c r="N16" s="1">
        <f>1254+167</f>
        <v>1421</v>
      </c>
      <c r="O16" s="1">
        <f>1193+557</f>
        <v>1750</v>
      </c>
      <c r="P16" s="1">
        <f>1270+99</f>
        <v>1369</v>
      </c>
      <c r="Q16" s="1">
        <f>1282+216</f>
        <v>1498</v>
      </c>
      <c r="R16" s="1">
        <f>-96+362</f>
        <v>266</v>
      </c>
      <c r="S16" s="1">
        <f>883+399</f>
        <v>1282</v>
      </c>
      <c r="T16" s="1">
        <f>1270+99</f>
        <v>1369</v>
      </c>
      <c r="U16" s="1">
        <f>+Q16</f>
        <v>1498</v>
      </c>
      <c r="V16" s="1">
        <f>+R16</f>
        <v>266</v>
      </c>
      <c r="AJ16" s="1">
        <v>4743</v>
      </c>
      <c r="AK16" s="1">
        <v>1948</v>
      </c>
      <c r="AL16" s="1">
        <f>SUM(F16:I16)</f>
        <v>2285</v>
      </c>
      <c r="AM16" s="1">
        <f>SUM(G16:J16)</f>
        <v>2935</v>
      </c>
      <c r="AN16" s="1">
        <f>SUM(K16:N16)</f>
        <v>2553</v>
      </c>
      <c r="AO16" s="1">
        <f>SUM(O16:R16)</f>
        <v>4883</v>
      </c>
      <c r="AP16" s="1">
        <f>SUM(S16:V16)</f>
        <v>4415</v>
      </c>
    </row>
    <row r="17" spans="2:42" s="1" customFormat="1" x14ac:dyDescent="0.2">
      <c r="B17" s="1" t="s">
        <v>33</v>
      </c>
      <c r="C17" s="3"/>
      <c r="D17" s="3"/>
      <c r="E17" s="3"/>
      <c r="F17" s="3"/>
      <c r="G17" s="3">
        <f>+G15-G16</f>
        <v>2286</v>
      </c>
      <c r="H17" s="3">
        <f>+H15-H16</f>
        <v>2548</v>
      </c>
      <c r="I17" s="3">
        <f>+I15-I16</f>
        <v>2893</v>
      </c>
      <c r="J17" s="3">
        <f>+J15-J16</f>
        <v>1949</v>
      </c>
      <c r="K17" s="3">
        <f>+K15-K16</f>
        <v>2820</v>
      </c>
      <c r="L17" s="3">
        <f t="shared" ref="L17:V17" si="17">+L15-L16</f>
        <v>3637</v>
      </c>
      <c r="M17" s="3">
        <f t="shared" si="17"/>
        <v>-146</v>
      </c>
      <c r="N17" s="3">
        <f t="shared" si="17"/>
        <v>4953</v>
      </c>
      <c r="O17" s="3">
        <f t="shared" si="17"/>
        <v>5825</v>
      </c>
      <c r="P17" s="3">
        <f t="shared" si="17"/>
        <v>5210</v>
      </c>
      <c r="Q17" s="3">
        <f t="shared" si="17"/>
        <v>6681</v>
      </c>
      <c r="R17" s="3">
        <f t="shared" si="17"/>
        <v>2599</v>
      </c>
      <c r="S17" s="3">
        <f t="shared" si="17"/>
        <v>5448</v>
      </c>
      <c r="T17" s="3">
        <f t="shared" si="17"/>
        <v>5346</v>
      </c>
      <c r="U17" s="3">
        <f t="shared" si="17"/>
        <v>6440.4400000000023</v>
      </c>
      <c r="V17" s="3">
        <f t="shared" si="17"/>
        <v>3240.5200000000004</v>
      </c>
      <c r="AJ17" s="1">
        <f t="shared" ref="AJ17:AK17" si="18">+AJ15-AJ16</f>
        <v>22582</v>
      </c>
      <c r="AK17" s="1">
        <f t="shared" si="18"/>
        <v>-2288</v>
      </c>
      <c r="AL17" s="1">
        <f>+AL15-AL16</f>
        <v>7727</v>
      </c>
      <c r="AM17" s="1">
        <f>+AM15-AM16</f>
        <v>9676</v>
      </c>
      <c r="AN17" s="1">
        <f>+AN15-AN16</f>
        <v>11264</v>
      </c>
      <c r="AO17" s="1">
        <f>+AO15-AO16</f>
        <v>20315</v>
      </c>
      <c r="AP17" s="1">
        <f>+AP15-AP16</f>
        <v>20474.960000000006</v>
      </c>
    </row>
    <row r="18" spans="2:42" x14ac:dyDescent="0.2">
      <c r="B18" s="1" t="s">
        <v>34</v>
      </c>
      <c r="G18" s="6">
        <f>+G17/G19</f>
        <v>0.82319049333813465</v>
      </c>
      <c r="H18" s="6">
        <f>+H17/H19</f>
        <v>0.9275573352748453</v>
      </c>
      <c r="I18" s="6">
        <f>+I17/I19</f>
        <v>1.0413966882649388</v>
      </c>
      <c r="J18" s="6">
        <f>+J17/J19</f>
        <v>0.69211647727272729</v>
      </c>
      <c r="K18" s="6">
        <f>+K17/K19</f>
        <v>1.0191543187567762</v>
      </c>
      <c r="L18" s="6">
        <f t="shared" ref="L18:V18" si="19">+L17/L19</f>
        <v>1.2938456065457133</v>
      </c>
      <c r="M18" s="6">
        <f t="shared" si="19"/>
        <v>-5.2329749103942655E-2</v>
      </c>
      <c r="N18" s="6">
        <f t="shared" si="19"/>
        <v>1.7682970367725812</v>
      </c>
      <c r="O18" s="6">
        <f t="shared" si="19"/>
        <v>2.0532252379273879</v>
      </c>
      <c r="P18" s="6">
        <f t="shared" si="19"/>
        <v>1.8383909668313339</v>
      </c>
      <c r="Q18" s="6">
        <f t="shared" si="19"/>
        <v>2.3475052705551653</v>
      </c>
      <c r="R18" s="6">
        <f t="shared" si="19"/>
        <v>0.91837455830388692</v>
      </c>
      <c r="S18" s="6">
        <f t="shared" si="19"/>
        <v>1.9346590909090908</v>
      </c>
      <c r="T18" s="6">
        <f t="shared" si="19"/>
        <v>1.8863796753705011</v>
      </c>
      <c r="U18" s="6">
        <f t="shared" si="19"/>
        <v>2.2725617501764299</v>
      </c>
      <c r="V18" s="6">
        <f t="shared" si="19"/>
        <v>1.1434438955539874</v>
      </c>
      <c r="AJ18" s="10"/>
      <c r="AK18" s="10"/>
      <c r="AL18" s="10">
        <f>+AL17/AL19</f>
        <v>2.7922187424716935</v>
      </c>
      <c r="AM18" s="10">
        <f t="shared" ref="AM18:AP18" si="20">+AM17/AM19</f>
        <v>3.481201654973916</v>
      </c>
      <c r="AN18" s="10">
        <f t="shared" si="20"/>
        <v>4.034022741516698</v>
      </c>
      <c r="AO18" s="10">
        <f t="shared" si="20"/>
        <v>7.1613642372433244</v>
      </c>
      <c r="AP18" s="10">
        <f t="shared" si="20"/>
        <v>7.2362466866937645</v>
      </c>
    </row>
    <row r="19" spans="2:42" s="1" customFormat="1" x14ac:dyDescent="0.2">
      <c r="B19" s="1" t="s">
        <v>1</v>
      </c>
      <c r="C19" s="3"/>
      <c r="D19" s="3"/>
      <c r="E19" s="3"/>
      <c r="F19" s="3"/>
      <c r="G19" s="3">
        <v>2777</v>
      </c>
      <c r="H19" s="3">
        <v>2747</v>
      </c>
      <c r="I19" s="3">
        <v>2778</v>
      </c>
      <c r="J19" s="3">
        <v>2816</v>
      </c>
      <c r="K19" s="3">
        <v>2767</v>
      </c>
      <c r="L19" s="1">
        <v>2811</v>
      </c>
      <c r="M19" s="1">
        <v>2790</v>
      </c>
      <c r="N19" s="1">
        <v>2801</v>
      </c>
      <c r="O19" s="1">
        <v>2837</v>
      </c>
      <c r="P19" s="1">
        <v>2834</v>
      </c>
      <c r="Q19" s="1">
        <v>2846</v>
      </c>
      <c r="R19" s="1">
        <v>2830</v>
      </c>
      <c r="S19" s="1">
        <v>2816</v>
      </c>
      <c r="T19" s="1">
        <v>2834</v>
      </c>
      <c r="U19" s="1">
        <f>+T19</f>
        <v>2834</v>
      </c>
      <c r="V19" s="1">
        <f>+U19</f>
        <v>2834</v>
      </c>
      <c r="AL19" s="1">
        <f>AVERAGE(F19:I19)</f>
        <v>2767.3333333333335</v>
      </c>
      <c r="AM19" s="1">
        <f>AVERAGE(G19:J19)</f>
        <v>2779.5</v>
      </c>
      <c r="AN19" s="1">
        <f>AVERAGE(K19:N19)</f>
        <v>2792.25</v>
      </c>
      <c r="AO19" s="1">
        <f>AVERAGE(O19:R19)</f>
        <v>2836.75</v>
      </c>
      <c r="AP19" s="1">
        <f>AVERAGE(S19:V19)</f>
        <v>2829.5</v>
      </c>
    </row>
    <row r="21" spans="2:42" x14ac:dyDescent="0.2">
      <c r="B21" s="1" t="s">
        <v>69</v>
      </c>
      <c r="K21" s="8">
        <f>+K7/G7-1</f>
        <v>9.8457382526480064E-3</v>
      </c>
      <c r="L21" s="8">
        <f>+L7/H7-1</f>
        <v>-5.4322169059011216E-2</v>
      </c>
      <c r="M21" s="8">
        <f>+M7/I7-1</f>
        <v>1.9391623069452635E-2</v>
      </c>
      <c r="N21" s="8">
        <f>+N7/J7-1</f>
        <v>-3.3244680851063357E-4</v>
      </c>
      <c r="O21" s="8">
        <f>+O7/K7-1</f>
        <v>9.6195135686881761E-2</v>
      </c>
      <c r="P21" s="8">
        <f>+P7/L7-1</f>
        <v>0.14871656491381935</v>
      </c>
      <c r="Q21" s="8">
        <f>+Q7/M7-1</f>
        <v>5.8604794099569757E-2</v>
      </c>
      <c r="R21" s="8">
        <f>+R7/N7-1</f>
        <v>5.6655682196087964E-2</v>
      </c>
      <c r="S21" s="8">
        <f>+S7/O7-1</f>
        <v>1.1848189057282354E-2</v>
      </c>
      <c r="T21" s="8">
        <f>+T7/P7-1</f>
        <v>-3.670425182053072E-3</v>
      </c>
      <c r="U21" s="8">
        <f>+U7/Q7-1</f>
        <v>0</v>
      </c>
      <c r="V21" s="8">
        <f>+V7/R7-1</f>
        <v>0</v>
      </c>
      <c r="AN21" s="9">
        <f>+AN7/AM7-1</f>
        <v>-6.5706505586659025E-3</v>
      </c>
      <c r="AO21" s="9">
        <f>+AO7/AN7-1</f>
        <v>8.8320194057004198E-2</v>
      </c>
      <c r="AP21" s="9">
        <f>+AP7/AO7-1</f>
        <v>1.8128055394581732E-3</v>
      </c>
    </row>
    <row r="22" spans="2:42" x14ac:dyDescent="0.2">
      <c r="B22" s="1" t="s">
        <v>25</v>
      </c>
      <c r="G22" s="8">
        <f t="shared" ref="G22:T22" si="21">+G9/G7</f>
        <v>0.46676619037463568</v>
      </c>
      <c r="H22" s="8">
        <f t="shared" si="21"/>
        <v>0.49291866028708137</v>
      </c>
      <c r="I22" s="8">
        <f t="shared" si="21"/>
        <v>0.49481532533441935</v>
      </c>
      <c r="J22" s="8">
        <f t="shared" si="21"/>
        <v>0.47748428433268858</v>
      </c>
      <c r="K22" s="8">
        <f t="shared" si="21"/>
        <v>0.45281757065925171</v>
      </c>
      <c r="L22" s="8">
        <f t="shared" si="21"/>
        <v>0.48827874658481463</v>
      </c>
      <c r="M22" s="8">
        <f t="shared" si="21"/>
        <v>0.4999078057775046</v>
      </c>
      <c r="N22" s="8">
        <f t="shared" si="21"/>
        <v>0.4877104936965263</v>
      </c>
      <c r="O22" s="8">
        <f t="shared" si="21"/>
        <v>0.51348574364243516</v>
      </c>
      <c r="P22" s="8">
        <f t="shared" si="21"/>
        <v>0.52528188865398173</v>
      </c>
      <c r="Q22" s="8">
        <f t="shared" si="21"/>
        <v>0.52698348187069988</v>
      </c>
      <c r="R22" s="8">
        <f t="shared" si="21"/>
        <v>0.5016451603673715</v>
      </c>
      <c r="S22" s="8">
        <f t="shared" si="21"/>
        <v>0.51477168152825814</v>
      </c>
      <c r="T22" s="8">
        <f>+T9/T7</f>
        <v>0.51672511862308801</v>
      </c>
      <c r="U22" s="8">
        <f>+U9/U7</f>
        <v>0.52</v>
      </c>
      <c r="V22" s="8">
        <f>+V9/V7</f>
        <v>0.52</v>
      </c>
      <c r="AN22" s="9"/>
      <c r="AO22" s="9"/>
      <c r="AP22" s="9"/>
    </row>
    <row r="24" spans="2:42" x14ac:dyDescent="0.2">
      <c r="B24" t="s">
        <v>48</v>
      </c>
      <c r="K24" s="3">
        <f>+K25-K38</f>
        <v>171599</v>
      </c>
      <c r="T24" s="1">
        <f>+T25-T38</f>
        <v>206143</v>
      </c>
    </row>
    <row r="25" spans="2:42" s="1" customFormat="1" x14ac:dyDescent="0.2">
      <c r="B25" s="1" t="s">
        <v>3</v>
      </c>
      <c r="C25" s="3"/>
      <c r="D25" s="3"/>
      <c r="E25" s="3"/>
      <c r="F25" s="3"/>
      <c r="G25" s="3"/>
      <c r="H25" s="3"/>
      <c r="I25" s="3"/>
      <c r="J25" s="3"/>
      <c r="K25" s="3">
        <f>36832+10975+143172+64247</f>
        <v>255226</v>
      </c>
      <c r="L25" s="3"/>
      <c r="M25" s="3"/>
      <c r="N25" s="3"/>
      <c r="T25" s="1">
        <f>43534+11646+106821+46193+72497</f>
        <v>280691</v>
      </c>
    </row>
    <row r="26" spans="2:42" s="1" customFormat="1" x14ac:dyDescent="0.2">
      <c r="B26" s="1" t="s">
        <v>38</v>
      </c>
      <c r="C26" s="3"/>
      <c r="D26" s="3"/>
      <c r="E26" s="3"/>
      <c r="F26" s="3"/>
      <c r="G26" s="3"/>
      <c r="H26" s="3"/>
      <c r="I26" s="3"/>
      <c r="J26" s="3"/>
      <c r="K26" s="3">
        <v>9671</v>
      </c>
      <c r="L26" s="3"/>
      <c r="M26" s="3"/>
      <c r="N26" s="3"/>
      <c r="T26" s="1">
        <v>11112</v>
      </c>
    </row>
    <row r="27" spans="2:42" s="1" customFormat="1" x14ac:dyDescent="0.2">
      <c r="B27" s="1" t="s">
        <v>39</v>
      </c>
      <c r="C27" s="3"/>
      <c r="D27" s="3"/>
      <c r="E27" s="3"/>
      <c r="F27" s="3"/>
      <c r="G27" s="3"/>
      <c r="H27" s="3"/>
      <c r="I27" s="3"/>
      <c r="J27" s="3"/>
      <c r="K27" s="3">
        <f>903+3471</f>
        <v>4374</v>
      </c>
      <c r="L27" s="3"/>
      <c r="M27" s="3"/>
      <c r="N27" s="3"/>
      <c r="T27" s="1">
        <v>1396</v>
      </c>
    </row>
    <row r="28" spans="2:42" s="1" customFormat="1" x14ac:dyDescent="0.2">
      <c r="B28" s="1" t="s">
        <v>43</v>
      </c>
      <c r="C28" s="3"/>
      <c r="D28" s="3"/>
      <c r="E28" s="3"/>
      <c r="F28" s="3"/>
      <c r="G28" s="3"/>
      <c r="H28" s="3"/>
      <c r="I28" s="3"/>
      <c r="J28" s="3"/>
      <c r="K28" s="3">
        <v>9950</v>
      </c>
      <c r="L28" s="3"/>
      <c r="M28" s="3"/>
      <c r="N28" s="3"/>
      <c r="T28" s="1">
        <v>12757</v>
      </c>
    </row>
    <row r="29" spans="2:42" s="1" customFormat="1" x14ac:dyDescent="0.2">
      <c r="B29" s="1" t="s">
        <v>41</v>
      </c>
      <c r="C29" s="3"/>
      <c r="D29" s="3"/>
      <c r="E29" s="3"/>
      <c r="F29" s="3"/>
      <c r="G29" s="3"/>
      <c r="H29" s="3"/>
      <c r="I29" s="3"/>
      <c r="J29" s="3"/>
      <c r="K29" s="3">
        <v>23133</v>
      </c>
      <c r="L29" s="3"/>
      <c r="M29" s="3"/>
      <c r="N29" s="3"/>
      <c r="T29" s="1">
        <v>29154</v>
      </c>
    </row>
    <row r="30" spans="2:42" s="1" customFormat="1" x14ac:dyDescent="0.2">
      <c r="B30" s="1" t="s">
        <v>35</v>
      </c>
      <c r="C30" s="3"/>
      <c r="D30" s="3"/>
      <c r="E30" s="3"/>
      <c r="F30" s="3"/>
      <c r="G30" s="3"/>
      <c r="H30" s="3"/>
      <c r="I30" s="3"/>
      <c r="J30" s="3"/>
      <c r="K30" s="3">
        <v>7096</v>
      </c>
      <c r="L30" s="3"/>
      <c r="M30" s="3"/>
      <c r="N30" s="3"/>
      <c r="T30" s="1">
        <v>6914</v>
      </c>
    </row>
    <row r="31" spans="2:42" s="1" customFormat="1" x14ac:dyDescent="0.2">
      <c r="B31" s="1" t="s">
        <v>36</v>
      </c>
      <c r="C31" s="3"/>
      <c r="D31" s="3"/>
      <c r="E31" s="3"/>
      <c r="F31" s="3"/>
      <c r="G31" s="3"/>
      <c r="H31" s="3"/>
      <c r="I31" s="3"/>
      <c r="J31" s="3"/>
      <c r="K31" s="3">
        <v>12032</v>
      </c>
      <c r="L31" s="3"/>
      <c r="M31" s="3"/>
      <c r="N31" s="3"/>
      <c r="T31" s="1">
        <v>14320</v>
      </c>
    </row>
    <row r="32" spans="2:42" s="1" customFormat="1" x14ac:dyDescent="0.2">
      <c r="B32" s="1" t="s">
        <v>37</v>
      </c>
      <c r="C32" s="3"/>
      <c r="D32" s="3"/>
      <c r="E32" s="3"/>
      <c r="F32" s="3"/>
      <c r="G32" s="3"/>
      <c r="H32" s="3"/>
      <c r="I32" s="3"/>
      <c r="J32" s="3"/>
      <c r="K32" s="3">
        <f>1556+22605</f>
        <v>24161</v>
      </c>
      <c r="L32" s="3"/>
      <c r="M32" s="3"/>
      <c r="N32" s="3"/>
      <c r="T32" s="1">
        <f>812+22586</f>
        <v>23398</v>
      </c>
    </row>
    <row r="33" spans="2:41" s="1" customFormat="1" x14ac:dyDescent="0.2">
      <c r="B33" s="1" t="s">
        <v>32</v>
      </c>
      <c r="C33" s="3"/>
      <c r="D33" s="3"/>
      <c r="E33" s="3"/>
      <c r="F33" s="3"/>
      <c r="G33" s="3"/>
      <c r="H33" s="3"/>
      <c r="I33" s="3"/>
      <c r="J33" s="3"/>
      <c r="K33" s="3">
        <v>2670</v>
      </c>
      <c r="L33" s="3"/>
      <c r="M33" s="3"/>
      <c r="N33" s="3"/>
      <c r="T33" s="1">
        <v>2342</v>
      </c>
    </row>
    <row r="34" spans="2:41" s="1" customFormat="1" x14ac:dyDescent="0.2">
      <c r="B34" s="1" t="s">
        <v>42</v>
      </c>
      <c r="C34" s="3"/>
      <c r="D34" s="3"/>
      <c r="E34" s="3"/>
      <c r="F34" s="3"/>
      <c r="G34" s="3"/>
      <c r="H34" s="3"/>
      <c r="I34" s="3"/>
      <c r="J34" s="3"/>
      <c r="K34" s="3">
        <v>10769</v>
      </c>
      <c r="L34" s="3"/>
      <c r="M34" s="3"/>
      <c r="N34" s="3"/>
      <c r="T34" s="1">
        <v>10919</v>
      </c>
    </row>
    <row r="35" spans="2:41" s="1" customFormat="1" x14ac:dyDescent="0.2">
      <c r="B35" s="1" t="s">
        <v>40</v>
      </c>
      <c r="C35" s="3"/>
      <c r="D35" s="3"/>
      <c r="E35" s="3"/>
      <c r="F35" s="3"/>
      <c r="G35" s="3"/>
      <c r="H35" s="3"/>
      <c r="I35" s="3"/>
      <c r="J35" s="3"/>
      <c r="K35" s="3">
        <v>16551</v>
      </c>
      <c r="L35" s="3"/>
      <c r="M35" s="3"/>
      <c r="N35" s="3"/>
      <c r="T35" s="1">
        <f>22312+212</f>
        <v>22524</v>
      </c>
    </row>
    <row r="36" spans="2:41" s="1" customFormat="1" x14ac:dyDescent="0.2">
      <c r="B36" s="1" t="s">
        <v>44</v>
      </c>
      <c r="C36" s="3"/>
      <c r="D36" s="3"/>
      <c r="E36" s="3"/>
      <c r="F36" s="3"/>
      <c r="G36" s="3"/>
      <c r="H36" s="3"/>
      <c r="I36" s="3"/>
      <c r="J36" s="3"/>
      <c r="K36" s="3">
        <f>SUM(K25:K35)</f>
        <v>375633</v>
      </c>
      <c r="L36" s="3">
        <f t="shared" ref="L36:T46" si="22">SUM(L25:L35)</f>
        <v>0</v>
      </c>
      <c r="M36" s="3">
        <f t="shared" si="22"/>
        <v>0</v>
      </c>
      <c r="N36" s="3">
        <f t="shared" si="22"/>
        <v>0</v>
      </c>
      <c r="O36" s="3">
        <f t="shared" si="22"/>
        <v>0</v>
      </c>
      <c r="P36" s="3">
        <f t="shared" si="22"/>
        <v>0</v>
      </c>
      <c r="Q36" s="3">
        <f t="shared" si="22"/>
        <v>0</v>
      </c>
      <c r="R36" s="3">
        <f t="shared" si="22"/>
        <v>0</v>
      </c>
      <c r="S36" s="3">
        <f t="shared" si="22"/>
        <v>0</v>
      </c>
      <c r="T36" s="3">
        <f t="shared" si="22"/>
        <v>415527</v>
      </c>
    </row>
    <row r="38" spans="2:41" s="1" customFormat="1" x14ac:dyDescent="0.2">
      <c r="B38" s="1" t="s">
        <v>4</v>
      </c>
      <c r="C38" s="3"/>
      <c r="D38" s="3"/>
      <c r="E38" s="3"/>
      <c r="F38" s="3"/>
      <c r="G38" s="3"/>
      <c r="H38" s="3"/>
      <c r="I38" s="3"/>
      <c r="J38" s="3"/>
      <c r="K38" s="3">
        <f>4442+42917+10457+12573+13238</f>
        <v>83627</v>
      </c>
      <c r="L38" s="3"/>
      <c r="M38" s="3"/>
      <c r="N38" s="3"/>
      <c r="T38" s="3">
        <f>12514+29+2892+7986+14859+27860+8408</f>
        <v>74548</v>
      </c>
    </row>
    <row r="39" spans="2:41" s="1" customFormat="1" x14ac:dyDescent="0.2">
      <c r="B39" s="1" t="s">
        <v>46</v>
      </c>
      <c r="C39" s="3"/>
      <c r="D39" s="3"/>
      <c r="E39" s="3"/>
      <c r="F39" s="3"/>
      <c r="G39" s="3"/>
      <c r="H39" s="3"/>
      <c r="I39" s="3"/>
      <c r="J39" s="3"/>
      <c r="K39" s="3">
        <v>35693</v>
      </c>
      <c r="L39" s="3"/>
      <c r="M39" s="3"/>
      <c r="N39" s="3"/>
      <c r="T39" s="3">
        <v>37988</v>
      </c>
    </row>
    <row r="40" spans="2:41" s="1" customFormat="1" x14ac:dyDescent="0.2">
      <c r="B40" s="1" t="s">
        <v>45</v>
      </c>
      <c r="C40" s="3"/>
      <c r="D40" s="3"/>
      <c r="E40" s="3"/>
      <c r="F40" s="3"/>
      <c r="G40" s="3"/>
      <c r="H40" s="3"/>
      <c r="I40" s="3"/>
      <c r="J40" s="3"/>
      <c r="K40" s="3">
        <f>13153+87+147+234</f>
        <v>13621</v>
      </c>
      <c r="L40" s="3"/>
      <c r="M40" s="3"/>
      <c r="N40" s="3"/>
      <c r="T40" s="3">
        <f>14038+291+287+520</f>
        <v>15136</v>
      </c>
    </row>
    <row r="41" spans="2:41" s="1" customFormat="1" x14ac:dyDescent="0.2">
      <c r="B41" s="1" t="s">
        <v>47</v>
      </c>
      <c r="C41" s="3"/>
      <c r="D41" s="3"/>
      <c r="E41" s="3"/>
      <c r="F41" s="3"/>
      <c r="G41" s="3"/>
      <c r="H41" s="3"/>
      <c r="I41" s="3"/>
      <c r="J41" s="3"/>
      <c r="K41" s="3">
        <v>1553</v>
      </c>
      <c r="L41" s="3"/>
      <c r="M41" s="3"/>
      <c r="N41" s="3"/>
      <c r="T41" s="3">
        <f>1831+67</f>
        <v>1898</v>
      </c>
    </row>
    <row r="42" spans="2:41" s="1" customFormat="1" x14ac:dyDescent="0.2">
      <c r="B42" s="1" t="s">
        <v>42</v>
      </c>
      <c r="C42" s="3"/>
      <c r="D42" s="3"/>
      <c r="E42" s="3"/>
      <c r="F42" s="3"/>
      <c r="G42" s="3"/>
      <c r="H42" s="3"/>
      <c r="I42" s="3"/>
      <c r="J42" s="3"/>
      <c r="K42" s="3">
        <f>2804+3243+5149</f>
        <v>11196</v>
      </c>
      <c r="L42" s="3"/>
      <c r="M42" s="3"/>
      <c r="N42" s="3"/>
      <c r="T42" s="3">
        <f>3196+5056</f>
        <v>8252</v>
      </c>
    </row>
    <row r="43" spans="2:41" s="1" customFormat="1" x14ac:dyDescent="0.2">
      <c r="B43" s="1" t="s">
        <v>32</v>
      </c>
      <c r="C43" s="3"/>
      <c r="D43" s="3"/>
      <c r="E43" s="3"/>
      <c r="F43" s="3"/>
      <c r="G43" s="3"/>
      <c r="H43" s="3"/>
      <c r="I43" s="3"/>
      <c r="J43" s="3"/>
      <c r="K43" s="3">
        <v>3006</v>
      </c>
      <c r="L43" s="3"/>
      <c r="M43" s="3"/>
      <c r="N43" s="3"/>
      <c r="T43" s="3">
        <v>2940</v>
      </c>
    </row>
    <row r="44" spans="2:41" s="1" customFormat="1" x14ac:dyDescent="0.2">
      <c r="B44" s="1" t="s">
        <v>51</v>
      </c>
      <c r="C44" s="3"/>
      <c r="D44" s="3"/>
      <c r="E44" s="3"/>
      <c r="F44" s="3"/>
      <c r="G44" s="3"/>
      <c r="H44" s="3"/>
      <c r="I44" s="3"/>
      <c r="J44" s="3"/>
      <c r="K44" s="3">
        <v>1707</v>
      </c>
      <c r="L44" s="3"/>
      <c r="M44" s="3"/>
      <c r="N44" s="3"/>
      <c r="T44" s="3">
        <v>1827</v>
      </c>
    </row>
    <row r="45" spans="2:41" s="1" customFormat="1" x14ac:dyDescent="0.2">
      <c r="B45" s="1" t="s">
        <v>50</v>
      </c>
      <c r="C45" s="3"/>
      <c r="D45" s="3"/>
      <c r="E45" s="3"/>
      <c r="F45" s="3"/>
      <c r="G45" s="3"/>
      <c r="H45" s="3"/>
      <c r="I45" s="3"/>
      <c r="J45" s="3"/>
      <c r="K45" s="3">
        <f>218358+6872</f>
        <v>225230</v>
      </c>
      <c r="L45" s="3"/>
      <c r="M45" s="3"/>
      <c r="N45" s="3"/>
      <c r="T45" s="3">
        <f>262831+10107</f>
        <v>272938</v>
      </c>
    </row>
    <row r="46" spans="2:41" s="1" customFormat="1" x14ac:dyDescent="0.2">
      <c r="B46" s="1" t="s">
        <v>49</v>
      </c>
      <c r="C46" s="3"/>
      <c r="D46" s="3"/>
      <c r="E46" s="3"/>
      <c r="F46" s="3"/>
      <c r="G46" s="3"/>
      <c r="H46" s="3"/>
      <c r="I46" s="3"/>
      <c r="J46" s="3"/>
      <c r="K46" s="3">
        <f>SUM(K38:K45)</f>
        <v>375633</v>
      </c>
      <c r="L46" s="3"/>
      <c r="M46" s="3"/>
      <c r="N46" s="3"/>
      <c r="T46" s="3">
        <f>SUM(T38:T45)</f>
        <v>415527</v>
      </c>
    </row>
    <row r="48" spans="2:41" x14ac:dyDescent="0.2">
      <c r="B48" s="1" t="s">
        <v>70</v>
      </c>
      <c r="P48" s="1">
        <v>9746</v>
      </c>
      <c r="Q48" s="1"/>
      <c r="R48" s="1"/>
      <c r="S48" s="1">
        <v>5284</v>
      </c>
      <c r="T48" s="1">
        <v>7970</v>
      </c>
      <c r="AN48" s="1">
        <v>26241</v>
      </c>
      <c r="AO48" s="1">
        <v>33263</v>
      </c>
    </row>
    <row r="49" spans="2:41" x14ac:dyDescent="0.2">
      <c r="B49" s="1" t="s">
        <v>71</v>
      </c>
      <c r="P49" s="1">
        <v>2693</v>
      </c>
      <c r="Q49" s="1"/>
      <c r="R49" s="1"/>
      <c r="S49" s="1">
        <v>2016</v>
      </c>
      <c r="T49" s="1">
        <v>2090</v>
      </c>
      <c r="AN49" s="1">
        <v>8112</v>
      </c>
      <c r="AO49" s="1">
        <v>11154</v>
      </c>
    </row>
    <row r="50" spans="2:41" x14ac:dyDescent="0.2">
      <c r="B50" s="1" t="s">
        <v>72</v>
      </c>
      <c r="P50" s="1">
        <f>+P48-P49</f>
        <v>7053</v>
      </c>
      <c r="Q50" s="1"/>
      <c r="R50" s="1"/>
      <c r="S50" s="1">
        <f>+S48-S49</f>
        <v>3268</v>
      </c>
      <c r="T50" s="1">
        <f>+T48-T49</f>
        <v>5880</v>
      </c>
      <c r="AN50" s="4">
        <f>+AN48-AN49</f>
        <v>18129</v>
      </c>
      <c r="AO50" s="4">
        <f>+AO48-AO49</f>
        <v>22109</v>
      </c>
    </row>
  </sheetData>
  <hyperlinks>
    <hyperlink ref="A1" location="Main!A1" display="Main" xr:uid="{83D3E44B-B388-488D-806F-394D90EF7965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2022-07-27T13:27:39Z</dcterms:created>
  <dcterms:modified xsi:type="dcterms:W3CDTF">2024-09-24T19:30:26Z</dcterms:modified>
</cp:coreProperties>
</file>