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5D10051C-F814-4A29-8C41-79E388A6A93A}" xr6:coauthVersionLast="47" xr6:coauthVersionMax="47" xr10:uidLastSave="{00000000-0000-0000-0000-000000000000}"/>
  <bookViews>
    <workbookView xWindow="18570" yWindow="1840" windowWidth="17760" windowHeight="18540" xr2:uid="{7CBEE6B4-8223-452C-B8C6-1EC2B28F2C97}"/>
  </bookViews>
  <sheets>
    <sheet name="Main" sheetId="1" r:id="rId1"/>
    <sheet name="Model" sheetId="2" r:id="rId2"/>
    <sheet name="Leqembi" sheetId="3" r:id="rId3"/>
    <sheet name="dapirolizuma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47" i="2" l="1"/>
  <c r="BJ42" i="2"/>
  <c r="BK42" i="2" s="1"/>
  <c r="BL42" i="2" s="1"/>
  <c r="BM42" i="2" s="1"/>
  <c r="BN42" i="2" s="1"/>
  <c r="BO42" i="2" s="1"/>
  <c r="BP42" i="2" s="1"/>
  <c r="BQ42" i="2" s="1"/>
  <c r="BR42" i="2" s="1"/>
  <c r="BS42" i="2" s="1"/>
  <c r="BT42" i="2" s="1"/>
  <c r="BU42" i="2" s="1"/>
  <c r="BV42" i="2" s="1"/>
  <c r="BW42" i="2" s="1"/>
  <c r="BX42" i="2" s="1"/>
  <c r="BY42" i="2" s="1"/>
  <c r="BZ42" i="2" s="1"/>
  <c r="CA42" i="2" s="1"/>
  <c r="CB42" i="2" s="1"/>
  <c r="CC42" i="2" s="1"/>
  <c r="CD42" i="2" s="1"/>
  <c r="CE42" i="2" s="1"/>
  <c r="CF42" i="2" s="1"/>
  <c r="CG42" i="2" s="1"/>
  <c r="CH42" i="2" s="1"/>
  <c r="CI42" i="2" s="1"/>
  <c r="CJ42" i="2" s="1"/>
  <c r="CK42" i="2" s="1"/>
  <c r="CL42" i="2" s="1"/>
  <c r="CM42" i="2" s="1"/>
  <c r="CN42" i="2" s="1"/>
  <c r="CO42" i="2" s="1"/>
  <c r="CP42" i="2" s="1"/>
  <c r="CQ42" i="2" s="1"/>
  <c r="CR42" i="2" s="1"/>
  <c r="CS42" i="2" s="1"/>
  <c r="CT42" i="2" s="1"/>
  <c r="CU42" i="2" s="1"/>
  <c r="CV42" i="2" s="1"/>
  <c r="CW42" i="2" s="1"/>
  <c r="CX42" i="2" s="1"/>
  <c r="CY42" i="2" s="1"/>
  <c r="CZ42" i="2" s="1"/>
  <c r="DA42" i="2" s="1"/>
  <c r="DB42" i="2" s="1"/>
  <c r="DC42" i="2" s="1"/>
  <c r="DD42" i="2" s="1"/>
  <c r="DE42" i="2" s="1"/>
  <c r="DF42" i="2" s="1"/>
  <c r="DG42" i="2" s="1"/>
  <c r="DH42" i="2" s="1"/>
  <c r="DI42" i="2" s="1"/>
  <c r="DJ42" i="2" s="1"/>
  <c r="DK42" i="2" s="1"/>
  <c r="DL42" i="2" s="1"/>
  <c r="DM42" i="2" s="1"/>
  <c r="DN42" i="2" s="1"/>
  <c r="DO42" i="2" s="1"/>
  <c r="DP42" i="2" s="1"/>
  <c r="DQ42" i="2" s="1"/>
  <c r="DR42" i="2" s="1"/>
  <c r="DS42" i="2" s="1"/>
  <c r="DT42" i="2" s="1"/>
  <c r="DU42" i="2" s="1"/>
  <c r="DV42" i="2" s="1"/>
  <c r="DW42" i="2" s="1"/>
  <c r="DX42" i="2" s="1"/>
  <c r="DY42" i="2" s="1"/>
  <c r="DZ42" i="2" s="1"/>
  <c r="EA42" i="2" s="1"/>
  <c r="EB42" i="2" s="1"/>
  <c r="EC42" i="2" s="1"/>
  <c r="ED42" i="2" s="1"/>
  <c r="EE42" i="2" s="1"/>
  <c r="EF42" i="2" s="1"/>
  <c r="EG42" i="2" s="1"/>
  <c r="EH42" i="2" s="1"/>
  <c r="EI42" i="2" s="1"/>
  <c r="EJ42" i="2" s="1"/>
  <c r="EK42" i="2" s="1"/>
  <c r="EL42" i="2" s="1"/>
  <c r="EM42" i="2" s="1"/>
  <c r="EN42" i="2" s="1"/>
  <c r="EO42" i="2" s="1"/>
  <c r="EP42" i="2" s="1"/>
  <c r="EQ42" i="2" s="1"/>
  <c r="BI42" i="2"/>
  <c r="BA14" i="2"/>
  <c r="BB14" i="2" s="1"/>
  <c r="BC14" i="2" s="1"/>
  <c r="BD14" i="2" s="1"/>
  <c r="BE14" i="2" s="1"/>
  <c r="BF14" i="2" s="1"/>
  <c r="BG14" i="2" s="1"/>
  <c r="BH14" i="2" s="1"/>
  <c r="AZ14" i="2"/>
  <c r="Z7" i="2"/>
  <c r="Y7" i="2"/>
  <c r="X7" i="2"/>
  <c r="W7" i="2"/>
  <c r="W39" i="2"/>
  <c r="X39" i="2" s="1"/>
  <c r="Y39" i="2" s="1"/>
  <c r="Z39" i="2" s="1"/>
  <c r="Z36" i="2"/>
  <c r="Y36" i="2"/>
  <c r="X36" i="2"/>
  <c r="W36" i="2"/>
  <c r="Z37" i="2"/>
  <c r="Y37" i="2"/>
  <c r="X37" i="2"/>
  <c r="W37" i="2"/>
  <c r="W44" i="2"/>
  <c r="X44" i="2" s="1"/>
  <c r="Y44" i="2" s="1"/>
  <c r="Z44" i="2" s="1"/>
  <c r="AR44" i="2"/>
  <c r="AR41" i="2"/>
  <c r="AR39" i="2"/>
  <c r="AR36" i="2"/>
  <c r="AR35" i="2"/>
  <c r="AR33" i="2"/>
  <c r="AR30" i="2"/>
  <c r="AR29" i="2"/>
  <c r="AR28" i="2"/>
  <c r="AR27" i="2"/>
  <c r="AR22" i="2"/>
  <c r="AR10" i="2"/>
  <c r="W10" i="2"/>
  <c r="X10" i="2" s="1"/>
  <c r="Y10" i="2" s="1"/>
  <c r="Z10" i="2" s="1"/>
  <c r="Z19" i="2"/>
  <c r="Y19" i="2"/>
  <c r="X19" i="2"/>
  <c r="W19" i="2"/>
  <c r="Z18" i="2"/>
  <c r="Y18" i="2"/>
  <c r="X18" i="2"/>
  <c r="W18" i="2"/>
  <c r="Z13" i="2"/>
  <c r="Y13" i="2"/>
  <c r="X13" i="2"/>
  <c r="W13" i="2"/>
  <c r="Z12" i="2"/>
  <c r="Y12" i="2"/>
  <c r="X12" i="2"/>
  <c r="W12" i="2"/>
  <c r="Z9" i="2"/>
  <c r="Y9" i="2"/>
  <c r="X9" i="2"/>
  <c r="W9" i="2"/>
  <c r="Z8" i="2"/>
  <c r="Y8" i="2"/>
  <c r="X8" i="2"/>
  <c r="W8" i="2"/>
  <c r="Z6" i="2"/>
  <c r="Y6" i="2"/>
  <c r="X6" i="2"/>
  <c r="W6" i="2"/>
  <c r="Z5" i="2"/>
  <c r="Y5" i="2"/>
  <c r="X5" i="2"/>
  <c r="W5" i="2"/>
  <c r="Z4" i="2"/>
  <c r="Y4" i="2"/>
  <c r="X4" i="2"/>
  <c r="W4" i="2"/>
  <c r="Z3" i="2"/>
  <c r="Y3" i="2"/>
  <c r="X3" i="2"/>
  <c r="W3" i="2"/>
  <c r="W26" i="2" s="1"/>
  <c r="W32" i="2" s="1"/>
  <c r="W11" i="2"/>
  <c r="X11" i="2" s="1"/>
  <c r="Y11" i="2" s="1"/>
  <c r="Z11" i="2" s="1"/>
  <c r="X22" i="2"/>
  <c r="Y22" i="2" s="1"/>
  <c r="Z22" i="2" s="1"/>
  <c r="W20" i="2"/>
  <c r="X20" i="2" s="1"/>
  <c r="Y20" i="2" s="1"/>
  <c r="Z20" i="2" s="1"/>
  <c r="W21" i="2"/>
  <c r="X21" i="2" s="1"/>
  <c r="Y21" i="2" s="1"/>
  <c r="Z21" i="2" s="1"/>
  <c r="W22" i="2"/>
  <c r="Z27" i="2"/>
  <c r="Y27" i="2"/>
  <c r="X27" i="2"/>
  <c r="W27" i="2"/>
  <c r="Z28" i="2"/>
  <c r="Y28" i="2"/>
  <c r="X28" i="2"/>
  <c r="W28" i="2"/>
  <c r="W29" i="2"/>
  <c r="X29" i="2" s="1"/>
  <c r="Y29" i="2" s="1"/>
  <c r="Z29" i="2" s="1"/>
  <c r="W30" i="2"/>
  <c r="X30" i="2" s="1"/>
  <c r="Y30" i="2" s="1"/>
  <c r="Z30" i="2" s="1"/>
  <c r="Z31" i="2"/>
  <c r="Y31" i="2"/>
  <c r="W31" i="2"/>
  <c r="AI41" i="2"/>
  <c r="AH41" i="2"/>
  <c r="AI37" i="2"/>
  <c r="AH37" i="2"/>
  <c r="AG32" i="2"/>
  <c r="AF32" i="2"/>
  <c r="AL39" i="2"/>
  <c r="AK39" i="2"/>
  <c r="AJ39" i="2"/>
  <c r="AJ41" i="2"/>
  <c r="AJ37" i="2"/>
  <c r="AK41" i="2"/>
  <c r="AK37" i="2"/>
  <c r="AL41" i="2"/>
  <c r="AL37" i="2"/>
  <c r="AL26" i="2"/>
  <c r="AL32" i="2" s="1"/>
  <c r="AL34" i="2" s="1"/>
  <c r="AL49" i="2" s="1"/>
  <c r="AK26" i="2"/>
  <c r="AK32" i="2" s="1"/>
  <c r="AL47" i="2" s="1"/>
  <c r="AJ26" i="2"/>
  <c r="AJ32" i="2" s="1"/>
  <c r="AI26" i="2"/>
  <c r="AI32" i="2" s="1"/>
  <c r="AI34" i="2" s="1"/>
  <c r="AI49" i="2" s="1"/>
  <c r="AH26" i="2"/>
  <c r="AH32" i="2" s="1"/>
  <c r="AI47" i="2" s="1"/>
  <c r="AR25" i="2"/>
  <c r="AR23" i="2"/>
  <c r="AQ28" i="2"/>
  <c r="AQ27" i="2"/>
  <c r="AQ25" i="2"/>
  <c r="AQ24" i="2"/>
  <c r="AQ23" i="2"/>
  <c r="AQ21" i="2"/>
  <c r="AQ20" i="2"/>
  <c r="AQ19" i="2"/>
  <c r="AQ18" i="2"/>
  <c r="AQ13" i="2"/>
  <c r="AQ12" i="2"/>
  <c r="AQ11" i="2"/>
  <c r="AQ10" i="2"/>
  <c r="AQ9" i="2"/>
  <c r="AQ8" i="2"/>
  <c r="AQ7" i="2"/>
  <c r="AQ6" i="2"/>
  <c r="AQ5" i="2"/>
  <c r="AQ4" i="2"/>
  <c r="AQ3" i="2"/>
  <c r="U37" i="2"/>
  <c r="AR21" i="2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AR20" i="2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AR19" i="2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AR18" i="2"/>
  <c r="AR13" i="2"/>
  <c r="AR8" i="2"/>
  <c r="AR7" i="2"/>
  <c r="G9" i="3"/>
  <c r="H9" i="3" s="1"/>
  <c r="P31" i="2"/>
  <c r="Q31" i="2"/>
  <c r="Q26" i="2"/>
  <c r="R31" i="2"/>
  <c r="S37" i="2"/>
  <c r="S31" i="2"/>
  <c r="T71" i="2"/>
  <c r="S71" i="2"/>
  <c r="R71" i="2"/>
  <c r="Q71" i="2"/>
  <c r="P71" i="2"/>
  <c r="S61" i="2"/>
  <c r="R61" i="2"/>
  <c r="Q61" i="2"/>
  <c r="P61" i="2"/>
  <c r="T59" i="2"/>
  <c r="T52" i="2"/>
  <c r="T37" i="2"/>
  <c r="T31" i="2"/>
  <c r="X31" i="2" s="1"/>
  <c r="S26" i="2"/>
  <c r="T26" i="2"/>
  <c r="L66" i="2"/>
  <c r="L71" i="2" s="1"/>
  <c r="L59" i="2"/>
  <c r="L52" i="2"/>
  <c r="M29" i="2"/>
  <c r="N71" i="2"/>
  <c r="N52" i="2"/>
  <c r="N51" i="2" s="1"/>
  <c r="N59" i="2"/>
  <c r="N29" i="2"/>
  <c r="O71" i="2"/>
  <c r="O59" i="2"/>
  <c r="O52" i="2"/>
  <c r="R37" i="2"/>
  <c r="Q37" i="2"/>
  <c r="P37" i="2"/>
  <c r="O37" i="2"/>
  <c r="O29" i="2"/>
  <c r="AQ29" i="2" s="1"/>
  <c r="O26" i="2"/>
  <c r="O32" i="2" s="1"/>
  <c r="O34" i="2" s="1"/>
  <c r="AM41" i="2"/>
  <c r="AN41" i="2"/>
  <c r="AN39" i="2"/>
  <c r="AM39" i="2"/>
  <c r="AN37" i="2"/>
  <c r="AM37" i="2"/>
  <c r="AN6" i="2"/>
  <c r="AM6" i="2"/>
  <c r="AN5" i="2"/>
  <c r="AM5" i="2"/>
  <c r="AM3" i="2"/>
  <c r="AN3" i="2"/>
  <c r="M63" i="2"/>
  <c r="M71" i="2" s="1"/>
  <c r="M52" i="2"/>
  <c r="M59" i="2"/>
  <c r="M39" i="2"/>
  <c r="AP27" i="2"/>
  <c r="AU24" i="2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AO44" i="2"/>
  <c r="AO36" i="2"/>
  <c r="AP35" i="2"/>
  <c r="AO35" i="2"/>
  <c r="AO33" i="2"/>
  <c r="AO31" i="2"/>
  <c r="AO29" i="2"/>
  <c r="AO28" i="2"/>
  <c r="AO27" i="2"/>
  <c r="AO25" i="2"/>
  <c r="AO23" i="2"/>
  <c r="AO18" i="2"/>
  <c r="AO13" i="2"/>
  <c r="AO12" i="2"/>
  <c r="AO9" i="2"/>
  <c r="AO8" i="2"/>
  <c r="AO7" i="2"/>
  <c r="AO6" i="2"/>
  <c r="AO5" i="2"/>
  <c r="AO4" i="2"/>
  <c r="AO3" i="2"/>
  <c r="AP28" i="2"/>
  <c r="AE2" i="2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M37" i="2"/>
  <c r="AP31" i="2"/>
  <c r="AP25" i="2"/>
  <c r="AP23" i="2"/>
  <c r="AP19" i="2"/>
  <c r="AP12" i="2"/>
  <c r="AP9" i="2"/>
  <c r="AP7" i="2"/>
  <c r="AP5" i="2"/>
  <c r="E41" i="2"/>
  <c r="E39" i="2"/>
  <c r="E37" i="2"/>
  <c r="I41" i="2"/>
  <c r="I39" i="2"/>
  <c r="I37" i="2"/>
  <c r="E26" i="2"/>
  <c r="E32" i="2" s="1"/>
  <c r="E34" i="2" s="1"/>
  <c r="E49" i="2" s="1"/>
  <c r="F41" i="2"/>
  <c r="F39" i="2"/>
  <c r="F37" i="2"/>
  <c r="J41" i="2"/>
  <c r="J39" i="2"/>
  <c r="J37" i="2"/>
  <c r="F26" i="2"/>
  <c r="F32" i="2" s="1"/>
  <c r="F34" i="2" s="1"/>
  <c r="G41" i="2"/>
  <c r="G39" i="2"/>
  <c r="G37" i="2"/>
  <c r="K41" i="2"/>
  <c r="K39" i="2"/>
  <c r="K37" i="2"/>
  <c r="G26" i="2"/>
  <c r="H41" i="2"/>
  <c r="L41" i="2"/>
  <c r="H37" i="2"/>
  <c r="L37" i="2"/>
  <c r="L26" i="2"/>
  <c r="L32" i="2" s="1"/>
  <c r="L34" i="2" s="1"/>
  <c r="K26" i="2"/>
  <c r="J26" i="2"/>
  <c r="J32" i="2" s="1"/>
  <c r="I26" i="2"/>
  <c r="I32" i="2" s="1"/>
  <c r="H26" i="2"/>
  <c r="H32" i="2" s="1"/>
  <c r="H34" i="2" s="1"/>
  <c r="H49" i="2" s="1"/>
  <c r="J4" i="1"/>
  <c r="X26" i="2" l="1"/>
  <c r="X32" i="2" s="1"/>
  <c r="AR31" i="2"/>
  <c r="AS10" i="2"/>
  <c r="AT10" i="2" s="1"/>
  <c r="AU10" i="2" s="1"/>
  <c r="AV10" i="2" s="1"/>
  <c r="AW10" i="2" s="1"/>
  <c r="AX10" i="2" s="1"/>
  <c r="AY10" i="2" s="1"/>
  <c r="AZ10" i="2" s="1"/>
  <c r="BA10" i="2" s="1"/>
  <c r="BB10" i="2" s="1"/>
  <c r="BC10" i="2" s="1"/>
  <c r="BD10" i="2" s="1"/>
  <c r="BE10" i="2" s="1"/>
  <c r="BF10" i="2" s="1"/>
  <c r="BG10" i="2" s="1"/>
  <c r="BH10" i="2" s="1"/>
  <c r="T32" i="2"/>
  <c r="T34" i="2" s="1"/>
  <c r="T49" i="2" s="1"/>
  <c r="W34" i="2"/>
  <c r="W33" i="2" s="1"/>
  <c r="Z26" i="2"/>
  <c r="Z32" i="2" s="1"/>
  <c r="Y26" i="2"/>
  <c r="Y32" i="2" s="1"/>
  <c r="T61" i="2"/>
  <c r="V37" i="2"/>
  <c r="AL38" i="2"/>
  <c r="AL40" i="2" s="1"/>
  <c r="AS25" i="2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AI38" i="2"/>
  <c r="AI40" i="2" s="1"/>
  <c r="AI42" i="2" s="1"/>
  <c r="AI43" i="2" s="1"/>
  <c r="AS27" i="2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AH34" i="2"/>
  <c r="AH49" i="2" s="1"/>
  <c r="AH47" i="2"/>
  <c r="AH38" i="2"/>
  <c r="AH40" i="2" s="1"/>
  <c r="AH42" i="2" s="1"/>
  <c r="AH43" i="2" s="1"/>
  <c r="AK47" i="2"/>
  <c r="AK34" i="2"/>
  <c r="AK49" i="2" s="1"/>
  <c r="AJ34" i="2"/>
  <c r="AJ49" i="2" s="1"/>
  <c r="AJ47" i="2"/>
  <c r="AK38" i="2"/>
  <c r="AK40" i="2" s="1"/>
  <c r="AK42" i="2" s="1"/>
  <c r="AK43" i="2" s="1"/>
  <c r="AL42" i="2"/>
  <c r="AL43" i="2" s="1"/>
  <c r="AR12" i="2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AR6" i="2"/>
  <c r="AS31" i="2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T38" i="2"/>
  <c r="T40" i="2" s="1"/>
  <c r="T42" i="2" s="1"/>
  <c r="T43" i="2" s="1"/>
  <c r="AR5" i="2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BH5" i="2" s="1"/>
  <c r="AQ31" i="2"/>
  <c r="AR9" i="2"/>
  <c r="AS9" i="2" s="1"/>
  <c r="AT9" i="2" s="1"/>
  <c r="AU9" i="2" s="1"/>
  <c r="AV9" i="2" s="1"/>
  <c r="AW9" i="2" s="1"/>
  <c r="AX9" i="2" s="1"/>
  <c r="AY9" i="2" s="1"/>
  <c r="AZ9" i="2" s="1"/>
  <c r="BA9" i="2" s="1"/>
  <c r="BB9" i="2" s="1"/>
  <c r="BC9" i="2" s="1"/>
  <c r="BD9" i="2" s="1"/>
  <c r="BE9" i="2" s="1"/>
  <c r="BF9" i="2" s="1"/>
  <c r="BG9" i="2" s="1"/>
  <c r="BH9" i="2" s="1"/>
  <c r="AR3" i="2"/>
  <c r="AR24" i="2"/>
  <c r="AR4" i="2"/>
  <c r="AS4" i="2" s="1"/>
  <c r="AR11" i="2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S32" i="2"/>
  <c r="W47" i="2" s="1"/>
  <c r="AS28" i="2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AS23" i="2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AS7" i="2"/>
  <c r="AT7" i="2" s="1"/>
  <c r="AU7" i="2" s="1"/>
  <c r="AV7" i="2" s="1"/>
  <c r="U26" i="2"/>
  <c r="S48" i="2"/>
  <c r="O61" i="2"/>
  <c r="O48" i="2"/>
  <c r="N61" i="2"/>
  <c r="L61" i="2"/>
  <c r="O51" i="2"/>
  <c r="L51" i="2"/>
  <c r="R26" i="2"/>
  <c r="P26" i="2"/>
  <c r="L48" i="2"/>
  <c r="O38" i="2"/>
  <c r="O40" i="2" s="1"/>
  <c r="AM26" i="2"/>
  <c r="AM32" i="2" s="1"/>
  <c r="K48" i="2"/>
  <c r="J48" i="2"/>
  <c r="M61" i="2"/>
  <c r="M51" i="2"/>
  <c r="AN26" i="2"/>
  <c r="AN32" i="2" s="1"/>
  <c r="O49" i="2"/>
  <c r="AP39" i="2"/>
  <c r="J7" i="1"/>
  <c r="L38" i="2"/>
  <c r="L40" i="2" s="1"/>
  <c r="AO39" i="2"/>
  <c r="AO26" i="2"/>
  <c r="AO32" i="2" s="1"/>
  <c r="AO37" i="2"/>
  <c r="AP13" i="2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AP18" i="2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AO41" i="2"/>
  <c r="F38" i="2"/>
  <c r="F40" i="2" s="1"/>
  <c r="F42" i="2" s="1"/>
  <c r="F43" i="2" s="1"/>
  <c r="F49" i="2"/>
  <c r="I47" i="2"/>
  <c r="J47" i="2"/>
  <c r="J34" i="2"/>
  <c r="N37" i="2"/>
  <c r="AP36" i="2"/>
  <c r="AQ36" i="2" s="1"/>
  <c r="M26" i="2"/>
  <c r="M32" i="2" s="1"/>
  <c r="AP3" i="2"/>
  <c r="G32" i="2"/>
  <c r="G34" i="2" s="1"/>
  <c r="AP8" i="2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BC8" i="2" s="1"/>
  <c r="BD8" i="2" s="1"/>
  <c r="BE8" i="2" s="1"/>
  <c r="BF8" i="2" s="1"/>
  <c r="BG8" i="2" s="1"/>
  <c r="BH8" i="2" s="1"/>
  <c r="K32" i="2"/>
  <c r="O47" i="2" s="1"/>
  <c r="AP6" i="2"/>
  <c r="AP44" i="2"/>
  <c r="AQ44" i="2" s="1"/>
  <c r="AS44" i="2" s="1"/>
  <c r="I34" i="2"/>
  <c r="I49" i="2" s="1"/>
  <c r="AP29" i="2"/>
  <c r="E38" i="2"/>
  <c r="E40" i="2" s="1"/>
  <c r="E42" i="2" s="1"/>
  <c r="E43" i="2" s="1"/>
  <c r="I38" i="2"/>
  <c r="I40" i="2" s="1"/>
  <c r="I42" i="2" s="1"/>
  <c r="I43" i="2" s="1"/>
  <c r="L47" i="2"/>
  <c r="L49" i="2"/>
  <c r="H38" i="2"/>
  <c r="H40" i="2" s="1"/>
  <c r="H42" i="2" s="1"/>
  <c r="H43" i="2" s="1"/>
  <c r="X47" i="2" l="1"/>
  <c r="X34" i="2"/>
  <c r="AR26" i="2"/>
  <c r="AR32" i="2" s="1"/>
  <c r="AR34" i="2" s="1"/>
  <c r="Z34" i="2"/>
  <c r="Z38" i="2" s="1"/>
  <c r="Z40" i="2" s="1"/>
  <c r="Y34" i="2"/>
  <c r="Y38" i="2" s="1"/>
  <c r="Y40" i="2" s="1"/>
  <c r="Y33" i="2"/>
  <c r="W38" i="2"/>
  <c r="W40" i="2" s="1"/>
  <c r="AS29" i="2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AM34" i="2"/>
  <c r="AM49" i="2" s="1"/>
  <c r="AM47" i="2"/>
  <c r="AS6" i="2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V26" i="2"/>
  <c r="V32" i="2" s="1"/>
  <c r="V34" i="2" s="1"/>
  <c r="AJ38" i="2"/>
  <c r="AJ40" i="2" s="1"/>
  <c r="AJ42" i="2" s="1"/>
  <c r="AJ43" i="2" s="1"/>
  <c r="U32" i="2"/>
  <c r="U34" i="2" s="1"/>
  <c r="U48" i="2"/>
  <c r="S47" i="2"/>
  <c r="S34" i="2"/>
  <c r="P32" i="2"/>
  <c r="P47" i="2" s="1"/>
  <c r="T48" i="2"/>
  <c r="R32" i="2"/>
  <c r="Q32" i="2"/>
  <c r="AM38" i="2"/>
  <c r="AM40" i="2" s="1"/>
  <c r="AM42" i="2" s="1"/>
  <c r="AM43" i="2" s="1"/>
  <c r="AN47" i="2"/>
  <c r="AN34" i="2"/>
  <c r="Q48" i="2"/>
  <c r="P48" i="2"/>
  <c r="M48" i="2"/>
  <c r="L42" i="2"/>
  <c r="L43" i="2" s="1"/>
  <c r="AO34" i="2"/>
  <c r="AO47" i="2"/>
  <c r="M34" i="2"/>
  <c r="M47" i="2"/>
  <c r="AP37" i="2"/>
  <c r="AQ37" i="2"/>
  <c r="N26" i="2"/>
  <c r="AT44" i="2"/>
  <c r="AW7" i="2"/>
  <c r="G38" i="2"/>
  <c r="G40" i="2" s="1"/>
  <c r="G42" i="2" s="1"/>
  <c r="G43" i="2" s="1"/>
  <c r="G49" i="2"/>
  <c r="AP4" i="2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J38" i="2"/>
  <c r="J40" i="2" s="1"/>
  <c r="J42" i="2" s="1"/>
  <c r="J43" i="2" s="1"/>
  <c r="J49" i="2"/>
  <c r="K47" i="2"/>
  <c r="K34" i="2"/>
  <c r="Y47" i="2" l="1"/>
  <c r="Z47" i="2"/>
  <c r="X33" i="2"/>
  <c r="X38" i="2"/>
  <c r="X40" i="2" s="1"/>
  <c r="Z41" i="2"/>
  <c r="Z42" i="2" s="1"/>
  <c r="Z43" i="2" s="1"/>
  <c r="Z33" i="2"/>
  <c r="Y41" i="2"/>
  <c r="Y42" i="2" s="1"/>
  <c r="Y43" i="2" s="1"/>
  <c r="W41" i="2"/>
  <c r="W42" i="2" s="1"/>
  <c r="W43" i="2" s="1"/>
  <c r="V48" i="2"/>
  <c r="S38" i="2"/>
  <c r="S40" i="2" s="1"/>
  <c r="S42" i="2" s="1"/>
  <c r="S43" i="2" s="1"/>
  <c r="S49" i="2"/>
  <c r="U47" i="2"/>
  <c r="V47" i="2"/>
  <c r="P34" i="2"/>
  <c r="T47" i="2"/>
  <c r="R34" i="2"/>
  <c r="R49" i="2" s="1"/>
  <c r="Q34" i="2"/>
  <c r="Q47" i="2"/>
  <c r="N32" i="2"/>
  <c r="R48" i="2"/>
  <c r="AN49" i="2"/>
  <c r="AN38" i="2"/>
  <c r="AN40" i="2" s="1"/>
  <c r="AN42" i="2" s="1"/>
  <c r="AN43" i="2" s="1"/>
  <c r="N48" i="2"/>
  <c r="O42" i="2"/>
  <c r="O43" i="2" s="1"/>
  <c r="AO38" i="2"/>
  <c r="AO40" i="2" s="1"/>
  <c r="AO42" i="2" s="1"/>
  <c r="AO43" i="2" s="1"/>
  <c r="AO49" i="2"/>
  <c r="AP26" i="2"/>
  <c r="AP32" i="2" s="1"/>
  <c r="AP47" i="2" s="1"/>
  <c r="AQ26" i="2"/>
  <c r="AQ32" i="2" s="1"/>
  <c r="AS36" i="2"/>
  <c r="AR37" i="2"/>
  <c r="AU44" i="2"/>
  <c r="AX7" i="2"/>
  <c r="M49" i="2"/>
  <c r="M38" i="2"/>
  <c r="M40" i="2" s="1"/>
  <c r="M42" i="2" s="1"/>
  <c r="M43" i="2" s="1"/>
  <c r="K38" i="2"/>
  <c r="K40" i="2" s="1"/>
  <c r="K42" i="2" s="1"/>
  <c r="K43" i="2" s="1"/>
  <c r="K49" i="2"/>
  <c r="X41" i="2" l="1"/>
  <c r="X42" i="2"/>
  <c r="X43" i="2" s="1"/>
  <c r="R38" i="2"/>
  <c r="R40" i="2" s="1"/>
  <c r="V49" i="2"/>
  <c r="V38" i="2"/>
  <c r="V40" i="2" s="1"/>
  <c r="V42" i="2" s="1"/>
  <c r="V43" i="2" s="1"/>
  <c r="U49" i="2"/>
  <c r="U38" i="2"/>
  <c r="U40" i="2" s="1"/>
  <c r="U42" i="2" s="1"/>
  <c r="U43" i="2" s="1"/>
  <c r="P49" i="2"/>
  <c r="P38" i="2"/>
  <c r="P40" i="2" s="1"/>
  <c r="P42" i="2" s="1"/>
  <c r="P43" i="2" s="1"/>
  <c r="Q49" i="2"/>
  <c r="Q38" i="2"/>
  <c r="Q40" i="2" s="1"/>
  <c r="N34" i="2"/>
  <c r="N49" i="2" s="1"/>
  <c r="R47" i="2"/>
  <c r="N47" i="2"/>
  <c r="AQ34" i="2"/>
  <c r="AQ49" i="2" s="1"/>
  <c r="AQ47" i="2"/>
  <c r="AT36" i="2"/>
  <c r="AS37" i="2"/>
  <c r="AS3" i="2"/>
  <c r="AV44" i="2"/>
  <c r="AY7" i="2"/>
  <c r="AP33" i="2"/>
  <c r="AP34" i="2" s="1"/>
  <c r="N38" i="2" l="1"/>
  <c r="N40" i="2" s="1"/>
  <c r="AP41" i="2" s="1"/>
  <c r="AQ38" i="2"/>
  <c r="AQ40" i="2" s="1"/>
  <c r="AQ41" i="2" s="1"/>
  <c r="AQ42" i="2" s="1"/>
  <c r="AQ43" i="2" s="1"/>
  <c r="AQ33" i="2"/>
  <c r="R42" i="2"/>
  <c r="R43" i="2" s="1"/>
  <c r="Q42" i="2"/>
  <c r="Q43" i="2" s="1"/>
  <c r="AP38" i="2"/>
  <c r="AP40" i="2" s="1"/>
  <c r="AP49" i="2"/>
  <c r="AR49" i="2"/>
  <c r="AR47" i="2"/>
  <c r="AT3" i="2"/>
  <c r="AS26" i="2"/>
  <c r="AS32" i="2" s="1"/>
  <c r="AU36" i="2"/>
  <c r="AT37" i="2"/>
  <c r="AW44" i="2"/>
  <c r="AZ7" i="2"/>
  <c r="AR38" i="2" l="1"/>
  <c r="AR40" i="2" s="1"/>
  <c r="AR42" i="2" s="1"/>
  <c r="AR43" i="2" s="1"/>
  <c r="AP42" i="2"/>
  <c r="AP43" i="2" s="1"/>
  <c r="N42" i="2"/>
  <c r="N43" i="2" s="1"/>
  <c r="AS34" i="2"/>
  <c r="AS38" i="2" s="1"/>
  <c r="AS40" i="2" s="1"/>
  <c r="AS41" i="2" s="1"/>
  <c r="AS42" i="2" s="1"/>
  <c r="AS47" i="2"/>
  <c r="AV36" i="2"/>
  <c r="AU37" i="2"/>
  <c r="AU3" i="2"/>
  <c r="AT26" i="2"/>
  <c r="AT32" i="2" s="1"/>
  <c r="AX44" i="2"/>
  <c r="BA7" i="2"/>
  <c r="AS43" i="2" l="1"/>
  <c r="AT34" i="2"/>
  <c r="AT38" i="2" s="1"/>
  <c r="AT40" i="2" s="1"/>
  <c r="AT47" i="2"/>
  <c r="AS33" i="2"/>
  <c r="AS49" i="2"/>
  <c r="AV3" i="2"/>
  <c r="AU26" i="2"/>
  <c r="AU32" i="2" s="1"/>
  <c r="AW36" i="2"/>
  <c r="AV37" i="2"/>
  <c r="AY44" i="2"/>
  <c r="BB7" i="2"/>
  <c r="AU34" i="2" l="1"/>
  <c r="AU38" i="2" s="1"/>
  <c r="AU40" i="2" s="1"/>
  <c r="AU41" i="2" s="1"/>
  <c r="AU42" i="2" s="1"/>
  <c r="AU43" i="2" s="1"/>
  <c r="AU47" i="2"/>
  <c r="AT33" i="2"/>
  <c r="AT49" i="2"/>
  <c r="AT41" i="2"/>
  <c r="AT42" i="2" s="1"/>
  <c r="AW37" i="2"/>
  <c r="AX36" i="2"/>
  <c r="AW3" i="2"/>
  <c r="AV26" i="2"/>
  <c r="AV32" i="2" s="1"/>
  <c r="AZ44" i="2"/>
  <c r="BC7" i="2"/>
  <c r="AT43" i="2" l="1"/>
  <c r="AV34" i="2"/>
  <c r="AV38" i="2" s="1"/>
  <c r="AV40" i="2" s="1"/>
  <c r="AV41" i="2" s="1"/>
  <c r="AV42" i="2" s="1"/>
  <c r="AV43" i="2" s="1"/>
  <c r="AV47" i="2"/>
  <c r="AU33" i="2"/>
  <c r="AU49" i="2"/>
  <c r="AY36" i="2"/>
  <c r="AX37" i="2"/>
  <c r="AX3" i="2"/>
  <c r="AW26" i="2"/>
  <c r="AW32" i="2" s="1"/>
  <c r="BA44" i="2"/>
  <c r="BD7" i="2"/>
  <c r="AW34" i="2" l="1"/>
  <c r="AW38" i="2" s="1"/>
  <c r="AW40" i="2" s="1"/>
  <c r="AW41" i="2" s="1"/>
  <c r="AW42" i="2" s="1"/>
  <c r="AW43" i="2" s="1"/>
  <c r="AW47" i="2"/>
  <c r="AV33" i="2"/>
  <c r="AV49" i="2"/>
  <c r="AY3" i="2"/>
  <c r="AX26" i="2"/>
  <c r="AX32" i="2" s="1"/>
  <c r="AZ36" i="2"/>
  <c r="AY37" i="2"/>
  <c r="BB44" i="2"/>
  <c r="BE7" i="2"/>
  <c r="AX34" i="2" l="1"/>
  <c r="AX38" i="2" s="1"/>
  <c r="AX40" i="2" s="1"/>
  <c r="AX41" i="2" s="1"/>
  <c r="AX42" i="2" s="1"/>
  <c r="AX43" i="2" s="1"/>
  <c r="AX47" i="2"/>
  <c r="AW33" i="2"/>
  <c r="AW49" i="2"/>
  <c r="BA36" i="2"/>
  <c r="AZ37" i="2"/>
  <c r="AZ3" i="2"/>
  <c r="AY26" i="2"/>
  <c r="AY32" i="2" s="1"/>
  <c r="BC44" i="2"/>
  <c r="BF7" i="2"/>
  <c r="AY34" i="2" l="1"/>
  <c r="AY38" i="2" s="1"/>
  <c r="AY40" i="2" s="1"/>
  <c r="AY41" i="2" s="1"/>
  <c r="AY42" i="2" s="1"/>
  <c r="AY47" i="2"/>
  <c r="AX33" i="2"/>
  <c r="AX49" i="2"/>
  <c r="BA3" i="2"/>
  <c r="AZ26" i="2"/>
  <c r="AZ32" i="2" s="1"/>
  <c r="BB36" i="2"/>
  <c r="BA37" i="2"/>
  <c r="BD44" i="2"/>
  <c r="BG7" i="2"/>
  <c r="AY43" i="2" l="1"/>
  <c r="AZ34" i="2"/>
  <c r="AZ38" i="2" s="1"/>
  <c r="AZ40" i="2" s="1"/>
  <c r="AZ41" i="2" s="1"/>
  <c r="AZ47" i="2"/>
  <c r="AY33" i="2"/>
  <c r="AY49" i="2"/>
  <c r="BC36" i="2"/>
  <c r="BB37" i="2"/>
  <c r="BB3" i="2"/>
  <c r="BA26" i="2"/>
  <c r="BA32" i="2" s="1"/>
  <c r="BE44" i="2"/>
  <c r="BH7" i="2"/>
  <c r="BA34" i="2" l="1"/>
  <c r="BA38" i="2" s="1"/>
  <c r="BA40" i="2" s="1"/>
  <c r="BA47" i="2"/>
  <c r="AZ33" i="2"/>
  <c r="AZ49" i="2"/>
  <c r="AZ42" i="2"/>
  <c r="AZ43" i="2" s="1"/>
  <c r="BC3" i="2"/>
  <c r="BB26" i="2"/>
  <c r="BB32" i="2" s="1"/>
  <c r="BC37" i="2"/>
  <c r="BD36" i="2"/>
  <c r="BF44" i="2"/>
  <c r="BB34" i="2" l="1"/>
  <c r="BB38" i="2" s="1"/>
  <c r="BB40" i="2" s="1"/>
  <c r="BB41" i="2" s="1"/>
  <c r="BB42" i="2" s="1"/>
  <c r="BB43" i="2" s="1"/>
  <c r="BB47" i="2"/>
  <c r="BA33" i="2"/>
  <c r="BA49" i="2"/>
  <c r="BA41" i="2"/>
  <c r="BA42" i="2" s="1"/>
  <c r="BA43" i="2" s="1"/>
  <c r="BE36" i="2"/>
  <c r="BD37" i="2"/>
  <c r="BD3" i="2"/>
  <c r="BC26" i="2"/>
  <c r="BC32" i="2" s="1"/>
  <c r="BG44" i="2"/>
  <c r="BC34" i="2" l="1"/>
  <c r="BC38" i="2" s="1"/>
  <c r="BC40" i="2" s="1"/>
  <c r="BC41" i="2" s="1"/>
  <c r="BC42" i="2" s="1"/>
  <c r="BC43" i="2" s="1"/>
  <c r="BC47" i="2"/>
  <c r="BB33" i="2"/>
  <c r="BB49" i="2"/>
  <c r="BF36" i="2"/>
  <c r="BE37" i="2"/>
  <c r="BE3" i="2"/>
  <c r="BD26" i="2"/>
  <c r="BD32" i="2" s="1"/>
  <c r="BH44" i="2"/>
  <c r="BD34" i="2" l="1"/>
  <c r="BD38" i="2" s="1"/>
  <c r="BD40" i="2" s="1"/>
  <c r="BD41" i="2" s="1"/>
  <c r="BD42" i="2" s="1"/>
  <c r="BD43" i="2" s="1"/>
  <c r="BD47" i="2"/>
  <c r="BC33" i="2"/>
  <c r="BC49" i="2"/>
  <c r="BF3" i="2"/>
  <c r="BE26" i="2"/>
  <c r="BE32" i="2" s="1"/>
  <c r="BE47" i="2" s="1"/>
  <c r="BG36" i="2"/>
  <c r="BF37" i="2"/>
  <c r="BD33" i="2" l="1"/>
  <c r="BD49" i="2"/>
  <c r="BH36" i="2"/>
  <c r="BH37" i="2" s="1"/>
  <c r="BG37" i="2"/>
  <c r="BE34" i="2"/>
  <c r="BG3" i="2"/>
  <c r="BF26" i="2"/>
  <c r="BF32" i="2" s="1"/>
  <c r="BF34" i="2" l="1"/>
  <c r="BF38" i="2" s="1"/>
  <c r="BF40" i="2" s="1"/>
  <c r="BF47" i="2"/>
  <c r="BE38" i="2"/>
  <c r="BE40" i="2" s="1"/>
  <c r="BE41" i="2" s="1"/>
  <c r="BE42" i="2" s="1"/>
  <c r="BE43" i="2" s="1"/>
  <c r="BE49" i="2"/>
  <c r="BE33" i="2"/>
  <c r="BH3" i="2"/>
  <c r="BH26" i="2" s="1"/>
  <c r="BH32" i="2" s="1"/>
  <c r="BG26" i="2"/>
  <c r="BG32" i="2" s="1"/>
  <c r="BG47" i="2" s="1"/>
  <c r="BH34" i="2" l="1"/>
  <c r="BH38" i="2" s="1"/>
  <c r="BH40" i="2" s="1"/>
  <c r="BH41" i="2" s="1"/>
  <c r="BH42" i="2" s="1"/>
  <c r="BH47" i="2"/>
  <c r="BF33" i="2"/>
  <c r="BF49" i="2"/>
  <c r="BF41" i="2"/>
  <c r="BF42" i="2" s="1"/>
  <c r="BF43" i="2" s="1"/>
  <c r="BG34" i="2"/>
  <c r="BG38" i="2" l="1"/>
  <c r="BG40" i="2" s="1"/>
  <c r="BG41" i="2" s="1"/>
  <c r="BG42" i="2" s="1"/>
  <c r="BK48" i="2" s="1"/>
  <c r="BG49" i="2"/>
  <c r="BH33" i="2"/>
  <c r="BH49" i="2"/>
  <c r="BG33" i="2"/>
  <c r="BH43" i="2"/>
  <c r="BG4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tc={4423AA93-85DD-4AF2-8024-8B884843C81D}</author>
  </authors>
  <commentList>
    <comment ref="AS7" authorId="0" shapeId="0" xr:uid="{4423AA93-85DD-4AF2-8024-8B884843C81D}">
      <text>
        <t>[Threaded comment]
Your version of Excel allows you to read this threaded comment; however, any edits to it will get removed if the file is opened in a newer version of Excel. Learn more: https://go.microsoft.com/fwlink/?linkid=870924
Comment:
    Biosimilar launching?</t>
      </text>
    </comment>
  </commentList>
</comments>
</file>

<file path=xl/sharedStrings.xml><?xml version="1.0" encoding="utf-8"?>
<sst xmlns="http://schemas.openxmlformats.org/spreadsheetml/2006/main" count="245" uniqueCount="205">
  <si>
    <t>Price</t>
  </si>
  <si>
    <t>Shares</t>
  </si>
  <si>
    <t>MC</t>
  </si>
  <si>
    <t>Cash</t>
  </si>
  <si>
    <t>Debt</t>
  </si>
  <si>
    <t>EV</t>
  </si>
  <si>
    <t>Brand</t>
  </si>
  <si>
    <t>Q222</t>
  </si>
  <si>
    <t>Avonex</t>
  </si>
  <si>
    <t>Tecfidera</t>
  </si>
  <si>
    <t>Indication</t>
  </si>
  <si>
    <t>MOA</t>
  </si>
  <si>
    <t>Approval</t>
  </si>
  <si>
    <t>Economics</t>
  </si>
  <si>
    <t>IP</t>
  </si>
  <si>
    <t>Alzheimer's</t>
  </si>
  <si>
    <t>Multiple Sclerosis</t>
  </si>
  <si>
    <t>litifilimab</t>
  </si>
  <si>
    <t>BIIB122</t>
  </si>
  <si>
    <t>Parkinson's</t>
  </si>
  <si>
    <t>DNLI</t>
  </si>
  <si>
    <t>SAGE</t>
  </si>
  <si>
    <t>Spinraza (nusinersen)</t>
  </si>
  <si>
    <t>SMA</t>
  </si>
  <si>
    <t>IONS</t>
  </si>
  <si>
    <t>AL01811</t>
  </si>
  <si>
    <t>GBA2 inhibitor</t>
  </si>
  <si>
    <t>Aduhelm (aducanumab)</t>
  </si>
  <si>
    <t>Vumerity (diroximel fumarate)</t>
  </si>
  <si>
    <t>Tysabri (natalizumab)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</si>
  <si>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</si>
  <si>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</si>
  <si>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</si>
  <si>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</si>
  <si>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</si>
  <si>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</si>
  <si>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</si>
  <si>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</si>
  <si>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</si>
  <si>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</si>
  <si>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</si>
  <si>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</si>
  <si>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</si>
  <si>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Vumerity</t>
  </si>
  <si>
    <t>Plegridy</t>
  </si>
  <si>
    <t>Tysabri</t>
  </si>
  <si>
    <t>Fampyra</t>
  </si>
  <si>
    <t>Spinraza</t>
  </si>
  <si>
    <t>Benepali</t>
  </si>
  <si>
    <t>Imraldi</t>
  </si>
  <si>
    <t>Flixabi</t>
  </si>
  <si>
    <t>Byooviz</t>
  </si>
  <si>
    <t>Fumaderm</t>
  </si>
  <si>
    <t>Aduhelm</t>
  </si>
  <si>
    <t>Product</t>
  </si>
  <si>
    <t>CD20</t>
  </si>
  <si>
    <t>Other</t>
  </si>
  <si>
    <t>COGS</t>
  </si>
  <si>
    <t>Gross Profit</t>
  </si>
  <si>
    <t>R&amp;D</t>
  </si>
  <si>
    <t>SG&amp;A</t>
  </si>
  <si>
    <t>OpEx</t>
  </si>
  <si>
    <t>OpInc</t>
  </si>
  <si>
    <t>Interest Income</t>
  </si>
  <si>
    <t>Pretax Income</t>
  </si>
  <si>
    <t>Taxes</t>
  </si>
  <si>
    <t>Net Income</t>
  </si>
  <si>
    <t>EPS</t>
  </si>
  <si>
    <t>Lunsumio (mosunetuzumab)</t>
  </si>
  <si>
    <t>FL</t>
  </si>
  <si>
    <t>CD20xCD3</t>
  </si>
  <si>
    <t>Ocrevus</t>
  </si>
  <si>
    <t>Rituxan/Gazyva</t>
  </si>
  <si>
    <t>Revenue y/y</t>
  </si>
  <si>
    <t>Gross Margin</t>
  </si>
  <si>
    <t>Terminal</t>
  </si>
  <si>
    <t>Discount</t>
  </si>
  <si>
    <t>NPV</t>
  </si>
  <si>
    <t>Share</t>
  </si>
  <si>
    <t>Q123</t>
  </si>
  <si>
    <t>Q223</t>
  </si>
  <si>
    <t>Q323</t>
  </si>
  <si>
    <t>Q423</t>
  </si>
  <si>
    <t>glofitamab</t>
  </si>
  <si>
    <t>Phase</t>
  </si>
  <si>
    <t>LRRK2</t>
  </si>
  <si>
    <t>Byooviz (ranibizumab)</t>
  </si>
  <si>
    <t>AMD</t>
  </si>
  <si>
    <t>VEGF</t>
  </si>
  <si>
    <t>amyloid-beta mab</t>
  </si>
  <si>
    <t>IFN</t>
  </si>
  <si>
    <t>VLA4</t>
  </si>
  <si>
    <t>III</t>
  </si>
  <si>
    <t>II/III</t>
  </si>
  <si>
    <t>Cambridge, MA</t>
  </si>
  <si>
    <t>L+SE</t>
  </si>
  <si>
    <t>SE</t>
  </si>
  <si>
    <t>AR</t>
  </si>
  <si>
    <t>Inventory</t>
  </si>
  <si>
    <t>OCA</t>
  </si>
  <si>
    <t>PP&amp;E</t>
  </si>
  <si>
    <t>Lease</t>
  </si>
  <si>
    <t>Goodwill</t>
  </si>
  <si>
    <t>DT</t>
  </si>
  <si>
    <t>Assets</t>
  </si>
  <si>
    <t>AP</t>
  </si>
  <si>
    <t>AE</t>
  </si>
  <si>
    <t>Net Debt</t>
  </si>
  <si>
    <t>Leqembi (lecanemab)</t>
  </si>
  <si>
    <t>BIIB080</t>
  </si>
  <si>
    <t>MAPT ASO</t>
  </si>
  <si>
    <t xml:space="preserve">CEO: Chris Viehbacher replaced </t>
  </si>
  <si>
    <t>Leqembi</t>
  </si>
  <si>
    <t>Product y/y</t>
  </si>
  <si>
    <t>OLTL</t>
  </si>
  <si>
    <t>Qalsody (tofersen)</t>
  </si>
  <si>
    <t>Qalsody</t>
  </si>
  <si>
    <t>Rheumatoid Arthritis</t>
  </si>
  <si>
    <t>IL-6</t>
  </si>
  <si>
    <t>7/6/23 full approval PDUFA</t>
  </si>
  <si>
    <t>BIIB093 discontinued</t>
  </si>
  <si>
    <t>BIIB132 discontinued</t>
  </si>
  <si>
    <t>Q124</t>
  </si>
  <si>
    <t>Q224</t>
  </si>
  <si>
    <t>Q324</t>
  </si>
  <si>
    <t>Q424</t>
  </si>
  <si>
    <t>Founded: 1978</t>
  </si>
  <si>
    <t>Skyclarys</t>
  </si>
  <si>
    <t>Skyclarys (omaveloxolone)</t>
  </si>
  <si>
    <t>Friedreich's Ataxia</t>
  </si>
  <si>
    <t>Tofidence</t>
  </si>
  <si>
    <t>Zurzuvae</t>
  </si>
  <si>
    <t>Zurzuvae (zuranolone)</t>
  </si>
  <si>
    <t>40</t>
  </si>
  <si>
    <t>19</t>
  </si>
  <si>
    <t>2</t>
  </si>
  <si>
    <t>Leqembi, BAN2401</t>
  </si>
  <si>
    <t>Generic</t>
  </si>
  <si>
    <t>lecanemab</t>
  </si>
  <si>
    <t>anti-AB protofibril antibody. Protofibrils are 28-500mers which are still soluble.</t>
  </si>
  <si>
    <t>Clinical Trials</t>
  </si>
  <si>
    <t>Phase III "CLARITY" n=1906 early Alzheimer's - NCT03887455, full results at CTAD 11/29/22</t>
  </si>
  <si>
    <t>PE: CDR-SB at 18 months</t>
  </si>
  <si>
    <t>10mg/kg q2w, 720mg subcutaneous qw</t>
  </si>
  <si>
    <t>at 18 weeks - but what was baseline? 3.5 (donanemab) or 6.7 (donepezil)</t>
  </si>
  <si>
    <t>File for approval by 3/31/23.</t>
  </si>
  <si>
    <t>1.42/year in Aricept</t>
  </si>
  <si>
    <t>Phase III "AHEAD 3-45" n=1400 - NCT04468659</t>
  </si>
  <si>
    <t>PACC5 PE at 4 years(!!)</t>
  </si>
  <si>
    <t>Eisai JV</t>
  </si>
  <si>
    <t>-0.45 p=0.00005 at 18 months (CDR-SB, compared with placebo at 18 months by 27%, which represents a treatment difference in the score change of -0.45 (p=0.00005) in the analysis of Intent-to-treat (ITT) population.")</t>
  </si>
  <si>
    <t>n=859 lecanemab, baseline ADAS-cog14 24.45+-7.08</t>
  </si>
  <si>
    <t>n=875 placebo, baseline ADAS-cog14 24.37+-7.56</t>
  </si>
  <si>
    <t>Lecanemab in patients with early Alzheimer's disease: detailed results on biomarker, cognitive, and clinical effects from the randomized and open-label extension of the phase 2 proof-of-concept study</t>
  </si>
  <si>
    <t>Phase II "Study 201" n=856</t>
  </si>
  <si>
    <t>ADAS-cog14 baseline</t>
  </si>
  <si>
    <t>n=52 2.5mg/kg q2w 22.7+-8.1</t>
  </si>
  <si>
    <t>n=48 5.0mg/kg qm 22.9+-7.7</t>
  </si>
  <si>
    <t>n=89 5.0mg/kg q2w 22.8+-6.7</t>
  </si>
  <si>
    <t>A randomized, double-blind, phase 2b proof-of-concept clinical trial in early Alzheimer's disease with lecanemab, an anti-Aβ protofibril antibody</t>
  </si>
  <si>
    <t>n=246 10mg/kg q2w 22.1+-7.7, +2.5 at 18 months</t>
  </si>
  <si>
    <t>n=238 placebo 22.6+-7.7, +5.0 at 18 months</t>
  </si>
  <si>
    <t>n=246 10mg/kg qm 21.9+-7.3, +4.8 at 18 months</t>
  </si>
  <si>
    <t>Phase II 4 month trial</t>
  </si>
  <si>
    <t>Safety and tolerability of BAN2401--a clinical study in Alzheimer's disease with a protofibril selective Aβ antibody</t>
  </si>
  <si>
    <t>still recruiting as of 10/6/2024</t>
  </si>
  <si>
    <t>Zinbryta</t>
  </si>
  <si>
    <t>Eloctate</t>
  </si>
  <si>
    <t>Alprolix</t>
  </si>
  <si>
    <t>zorevunersen</t>
  </si>
  <si>
    <t>STOK</t>
  </si>
  <si>
    <t>Q125</t>
  </si>
  <si>
    <t>Q225</t>
  </si>
  <si>
    <t>Q325</t>
  </si>
  <si>
    <t>Q425</t>
  </si>
  <si>
    <t>Discontinued: BIIB113, BIIB094, BIIB101 (SMA), BIIB143 (cemdomespib in )</t>
  </si>
  <si>
    <t>87</t>
  </si>
  <si>
    <t>AD Collab</t>
  </si>
  <si>
    <t>67</t>
  </si>
  <si>
    <t>SOD1-ALS</t>
  </si>
  <si>
    <t>PPD</t>
  </si>
  <si>
    <t>2028 results</t>
  </si>
  <si>
    <t>dapirolizumab pegol</t>
  </si>
  <si>
    <t>SLE</t>
  </si>
  <si>
    <t>CLE/SLE</t>
  </si>
  <si>
    <t>felzartamab</t>
  </si>
  <si>
    <t>AMR, IgAN, PMN</t>
  </si>
  <si>
    <t>BIIB091</t>
  </si>
  <si>
    <t>MS</t>
  </si>
  <si>
    <t>BTK</t>
  </si>
  <si>
    <t>II</t>
  </si>
  <si>
    <t>CD38</t>
  </si>
  <si>
    <t>izastobart</t>
  </si>
  <si>
    <t>C5aR1 mab</t>
  </si>
  <si>
    <t>Complemented</t>
  </si>
  <si>
    <t>dapirolizumab</t>
  </si>
  <si>
    <t>Phase III "PHOENYCS GO"</t>
  </si>
  <si>
    <t>CD40L Fv (Fc-free)</t>
  </si>
  <si>
    <t>UCB</t>
  </si>
  <si>
    <t>Administration</t>
  </si>
  <si>
    <t>IV q4w</t>
  </si>
  <si>
    <t>49.5% response rate vs. 34.6% for SOC on BICLA at 48 weeks</t>
  </si>
  <si>
    <t>Phase III "PHOENYCS FLY"</t>
  </si>
  <si>
    <t>BIIB124?</t>
  </si>
  <si>
    <t>Tofidence (tocilizumab, fka BIIB800)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</si>
</sst>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1"/>
    <xf numFmtId="3" fontId="0" fillId="0" borderId="0" xfId="0" applyNumberForma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/>
    <xf numFmtId="9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2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0" fontId="2" fillId="0" borderId="0" xfId="0" applyFont="1"/>
    <xf numFmtId="9" fontId="2" fillId="0" borderId="0" xfId="0" applyNumberFormat="1" applyFont="1"/>
    <xf numFmtId="0" fontId="3" fillId="0" borderId="0" xfId="0" applyFont="1"/>
    <xf numFmtId="3" fontId="0" fillId="0" borderId="0" xfId="0" quotePrefix="1" applyNumberFormat="1" applyAlignment="1">
      <alignment horizontal="right"/>
    </xf>
    <xf numFmtId="0" fontId="4" fillId="0" borderId="0" xfId="0" applyFont="1"/>
    <xf numFmtId="0" fontId="0" fillId="0" borderId="0" xfId="0" quotePrefix="1"/>
    <xf numFmtId="3" fontId="0" fillId="2" borderId="0" xfId="0" applyNumberFormat="1" applyFill="1"/>
    <xf numFmtId="0" fontId="1" fillId="0" borderId="1" xfId="1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4031B99-DC9B-4149-BFC4-2899F1BF335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38966</xdr:colOff>
      <xdr:row>0</xdr:row>
      <xdr:rowOff>11906</xdr:rowOff>
    </xdr:from>
    <xdr:to>
      <xdr:col>44</xdr:col>
      <xdr:colOff>38966</xdr:colOff>
      <xdr:row>85</xdr:row>
      <xdr:rowOff>142874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C7A0164-871D-34D0-FCC8-B9AAC596230D}"/>
            </a:ext>
          </a:extLst>
        </xdr:cNvPr>
        <xdr:cNvCxnSpPr/>
      </xdr:nvCxnSpPr>
      <xdr:spPr>
        <a:xfrm>
          <a:off x="27542404" y="11906"/>
          <a:ext cx="0" cy="134818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37888</xdr:colOff>
      <xdr:row>0</xdr:row>
      <xdr:rowOff>0</xdr:rowOff>
    </xdr:from>
    <xdr:to>
      <xdr:col>22</xdr:col>
      <xdr:colOff>37888</xdr:colOff>
      <xdr:row>82</xdr:row>
      <xdr:rowOff>130343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A5D9F34-9F98-4633-80FD-32FC96B7901E}"/>
            </a:ext>
          </a:extLst>
        </xdr:cNvPr>
        <xdr:cNvCxnSpPr/>
      </xdr:nvCxnSpPr>
      <xdr:spPr>
        <a:xfrm>
          <a:off x="14095201" y="0"/>
          <a:ext cx="0" cy="1300496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281559</xdr:colOff>
      <xdr:row>11</xdr:row>
      <xdr:rowOff>52691</xdr:rowOff>
    </xdr:from>
    <xdr:to>
      <xdr:col>13</xdr:col>
      <xdr:colOff>141862</xdr:colOff>
      <xdr:row>28</xdr:row>
      <xdr:rowOff>12767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8E170A-3133-9BA9-9F85-E81A351B4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2559" y="1836095"/>
          <a:ext cx="3508175" cy="2716246"/>
        </a:xfrm>
        <a:prstGeom prst="rect">
          <a:avLst/>
        </a:prstGeom>
      </xdr:spPr>
    </xdr:pic>
    <xdr:clientData/>
  </xdr:twoCellAnchor>
  <xdr:twoCellAnchor editAs="oneCell">
    <xdr:from>
      <xdr:col>13</xdr:col>
      <xdr:colOff>180201</xdr:colOff>
      <xdr:row>32</xdr:row>
      <xdr:rowOff>41415</xdr:rowOff>
    </xdr:from>
    <xdr:to>
      <xdr:col>18</xdr:col>
      <xdr:colOff>573890</xdr:colOff>
      <xdr:row>40</xdr:row>
      <xdr:rowOff>132523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9E1EED-8854-3E85-821B-3BC152F20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73527" y="5176632"/>
          <a:ext cx="3458254" cy="1416326"/>
        </a:xfrm>
        <a:prstGeom prst="rect">
          <a:avLst/>
        </a:prstGeom>
      </xdr:spPr>
    </xdr:pic>
    <xdr:clientData/>
  </xdr:twoCellAnchor>
  <xdr:twoCellAnchor editAs="oneCell">
    <xdr:from>
      <xdr:col>7</xdr:col>
      <xdr:colOff>275452</xdr:colOff>
      <xdr:row>29</xdr:row>
      <xdr:rowOff>115957</xdr:rowOff>
    </xdr:from>
    <xdr:to>
      <xdr:col>13</xdr:col>
      <xdr:colOff>198783</xdr:colOff>
      <xdr:row>46</xdr:row>
      <xdr:rowOff>6685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3294A57-0E29-D0D1-1D88-9E260BCCE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91300" y="4754218"/>
          <a:ext cx="3600809" cy="270681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B7865F0-CD93-4941-94D9-7A12E0373711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S7" dT="2025-03-05T20:48:05.32" personId="{9B7865F0-CD93-4941-94D9-7A12E0373711}" id="{4423AA93-85DD-4AF2-8024-8B884843C81D}">
    <text>Biosimilar launching?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06BA9-19F6-4D66-A355-F53C1BBA84BC}">
  <dimension ref="B2:K35"/>
  <sheetViews>
    <sheetView tabSelected="1" zoomScale="115" zoomScaleNormal="115" workbookViewId="0">
      <selection activeCell="A34" sqref="A34"/>
    </sheetView>
  </sheetViews>
  <sheetFormatPr defaultRowHeight="12.5" x14ac:dyDescent="0.25"/>
  <cols>
    <col min="1" max="1" width="3.1796875" customWidth="1"/>
    <col min="2" max="2" width="26.453125" customWidth="1"/>
    <col min="3" max="3" width="17.54296875" customWidth="1"/>
    <col min="4" max="4" width="16.1796875" customWidth="1"/>
    <col min="5" max="5" width="9" bestFit="1" customWidth="1"/>
    <col min="6" max="6" width="11.453125" customWidth="1"/>
  </cols>
  <sheetData>
    <row r="2" spans="2:11" x14ac:dyDescent="0.25">
      <c r="B2" s="8" t="s">
        <v>6</v>
      </c>
      <c r="C2" s="9" t="s">
        <v>10</v>
      </c>
      <c r="D2" s="9" t="s">
        <v>11</v>
      </c>
      <c r="E2" s="9" t="s">
        <v>12</v>
      </c>
      <c r="F2" s="9" t="s">
        <v>13</v>
      </c>
      <c r="G2" s="10" t="s">
        <v>14</v>
      </c>
      <c r="I2" t="s">
        <v>0</v>
      </c>
      <c r="J2" s="17">
        <v>142</v>
      </c>
    </row>
    <row r="3" spans="2:11" x14ac:dyDescent="0.25">
      <c r="B3" s="3" t="s">
        <v>29</v>
      </c>
      <c r="C3" t="s">
        <v>16</v>
      </c>
      <c r="D3" t="s">
        <v>91</v>
      </c>
      <c r="G3" s="4"/>
      <c r="I3" t="s">
        <v>1</v>
      </c>
      <c r="J3" s="1">
        <v>146</v>
      </c>
      <c r="K3" s="2" t="s">
        <v>125</v>
      </c>
    </row>
    <row r="4" spans="2:11" x14ac:dyDescent="0.25">
      <c r="B4" s="3" t="s">
        <v>8</v>
      </c>
      <c r="C4" t="s">
        <v>16</v>
      </c>
      <c r="D4" t="s">
        <v>90</v>
      </c>
      <c r="G4" s="4"/>
      <c r="I4" t="s">
        <v>2</v>
      </c>
      <c r="J4" s="1">
        <f>+J2*J3</f>
        <v>20732</v>
      </c>
    </row>
    <row r="5" spans="2:11" x14ac:dyDescent="0.25">
      <c r="B5" s="3" t="s">
        <v>27</v>
      </c>
      <c r="C5" t="s">
        <v>15</v>
      </c>
      <c r="D5" t="s">
        <v>89</v>
      </c>
      <c r="G5" s="4"/>
      <c r="I5" t="s">
        <v>3</v>
      </c>
      <c r="J5" s="1">
        <v>2400</v>
      </c>
      <c r="K5" s="2" t="s">
        <v>125</v>
      </c>
    </row>
    <row r="6" spans="2:11" x14ac:dyDescent="0.25">
      <c r="B6" s="3" t="s">
        <v>9</v>
      </c>
      <c r="C6" t="s">
        <v>16</v>
      </c>
      <c r="G6" s="4"/>
      <c r="I6" t="s">
        <v>4</v>
      </c>
      <c r="J6" s="1">
        <v>3900</v>
      </c>
      <c r="K6" s="2" t="s">
        <v>125</v>
      </c>
    </row>
    <row r="7" spans="2:11" x14ac:dyDescent="0.25">
      <c r="B7" s="3" t="s">
        <v>22</v>
      </c>
      <c r="C7" t="s">
        <v>23</v>
      </c>
      <c r="F7" t="s">
        <v>24</v>
      </c>
      <c r="G7" s="4"/>
      <c r="I7" t="s">
        <v>5</v>
      </c>
      <c r="J7" s="1">
        <f>+J4-J5+J6</f>
        <v>22232</v>
      </c>
    </row>
    <row r="8" spans="2:11" x14ac:dyDescent="0.25">
      <c r="B8" s="3" t="s">
        <v>28</v>
      </c>
      <c r="C8" t="s">
        <v>16</v>
      </c>
      <c r="G8" s="4"/>
      <c r="J8" s="17"/>
    </row>
    <row r="9" spans="2:11" x14ac:dyDescent="0.25">
      <c r="B9" s="3" t="s">
        <v>48</v>
      </c>
      <c r="G9" s="4"/>
      <c r="I9" t="s">
        <v>126</v>
      </c>
      <c r="J9" s="1"/>
    </row>
    <row r="10" spans="2:11" x14ac:dyDescent="0.25">
      <c r="B10" s="3" t="s">
        <v>49</v>
      </c>
      <c r="G10" s="4"/>
      <c r="J10" s="1"/>
    </row>
    <row r="11" spans="2:11" x14ac:dyDescent="0.25">
      <c r="B11" s="30" t="s">
        <v>108</v>
      </c>
      <c r="C11" t="s">
        <v>15</v>
      </c>
      <c r="D11" t="s">
        <v>89</v>
      </c>
      <c r="E11" t="s">
        <v>119</v>
      </c>
      <c r="G11" s="4"/>
      <c r="J11" s="1"/>
    </row>
    <row r="12" spans="2:11" x14ac:dyDescent="0.25">
      <c r="B12" s="3" t="s">
        <v>68</v>
      </c>
      <c r="C12" t="s">
        <v>69</v>
      </c>
      <c r="D12" t="s">
        <v>70</v>
      </c>
      <c r="G12" s="4"/>
    </row>
    <row r="13" spans="2:11" x14ac:dyDescent="0.25">
      <c r="B13" s="3" t="s">
        <v>50</v>
      </c>
      <c r="G13" s="4"/>
      <c r="J13" s="1"/>
    </row>
    <row r="14" spans="2:11" x14ac:dyDescent="0.25">
      <c r="B14" s="3" t="s">
        <v>204</v>
      </c>
      <c r="C14" t="s">
        <v>117</v>
      </c>
      <c r="D14" t="s">
        <v>118</v>
      </c>
      <c r="G14" s="4"/>
      <c r="J14" s="1"/>
    </row>
    <row r="15" spans="2:11" x14ac:dyDescent="0.25">
      <c r="B15" s="3" t="s">
        <v>115</v>
      </c>
      <c r="C15" t="s">
        <v>179</v>
      </c>
      <c r="E15" s="19">
        <v>45041</v>
      </c>
      <c r="F15" t="s">
        <v>24</v>
      </c>
      <c r="G15" s="4"/>
    </row>
    <row r="16" spans="2:11" x14ac:dyDescent="0.25">
      <c r="B16" s="3" t="s">
        <v>132</v>
      </c>
      <c r="C16" t="s">
        <v>180</v>
      </c>
      <c r="D16" s="20"/>
      <c r="E16" s="19">
        <v>45143</v>
      </c>
      <c r="F16" t="s">
        <v>21</v>
      </c>
      <c r="G16" s="4"/>
    </row>
    <row r="17" spans="2:9" x14ac:dyDescent="0.25">
      <c r="B17" s="3" t="s">
        <v>128</v>
      </c>
      <c r="C17" t="s">
        <v>129</v>
      </c>
      <c r="E17" s="19"/>
      <c r="G17" s="4"/>
    </row>
    <row r="18" spans="2:9" x14ac:dyDescent="0.25">
      <c r="B18" s="3" t="s">
        <v>86</v>
      </c>
      <c r="C18" t="s">
        <v>87</v>
      </c>
      <c r="D18" t="s">
        <v>88</v>
      </c>
      <c r="G18" s="4"/>
      <c r="I18" t="s">
        <v>94</v>
      </c>
    </row>
    <row r="19" spans="2:9" x14ac:dyDescent="0.25">
      <c r="B19" s="8"/>
      <c r="C19" s="9"/>
      <c r="D19" s="9"/>
      <c r="E19" s="9" t="s">
        <v>84</v>
      </c>
      <c r="F19" s="9"/>
      <c r="G19" s="10"/>
      <c r="I19" t="s">
        <v>111</v>
      </c>
    </row>
    <row r="20" spans="2:9" x14ac:dyDescent="0.25">
      <c r="B20" s="3" t="s">
        <v>17</v>
      </c>
      <c r="C20" t="s">
        <v>184</v>
      </c>
      <c r="E20" t="s">
        <v>93</v>
      </c>
      <c r="G20" s="4"/>
    </row>
    <row r="21" spans="2:9" x14ac:dyDescent="0.25">
      <c r="B21" s="3" t="s">
        <v>18</v>
      </c>
      <c r="C21" t="s">
        <v>19</v>
      </c>
      <c r="D21" t="s">
        <v>85</v>
      </c>
      <c r="E21" t="s">
        <v>92</v>
      </c>
      <c r="F21" t="s">
        <v>20</v>
      </c>
      <c r="G21" s="4"/>
    </row>
    <row r="22" spans="2:9" x14ac:dyDescent="0.25">
      <c r="B22" s="3" t="s">
        <v>187</v>
      </c>
      <c r="C22" t="s">
        <v>188</v>
      </c>
      <c r="D22" t="s">
        <v>189</v>
      </c>
      <c r="E22" t="s">
        <v>190</v>
      </c>
      <c r="G22" s="4"/>
    </row>
    <row r="23" spans="2:9" x14ac:dyDescent="0.25">
      <c r="B23" s="30" t="s">
        <v>182</v>
      </c>
      <c r="C23" t="s">
        <v>183</v>
      </c>
      <c r="E23" t="s">
        <v>92</v>
      </c>
      <c r="F23" t="s">
        <v>198</v>
      </c>
      <c r="G23" s="4"/>
    </row>
    <row r="24" spans="2:9" x14ac:dyDescent="0.25">
      <c r="B24" s="3" t="s">
        <v>25</v>
      </c>
      <c r="C24" t="s">
        <v>19</v>
      </c>
      <c r="D24" t="s">
        <v>26</v>
      </c>
      <c r="G24" s="4"/>
    </row>
    <row r="25" spans="2:9" x14ac:dyDescent="0.25">
      <c r="B25" s="3" t="s">
        <v>169</v>
      </c>
      <c r="F25" t="s">
        <v>170</v>
      </c>
      <c r="G25" s="4"/>
    </row>
    <row r="26" spans="2:9" x14ac:dyDescent="0.25">
      <c r="B26" s="3" t="s">
        <v>185</v>
      </c>
      <c r="C26" t="s">
        <v>186</v>
      </c>
      <c r="D26" t="s">
        <v>191</v>
      </c>
      <c r="E26" t="s">
        <v>92</v>
      </c>
      <c r="G26" s="4"/>
    </row>
    <row r="27" spans="2:9" x14ac:dyDescent="0.25">
      <c r="B27" s="3" t="s">
        <v>192</v>
      </c>
      <c r="C27" t="s">
        <v>194</v>
      </c>
      <c r="D27" t="s">
        <v>193</v>
      </c>
      <c r="G27" s="4"/>
    </row>
    <row r="28" spans="2:9" x14ac:dyDescent="0.25">
      <c r="B28" s="3" t="s">
        <v>83</v>
      </c>
      <c r="G28" s="4"/>
    </row>
    <row r="29" spans="2:9" x14ac:dyDescent="0.25">
      <c r="B29" s="5" t="s">
        <v>109</v>
      </c>
      <c r="C29" s="6" t="s">
        <v>15</v>
      </c>
      <c r="D29" s="6" t="s">
        <v>110</v>
      </c>
      <c r="E29" s="6"/>
      <c r="F29" s="6"/>
      <c r="G29" s="7"/>
    </row>
    <row r="32" spans="2:9" ht="13" x14ac:dyDescent="0.3">
      <c r="B32" s="25" t="s">
        <v>120</v>
      </c>
    </row>
    <row r="33" spans="2:2" ht="13" x14ac:dyDescent="0.3">
      <c r="B33" s="25" t="s">
        <v>121</v>
      </c>
    </row>
    <row r="34" spans="2:2" x14ac:dyDescent="0.25">
      <c r="B34" t="s">
        <v>175</v>
      </c>
    </row>
    <row r="35" spans="2:2" x14ac:dyDescent="0.25">
      <c r="B35" s="31" t="s">
        <v>203</v>
      </c>
    </row>
  </sheetData>
  <hyperlinks>
    <hyperlink ref="B11" location="Leqembi!A1" display="Leqembi (lecanemab)" xr:uid="{4387574C-96A5-45F5-B8EF-7C7678679F6F}"/>
    <hyperlink ref="B23" location="dapirolizumab!A1" display="dapirolizumab pegol" xr:uid="{77C0804C-F8EA-4740-8E9F-0493792952E9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CEB2B-BE50-4D86-B93D-DDDB8C03F4F9}">
  <dimension ref="A1:EQ71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5" sqref="D15"/>
    </sheetView>
  </sheetViews>
  <sheetFormatPr defaultRowHeight="12.5" x14ac:dyDescent="0.25"/>
  <cols>
    <col min="1" max="1" width="5" bestFit="1" customWidth="1"/>
    <col min="2" max="2" width="14.453125" customWidth="1"/>
    <col min="3" max="17" width="9.1796875" style="2"/>
    <col min="63" max="63" width="9" customWidth="1"/>
  </cols>
  <sheetData>
    <row r="1" spans="1:87" x14ac:dyDescent="0.25">
      <c r="A1" s="11" t="s">
        <v>30</v>
      </c>
    </row>
    <row r="2" spans="1:87" x14ac:dyDescent="0.25">
      <c r="C2" s="2" t="s">
        <v>32</v>
      </c>
      <c r="D2" s="2" t="s">
        <v>33</v>
      </c>
      <c r="E2" s="2" t="s">
        <v>34</v>
      </c>
      <c r="F2" s="2" t="s">
        <v>35</v>
      </c>
      <c r="G2" s="2" t="s">
        <v>36</v>
      </c>
      <c r="H2" s="2" t="s">
        <v>37</v>
      </c>
      <c r="I2" s="2" t="s">
        <v>38</v>
      </c>
      <c r="J2" s="2" t="s">
        <v>39</v>
      </c>
      <c r="K2" s="2" t="s">
        <v>40</v>
      </c>
      <c r="L2" s="2" t="s">
        <v>7</v>
      </c>
      <c r="M2" s="2" t="s">
        <v>41</v>
      </c>
      <c r="N2" s="2" t="s">
        <v>42</v>
      </c>
      <c r="O2" s="2" t="s">
        <v>79</v>
      </c>
      <c r="P2" s="2" t="s">
        <v>80</v>
      </c>
      <c r="Q2" s="2" t="s">
        <v>81</v>
      </c>
      <c r="R2" s="2" t="s">
        <v>82</v>
      </c>
      <c r="S2" s="2" t="s">
        <v>122</v>
      </c>
      <c r="T2" s="2" t="s">
        <v>123</v>
      </c>
      <c r="U2" s="2" t="s">
        <v>124</v>
      </c>
      <c r="V2" s="2" t="s">
        <v>125</v>
      </c>
      <c r="W2" s="2" t="s">
        <v>171</v>
      </c>
      <c r="X2" s="2" t="s">
        <v>172</v>
      </c>
      <c r="Y2" s="2" t="s">
        <v>173</v>
      </c>
      <c r="Z2" s="2" t="s">
        <v>174</v>
      </c>
      <c r="AA2" s="2"/>
      <c r="AB2" s="2"/>
      <c r="AD2">
        <v>2010</v>
      </c>
      <c r="AE2">
        <f>+AD2+1</f>
        <v>2011</v>
      </c>
      <c r="AF2">
        <f t="shared" ref="AF2:CI2" si="0">+AE2+1</f>
        <v>2012</v>
      </c>
      <c r="AG2">
        <f t="shared" si="0"/>
        <v>2013</v>
      </c>
      <c r="AH2">
        <f t="shared" si="0"/>
        <v>2014</v>
      </c>
      <c r="AI2">
        <f t="shared" si="0"/>
        <v>2015</v>
      </c>
      <c r="AJ2">
        <f t="shared" si="0"/>
        <v>2016</v>
      </c>
      <c r="AK2">
        <f t="shared" si="0"/>
        <v>2017</v>
      </c>
      <c r="AL2">
        <f t="shared" si="0"/>
        <v>2018</v>
      </c>
      <c r="AM2">
        <f t="shared" si="0"/>
        <v>2019</v>
      </c>
      <c r="AN2">
        <f t="shared" si="0"/>
        <v>2020</v>
      </c>
      <c r="AO2">
        <f t="shared" si="0"/>
        <v>2021</v>
      </c>
      <c r="AP2">
        <f t="shared" si="0"/>
        <v>2022</v>
      </c>
      <c r="AQ2">
        <f t="shared" si="0"/>
        <v>2023</v>
      </c>
      <c r="AR2">
        <f t="shared" si="0"/>
        <v>2024</v>
      </c>
      <c r="AS2">
        <f t="shared" si="0"/>
        <v>2025</v>
      </c>
      <c r="AT2">
        <f t="shared" si="0"/>
        <v>2026</v>
      </c>
      <c r="AU2">
        <f t="shared" si="0"/>
        <v>2027</v>
      </c>
      <c r="AV2">
        <f t="shared" si="0"/>
        <v>2028</v>
      </c>
      <c r="AW2">
        <f t="shared" si="0"/>
        <v>2029</v>
      </c>
      <c r="AX2">
        <f t="shared" si="0"/>
        <v>2030</v>
      </c>
      <c r="AY2">
        <f t="shared" si="0"/>
        <v>2031</v>
      </c>
      <c r="AZ2">
        <f t="shared" si="0"/>
        <v>2032</v>
      </c>
      <c r="BA2">
        <f t="shared" si="0"/>
        <v>2033</v>
      </c>
      <c r="BB2">
        <f t="shared" si="0"/>
        <v>2034</v>
      </c>
      <c r="BC2">
        <f t="shared" si="0"/>
        <v>2035</v>
      </c>
      <c r="BD2">
        <f t="shared" si="0"/>
        <v>2036</v>
      </c>
      <c r="BE2">
        <f t="shared" si="0"/>
        <v>2037</v>
      </c>
      <c r="BF2">
        <f t="shared" si="0"/>
        <v>2038</v>
      </c>
      <c r="BG2">
        <f t="shared" si="0"/>
        <v>2039</v>
      </c>
      <c r="BH2">
        <f t="shared" si="0"/>
        <v>2040</v>
      </c>
      <c r="BI2">
        <f t="shared" si="0"/>
        <v>2041</v>
      </c>
      <c r="BJ2">
        <f t="shared" si="0"/>
        <v>2042</v>
      </c>
      <c r="BK2">
        <f t="shared" si="0"/>
        <v>2043</v>
      </c>
      <c r="BL2">
        <f t="shared" si="0"/>
        <v>2044</v>
      </c>
      <c r="BM2">
        <f t="shared" si="0"/>
        <v>2045</v>
      </c>
      <c r="BN2">
        <f t="shared" si="0"/>
        <v>2046</v>
      </c>
      <c r="BO2">
        <f t="shared" si="0"/>
        <v>2047</v>
      </c>
      <c r="BP2">
        <f t="shared" si="0"/>
        <v>2048</v>
      </c>
      <c r="BQ2">
        <f t="shared" si="0"/>
        <v>2049</v>
      </c>
      <c r="BR2">
        <f t="shared" si="0"/>
        <v>2050</v>
      </c>
      <c r="BS2">
        <f t="shared" si="0"/>
        <v>2051</v>
      </c>
      <c r="BT2">
        <f t="shared" si="0"/>
        <v>2052</v>
      </c>
      <c r="BU2">
        <f t="shared" si="0"/>
        <v>2053</v>
      </c>
      <c r="BV2">
        <f t="shared" si="0"/>
        <v>2054</v>
      </c>
      <c r="BW2">
        <f t="shared" si="0"/>
        <v>2055</v>
      </c>
      <c r="BX2">
        <f t="shared" si="0"/>
        <v>2056</v>
      </c>
      <c r="BY2">
        <f t="shared" si="0"/>
        <v>2057</v>
      </c>
      <c r="BZ2">
        <f t="shared" si="0"/>
        <v>2058</v>
      </c>
      <c r="CA2">
        <f t="shared" si="0"/>
        <v>2059</v>
      </c>
      <c r="CB2">
        <f t="shared" si="0"/>
        <v>2060</v>
      </c>
      <c r="CC2">
        <f t="shared" si="0"/>
        <v>2061</v>
      </c>
      <c r="CD2">
        <f t="shared" si="0"/>
        <v>2062</v>
      </c>
      <c r="CE2">
        <f t="shared" si="0"/>
        <v>2063</v>
      </c>
      <c r="CF2">
        <f t="shared" si="0"/>
        <v>2064</v>
      </c>
      <c r="CG2">
        <f t="shared" si="0"/>
        <v>2065</v>
      </c>
      <c r="CH2">
        <f t="shared" si="0"/>
        <v>2066</v>
      </c>
      <c r="CI2">
        <f t="shared" si="0"/>
        <v>2067</v>
      </c>
    </row>
    <row r="3" spans="1:87" s="1" customFormat="1" x14ac:dyDescent="0.25">
      <c r="B3" s="1" t="s">
        <v>9</v>
      </c>
      <c r="C3" s="12"/>
      <c r="D3" s="12"/>
      <c r="E3" s="12">
        <v>953.1</v>
      </c>
      <c r="F3" s="12">
        <v>607.9</v>
      </c>
      <c r="G3" s="12">
        <v>479.3</v>
      </c>
      <c r="H3" s="12">
        <v>487.6</v>
      </c>
      <c r="I3" s="12">
        <v>498.6</v>
      </c>
      <c r="J3" s="12">
        <v>486.5</v>
      </c>
      <c r="K3" s="12">
        <v>409.9</v>
      </c>
      <c r="L3" s="12">
        <v>397.9</v>
      </c>
      <c r="M3" s="12">
        <v>339</v>
      </c>
      <c r="N3" s="12">
        <v>297.10000000000002</v>
      </c>
      <c r="O3" s="12">
        <v>274.5</v>
      </c>
      <c r="P3" s="12">
        <v>254.2</v>
      </c>
      <c r="Q3" s="12">
        <v>239.5</v>
      </c>
      <c r="R3" s="12">
        <v>244.3</v>
      </c>
      <c r="S3" s="12">
        <v>254.3</v>
      </c>
      <c r="T3" s="12">
        <v>252.2</v>
      </c>
      <c r="U3" s="12">
        <v>232.8</v>
      </c>
      <c r="V3" s="12">
        <v>227.8</v>
      </c>
      <c r="W3" s="12">
        <f>+S3*0.9</f>
        <v>228.87</v>
      </c>
      <c r="X3" s="12">
        <f t="shared" ref="X3:X6" si="1">+T3*0.9</f>
        <v>226.98</v>
      </c>
      <c r="Y3" s="12">
        <f t="shared" ref="Y3:Y6" si="2">+U3*0.9</f>
        <v>209.52</v>
      </c>
      <c r="Z3" s="12">
        <f t="shared" ref="Z3:Z6" si="3">+V3*0.9</f>
        <v>205.02</v>
      </c>
      <c r="AA3" s="12"/>
      <c r="AB3" s="12"/>
      <c r="AH3" s="1">
        <v>2909.2</v>
      </c>
      <c r="AI3" s="1">
        <v>3638.4</v>
      </c>
      <c r="AJ3" s="1">
        <v>3968.1</v>
      </c>
      <c r="AK3" s="1">
        <v>4214</v>
      </c>
      <c r="AL3" s="1">
        <v>4274.1000000000004</v>
      </c>
      <c r="AM3" s="1">
        <f>3306.5+1126.2</f>
        <v>4432.7</v>
      </c>
      <c r="AN3" s="1">
        <f>2677.7+1163.4</f>
        <v>3841.1</v>
      </c>
      <c r="AO3" s="1">
        <f>SUM(G3:J3)</f>
        <v>1952</v>
      </c>
      <c r="AP3" s="1">
        <f>SUM(K3:N3)</f>
        <v>1443.9</v>
      </c>
      <c r="AQ3" s="1">
        <f>SUM(O3:R3)</f>
        <v>1012.5</v>
      </c>
      <c r="AR3" s="1">
        <f>SUM(S3:V3)</f>
        <v>967.09999999999991</v>
      </c>
      <c r="AS3" s="1">
        <f t="shared" ref="AS3:AY4" si="4">+AR3*0.8</f>
        <v>773.68</v>
      </c>
      <c r="AT3" s="1">
        <f t="shared" si="4"/>
        <v>618.94399999999996</v>
      </c>
      <c r="AU3" s="1">
        <f t="shared" si="4"/>
        <v>495.15519999999998</v>
      </c>
      <c r="AV3" s="1">
        <f t="shared" si="4"/>
        <v>396.12416000000002</v>
      </c>
      <c r="AW3" s="1">
        <f t="shared" si="4"/>
        <v>316.89932800000003</v>
      </c>
      <c r="AX3" s="1">
        <f t="shared" si="4"/>
        <v>253.51946240000004</v>
      </c>
      <c r="AY3" s="1">
        <f t="shared" si="4"/>
        <v>202.81556992000003</v>
      </c>
      <c r="AZ3" s="1">
        <f t="shared" ref="AZ3" si="5">+AY3*0.8</f>
        <v>162.25245593600005</v>
      </c>
      <c r="BA3" s="1">
        <f t="shared" ref="BA3:BH3" si="6">+AZ3*0.8</f>
        <v>129.80196474880003</v>
      </c>
      <c r="BB3" s="1">
        <f t="shared" si="6"/>
        <v>103.84157179904003</v>
      </c>
      <c r="BC3" s="1">
        <f t="shared" si="6"/>
        <v>83.073257439232023</v>
      </c>
      <c r="BD3" s="1">
        <f t="shared" si="6"/>
        <v>66.458605951385621</v>
      </c>
      <c r="BE3" s="1">
        <f t="shared" si="6"/>
        <v>53.166884761108498</v>
      </c>
      <c r="BF3" s="1">
        <f t="shared" si="6"/>
        <v>42.533507808886803</v>
      </c>
      <c r="BG3" s="1">
        <f t="shared" si="6"/>
        <v>34.026806247109441</v>
      </c>
      <c r="BH3" s="1">
        <f t="shared" si="6"/>
        <v>27.221444997687556</v>
      </c>
    </row>
    <row r="4" spans="1:87" s="1" customFormat="1" x14ac:dyDescent="0.25">
      <c r="B4" s="1" t="s">
        <v>43</v>
      </c>
      <c r="C4" s="12"/>
      <c r="D4" s="12"/>
      <c r="E4" s="12">
        <v>14.4</v>
      </c>
      <c r="F4" s="12">
        <v>38.9</v>
      </c>
      <c r="G4" s="12">
        <v>73.599999999999994</v>
      </c>
      <c r="H4" s="12">
        <v>90.9</v>
      </c>
      <c r="I4" s="12">
        <v>120.9</v>
      </c>
      <c r="J4" s="12">
        <v>124.9</v>
      </c>
      <c r="K4" s="12">
        <v>128</v>
      </c>
      <c r="L4" s="12">
        <v>136.80000000000001</v>
      </c>
      <c r="M4" s="12">
        <v>137.80000000000001</v>
      </c>
      <c r="N4" s="12">
        <v>150.80000000000001</v>
      </c>
      <c r="O4" s="12">
        <v>108.2</v>
      </c>
      <c r="P4" s="12">
        <v>146.19999999999999</v>
      </c>
      <c r="Q4" s="12">
        <v>165.5</v>
      </c>
      <c r="R4" s="12">
        <v>156.4</v>
      </c>
      <c r="S4" s="12">
        <v>127.5</v>
      </c>
      <c r="T4" s="12">
        <v>165.8</v>
      </c>
      <c r="U4" s="12">
        <v>158.1</v>
      </c>
      <c r="V4" s="12">
        <v>176.6</v>
      </c>
      <c r="W4" s="12">
        <f t="shared" ref="W4:W6" si="7">+S4*0.9</f>
        <v>114.75</v>
      </c>
      <c r="X4" s="12">
        <f t="shared" si="1"/>
        <v>149.22000000000003</v>
      </c>
      <c r="Y4" s="12">
        <f t="shared" si="2"/>
        <v>142.29</v>
      </c>
      <c r="Z4" s="12">
        <f t="shared" si="3"/>
        <v>158.94</v>
      </c>
      <c r="AA4" s="12"/>
      <c r="AB4" s="12"/>
      <c r="AE4" s="29"/>
      <c r="AF4" s="29"/>
      <c r="AG4" s="29"/>
      <c r="AH4" s="29"/>
      <c r="AI4" s="29"/>
      <c r="AJ4" s="29"/>
      <c r="AK4" s="29"/>
      <c r="AL4" s="29"/>
      <c r="AM4" s="1">
        <v>5.5</v>
      </c>
      <c r="AN4" s="1">
        <v>64.3</v>
      </c>
      <c r="AO4" s="1">
        <f t="shared" ref="AO4:AO31" si="8">SUM(G4:J4)</f>
        <v>410.29999999999995</v>
      </c>
      <c r="AP4" s="1">
        <f t="shared" ref="AP4:AP31" si="9">SUM(K4:N4)</f>
        <v>553.40000000000009</v>
      </c>
      <c r="AQ4" s="1">
        <f t="shared" ref="AQ4:AQ31" si="10">SUM(O4:R4)</f>
        <v>576.29999999999995</v>
      </c>
      <c r="AR4" s="1">
        <f t="shared" ref="AR4:AR25" si="11">SUM(S4:V4)</f>
        <v>628</v>
      </c>
      <c r="AS4" s="1">
        <f t="shared" si="4"/>
        <v>502.40000000000003</v>
      </c>
      <c r="AT4" s="1">
        <f>+AS4*1.03</f>
        <v>517.47200000000009</v>
      </c>
      <c r="AU4" s="1">
        <f t="shared" ref="AU4:AX4" si="12">+AT4*1.03</f>
        <v>532.99616000000015</v>
      </c>
      <c r="AV4" s="1">
        <f t="shared" si="12"/>
        <v>548.98604480000017</v>
      </c>
      <c r="AW4" s="1">
        <f t="shared" si="12"/>
        <v>565.45562614400023</v>
      </c>
      <c r="AX4" s="1">
        <f t="shared" si="12"/>
        <v>582.41929492832026</v>
      </c>
      <c r="AY4" s="1">
        <f>+AX4*0.5</f>
        <v>291.20964746416013</v>
      </c>
      <c r="AZ4" s="1">
        <f>+AY4*0.8</f>
        <v>232.96771797132811</v>
      </c>
      <c r="BA4" s="1">
        <f t="shared" ref="BA4:BH4" si="13">+AZ4*0.8</f>
        <v>186.3741743770625</v>
      </c>
      <c r="BB4" s="1">
        <f t="shared" si="13"/>
        <v>149.09933950165001</v>
      </c>
      <c r="BC4" s="1">
        <f t="shared" si="13"/>
        <v>119.27947160132001</v>
      </c>
      <c r="BD4" s="1">
        <f t="shared" si="13"/>
        <v>95.423577281056012</v>
      </c>
      <c r="BE4" s="1">
        <f t="shared" si="13"/>
        <v>76.338861824844813</v>
      </c>
      <c r="BF4" s="1">
        <f t="shared" si="13"/>
        <v>61.07108945987585</v>
      </c>
      <c r="BG4" s="1">
        <f t="shared" si="13"/>
        <v>48.856871567900683</v>
      </c>
      <c r="BH4" s="1">
        <f t="shared" si="13"/>
        <v>39.085497254320551</v>
      </c>
    </row>
    <row r="5" spans="1:87" s="1" customFormat="1" x14ac:dyDescent="0.25">
      <c r="B5" s="1" t="s">
        <v>8</v>
      </c>
      <c r="C5" s="12"/>
      <c r="D5" s="12"/>
      <c r="E5" s="12">
        <v>380.5</v>
      </c>
      <c r="F5" s="12">
        <v>356.4</v>
      </c>
      <c r="G5" s="12">
        <v>311.10000000000002</v>
      </c>
      <c r="H5" s="12">
        <v>310.89999999999998</v>
      </c>
      <c r="I5" s="12">
        <v>301.3</v>
      </c>
      <c r="J5" s="12">
        <v>285.39999999999998</v>
      </c>
      <c r="K5" s="12">
        <v>229.6</v>
      </c>
      <c r="L5" s="12">
        <v>258.7</v>
      </c>
      <c r="M5" s="12">
        <v>255.1</v>
      </c>
      <c r="N5" s="12">
        <v>230.1</v>
      </c>
      <c r="O5" s="12">
        <v>172.4</v>
      </c>
      <c r="P5" s="12">
        <v>220.3</v>
      </c>
      <c r="Q5" s="12">
        <v>212.2</v>
      </c>
      <c r="R5" s="12">
        <v>206.1</v>
      </c>
      <c r="S5" s="12">
        <v>178.5</v>
      </c>
      <c r="T5" s="12">
        <v>182.8</v>
      </c>
      <c r="U5" s="12">
        <v>176.2</v>
      </c>
      <c r="V5" s="12">
        <v>170</v>
      </c>
      <c r="W5" s="12">
        <f t="shared" si="7"/>
        <v>160.65</v>
      </c>
      <c r="X5" s="12">
        <f t="shared" si="1"/>
        <v>164.52</v>
      </c>
      <c r="Y5" s="12">
        <f t="shared" si="2"/>
        <v>158.57999999999998</v>
      </c>
      <c r="Z5" s="12">
        <f t="shared" si="3"/>
        <v>153</v>
      </c>
      <c r="AA5" s="12"/>
      <c r="AB5" s="12"/>
      <c r="AE5" s="1">
        <v>2686.6</v>
      </c>
      <c r="AF5" s="1">
        <v>2913.1</v>
      </c>
      <c r="AG5" s="1">
        <v>3005.5</v>
      </c>
      <c r="AH5" s="1">
        <v>3057.6</v>
      </c>
      <c r="AI5" s="1">
        <v>2968.7</v>
      </c>
      <c r="AJ5" s="1">
        <v>2795.2</v>
      </c>
      <c r="AK5" s="1">
        <v>2645.8</v>
      </c>
      <c r="AL5" s="1">
        <v>2363</v>
      </c>
      <c r="AM5" s="1">
        <f>1202.1+463.8</f>
        <v>1665.8999999999999</v>
      </c>
      <c r="AN5" s="1">
        <f>1083.4+408.5</f>
        <v>1491.9</v>
      </c>
      <c r="AO5" s="1">
        <f t="shared" si="8"/>
        <v>1208.6999999999998</v>
      </c>
      <c r="AP5" s="1">
        <f t="shared" si="9"/>
        <v>973.5</v>
      </c>
      <c r="AQ5" s="1">
        <f t="shared" si="10"/>
        <v>811.00000000000011</v>
      </c>
      <c r="AR5" s="1">
        <f t="shared" si="11"/>
        <v>707.5</v>
      </c>
      <c r="AS5" s="1">
        <f t="shared" ref="AS5:BH5" si="14">+AR5*0.9</f>
        <v>636.75</v>
      </c>
      <c r="AT5" s="1">
        <f t="shared" si="14"/>
        <v>573.07500000000005</v>
      </c>
      <c r="AU5" s="1">
        <f t="shared" si="14"/>
        <v>515.76750000000004</v>
      </c>
      <c r="AV5" s="1">
        <f t="shared" si="14"/>
        <v>464.19075000000004</v>
      </c>
      <c r="AW5" s="1">
        <f t="shared" si="14"/>
        <v>417.77167500000002</v>
      </c>
      <c r="AX5" s="1">
        <f t="shared" si="14"/>
        <v>375.9945075</v>
      </c>
      <c r="AY5" s="1">
        <f t="shared" si="14"/>
        <v>338.39505674999998</v>
      </c>
      <c r="AZ5" s="1">
        <f t="shared" si="14"/>
        <v>304.55555107499998</v>
      </c>
      <c r="BA5" s="1">
        <f t="shared" si="14"/>
        <v>274.09999596749998</v>
      </c>
      <c r="BB5" s="1">
        <f t="shared" si="14"/>
        <v>246.68999637074998</v>
      </c>
      <c r="BC5" s="1">
        <f t="shared" si="14"/>
        <v>222.02099673367499</v>
      </c>
      <c r="BD5" s="1">
        <f t="shared" si="14"/>
        <v>199.81889706030751</v>
      </c>
      <c r="BE5" s="1">
        <f t="shared" si="14"/>
        <v>179.83700735427675</v>
      </c>
      <c r="BF5" s="1">
        <f t="shared" si="14"/>
        <v>161.85330661884907</v>
      </c>
      <c r="BG5" s="1">
        <f t="shared" si="14"/>
        <v>145.66797595696417</v>
      </c>
      <c r="BH5" s="1">
        <f t="shared" si="14"/>
        <v>131.10117836126776</v>
      </c>
    </row>
    <row r="6" spans="1:87" s="1" customFormat="1" x14ac:dyDescent="0.25">
      <c r="B6" s="1" t="s">
        <v>44</v>
      </c>
      <c r="C6" s="12"/>
      <c r="D6" s="12"/>
      <c r="E6" s="12">
        <v>93.6</v>
      </c>
      <c r="F6" s="12">
        <v>99.6</v>
      </c>
      <c r="G6" s="12">
        <v>89.4</v>
      </c>
      <c r="H6" s="12">
        <v>89.5</v>
      </c>
      <c r="I6" s="12">
        <v>86.2</v>
      </c>
      <c r="J6" s="12">
        <v>92.3</v>
      </c>
      <c r="K6" s="12">
        <v>80</v>
      </c>
      <c r="L6" s="12">
        <v>91.5</v>
      </c>
      <c r="M6" s="12">
        <v>80.900000000000006</v>
      </c>
      <c r="N6" s="12">
        <v>79.5</v>
      </c>
      <c r="O6" s="12">
        <v>73.2</v>
      </c>
      <c r="P6" s="12">
        <v>82.1</v>
      </c>
      <c r="Q6" s="12">
        <v>65.5</v>
      </c>
      <c r="R6" s="12">
        <v>73.900000000000006</v>
      </c>
      <c r="S6" s="12">
        <v>65.099999999999994</v>
      </c>
      <c r="T6" s="12">
        <v>68.099999999999994</v>
      </c>
      <c r="U6" s="12">
        <v>61.3</v>
      </c>
      <c r="V6" s="12">
        <v>66</v>
      </c>
      <c r="W6" s="12">
        <f t="shared" si="7"/>
        <v>58.589999999999996</v>
      </c>
      <c r="X6" s="12">
        <f t="shared" si="1"/>
        <v>61.29</v>
      </c>
      <c r="Y6" s="12">
        <f t="shared" si="2"/>
        <v>55.17</v>
      </c>
      <c r="Z6" s="12">
        <f t="shared" si="3"/>
        <v>59.4</v>
      </c>
      <c r="AA6" s="12"/>
      <c r="AB6" s="12"/>
      <c r="AM6" s="1">
        <f>224.5+211.4</f>
        <v>435.9</v>
      </c>
      <c r="AN6" s="1">
        <f>190.1+195.5</f>
        <v>385.6</v>
      </c>
      <c r="AO6" s="1">
        <f t="shared" si="8"/>
        <v>357.40000000000003</v>
      </c>
      <c r="AP6" s="1">
        <f t="shared" si="9"/>
        <v>331.9</v>
      </c>
      <c r="AQ6" s="1">
        <f t="shared" si="10"/>
        <v>294.70000000000005</v>
      </c>
      <c r="AR6" s="1">
        <f t="shared" si="11"/>
        <v>260.5</v>
      </c>
      <c r="AS6" s="1">
        <f t="shared" ref="AS6:BH6" si="15">+AR6*0.95</f>
        <v>247.47499999999999</v>
      </c>
      <c r="AT6" s="1">
        <f t="shared" si="15"/>
        <v>235.10124999999999</v>
      </c>
      <c r="AU6" s="1">
        <f t="shared" si="15"/>
        <v>223.34618749999998</v>
      </c>
      <c r="AV6" s="1">
        <f t="shared" si="15"/>
        <v>212.17887812499998</v>
      </c>
      <c r="AW6" s="1">
        <f t="shared" si="15"/>
        <v>201.56993421874998</v>
      </c>
      <c r="AX6" s="1">
        <f t="shared" si="15"/>
        <v>191.49143750781246</v>
      </c>
      <c r="AY6" s="1">
        <f t="shared" si="15"/>
        <v>181.91686563242183</v>
      </c>
      <c r="AZ6" s="1">
        <f t="shared" si="15"/>
        <v>172.82102235080075</v>
      </c>
      <c r="BA6" s="1">
        <f t="shared" si="15"/>
        <v>164.17997123326069</v>
      </c>
      <c r="BB6" s="1">
        <f t="shared" si="15"/>
        <v>155.97097267159765</v>
      </c>
      <c r="BC6" s="1">
        <f t="shared" si="15"/>
        <v>148.17242403801777</v>
      </c>
      <c r="BD6" s="1">
        <f t="shared" si="15"/>
        <v>140.76380283611687</v>
      </c>
      <c r="BE6" s="1">
        <f t="shared" si="15"/>
        <v>133.72561269431102</v>
      </c>
      <c r="BF6" s="1">
        <f t="shared" si="15"/>
        <v>127.03933205959547</v>
      </c>
      <c r="BG6" s="1">
        <f t="shared" si="15"/>
        <v>120.68736545661569</v>
      </c>
      <c r="BH6" s="1">
        <f t="shared" si="15"/>
        <v>114.6529971837849</v>
      </c>
    </row>
    <row r="7" spans="1:87" s="1" customFormat="1" x14ac:dyDescent="0.25">
      <c r="B7" s="1" t="s">
        <v>45</v>
      </c>
      <c r="C7" s="12"/>
      <c r="D7" s="12"/>
      <c r="E7" s="12">
        <v>516.5</v>
      </c>
      <c r="F7" s="12">
        <v>475.2</v>
      </c>
      <c r="G7" s="12">
        <v>503.3</v>
      </c>
      <c r="H7" s="12">
        <v>524.20000000000005</v>
      </c>
      <c r="I7" s="12">
        <v>522.79999999999995</v>
      </c>
      <c r="J7" s="12">
        <v>512.70000000000005</v>
      </c>
      <c r="K7" s="12">
        <v>520.79999999999995</v>
      </c>
      <c r="L7" s="12">
        <v>516.20000000000005</v>
      </c>
      <c r="M7" s="12">
        <v>505.5</v>
      </c>
      <c r="N7" s="12">
        <v>488.4</v>
      </c>
      <c r="O7" s="12">
        <v>472.8</v>
      </c>
      <c r="P7" s="12">
        <v>483.1</v>
      </c>
      <c r="Q7" s="12">
        <v>456.3</v>
      </c>
      <c r="R7" s="12">
        <v>464.7</v>
      </c>
      <c r="S7" s="12">
        <v>431.3</v>
      </c>
      <c r="T7" s="12">
        <v>462.2</v>
      </c>
      <c r="U7" s="12">
        <v>406.1</v>
      </c>
      <c r="V7" s="12">
        <v>415.4</v>
      </c>
      <c r="W7" s="12">
        <f>+S7*0.8</f>
        <v>345.04</v>
      </c>
      <c r="X7" s="12">
        <f>+T7*0.8</f>
        <v>369.76</v>
      </c>
      <c r="Y7" s="12">
        <f>+U7*0.8</f>
        <v>324.88000000000005</v>
      </c>
      <c r="Z7" s="12">
        <f>+V7*0.8</f>
        <v>332.32</v>
      </c>
      <c r="AA7" s="12"/>
      <c r="AB7" s="12"/>
      <c r="AH7" s="1">
        <v>1959.5</v>
      </c>
      <c r="AI7" s="1">
        <v>1886.1</v>
      </c>
      <c r="AJ7" s="1">
        <v>1963.8</v>
      </c>
      <c r="AK7" s="1">
        <v>1973.1</v>
      </c>
      <c r="AL7" s="1">
        <v>1864</v>
      </c>
      <c r="AM7" s="1">
        <v>1892.2</v>
      </c>
      <c r="AN7" s="1">
        <v>1946.1</v>
      </c>
      <c r="AO7" s="1">
        <f t="shared" si="8"/>
        <v>2063</v>
      </c>
      <c r="AP7" s="1">
        <f t="shared" si="9"/>
        <v>2030.9</v>
      </c>
      <c r="AQ7" s="1">
        <f t="shared" si="10"/>
        <v>1876.9</v>
      </c>
      <c r="AR7" s="1">
        <f t="shared" si="11"/>
        <v>1715</v>
      </c>
      <c r="AS7" s="1">
        <f>+AR7*0.85</f>
        <v>1457.75</v>
      </c>
      <c r="AT7" s="1">
        <f t="shared" ref="AT7:BH7" si="16">+AS7*0.85</f>
        <v>1239.0874999999999</v>
      </c>
      <c r="AU7" s="1">
        <f t="shared" si="16"/>
        <v>1053.2243749999998</v>
      </c>
      <c r="AV7" s="1">
        <f t="shared" si="16"/>
        <v>895.24071874999981</v>
      </c>
      <c r="AW7" s="1">
        <f t="shared" si="16"/>
        <v>760.95461093749987</v>
      </c>
      <c r="AX7" s="1">
        <f t="shared" si="16"/>
        <v>646.81141929687487</v>
      </c>
      <c r="AY7" s="1">
        <f t="shared" si="16"/>
        <v>549.78970640234365</v>
      </c>
      <c r="AZ7" s="1">
        <f t="shared" si="16"/>
        <v>467.32125044199211</v>
      </c>
      <c r="BA7" s="1">
        <f t="shared" si="16"/>
        <v>397.2230628756933</v>
      </c>
      <c r="BB7" s="1">
        <f t="shared" si="16"/>
        <v>337.63960344433929</v>
      </c>
      <c r="BC7" s="1">
        <f t="shared" si="16"/>
        <v>286.99366292768838</v>
      </c>
      <c r="BD7" s="1">
        <f t="shared" si="16"/>
        <v>243.94461348853511</v>
      </c>
      <c r="BE7" s="1">
        <f t="shared" si="16"/>
        <v>207.35292146525484</v>
      </c>
      <c r="BF7" s="1">
        <f t="shared" si="16"/>
        <v>176.24998324546661</v>
      </c>
      <c r="BG7" s="1">
        <f t="shared" si="16"/>
        <v>149.8124857586466</v>
      </c>
      <c r="BH7" s="1">
        <f t="shared" si="16"/>
        <v>127.34061289484961</v>
      </c>
    </row>
    <row r="8" spans="1:87" s="1" customFormat="1" x14ac:dyDescent="0.25">
      <c r="B8" s="1" t="s">
        <v>46</v>
      </c>
      <c r="C8" s="12"/>
      <c r="D8" s="12"/>
      <c r="E8" s="12">
        <v>26.8</v>
      </c>
      <c r="F8" s="12">
        <v>25.1</v>
      </c>
      <c r="G8" s="12">
        <v>26.6</v>
      </c>
      <c r="H8" s="12">
        <v>26.1</v>
      </c>
      <c r="I8" s="12">
        <v>26.2</v>
      </c>
      <c r="J8" s="12">
        <v>26.7</v>
      </c>
      <c r="K8" s="12">
        <v>26.2</v>
      </c>
      <c r="L8" s="12">
        <v>25.5</v>
      </c>
      <c r="M8" s="12">
        <v>22</v>
      </c>
      <c r="N8" s="12">
        <v>22.9</v>
      </c>
      <c r="O8" s="12">
        <v>24.1</v>
      </c>
      <c r="P8" s="12">
        <v>23.4</v>
      </c>
      <c r="Q8" s="12">
        <v>20</v>
      </c>
      <c r="R8" s="12">
        <v>23</v>
      </c>
      <c r="S8" s="12">
        <v>19.2</v>
      </c>
      <c r="T8" s="12">
        <v>18.7</v>
      </c>
      <c r="U8" s="12">
        <v>19.399999999999999</v>
      </c>
      <c r="V8" s="12">
        <v>14.4</v>
      </c>
      <c r="W8" s="12">
        <f t="shared" ref="W8:W9" si="17">+S8*0.9</f>
        <v>17.28</v>
      </c>
      <c r="X8" s="12">
        <f t="shared" ref="X8:X9" si="18">+T8*0.9</f>
        <v>16.829999999999998</v>
      </c>
      <c r="Y8" s="12">
        <f t="shared" ref="Y8:Y9" si="19">+U8*0.9</f>
        <v>17.46</v>
      </c>
      <c r="Z8" s="12">
        <f t="shared" ref="Z8:Z9" si="20">+V8*0.9</f>
        <v>12.96</v>
      </c>
      <c r="AA8" s="12"/>
      <c r="AB8" s="12"/>
      <c r="AH8" s="1">
        <v>80.2</v>
      </c>
      <c r="AI8" s="1">
        <v>89.7</v>
      </c>
      <c r="AJ8" s="1">
        <v>84.9</v>
      </c>
      <c r="AK8" s="1">
        <v>91.6</v>
      </c>
      <c r="AL8" s="1">
        <v>92.7</v>
      </c>
      <c r="AM8" s="1">
        <v>97.1</v>
      </c>
      <c r="AN8" s="1">
        <v>103.1</v>
      </c>
      <c r="AO8" s="1">
        <f t="shared" si="8"/>
        <v>105.60000000000001</v>
      </c>
      <c r="AP8" s="1">
        <f t="shared" si="9"/>
        <v>96.6</v>
      </c>
      <c r="AQ8" s="1">
        <f t="shared" si="10"/>
        <v>90.5</v>
      </c>
      <c r="AR8" s="1">
        <f t="shared" si="11"/>
        <v>71.7</v>
      </c>
      <c r="AS8" s="1">
        <f t="shared" ref="AS8:BH8" si="21">+AR8*0.9</f>
        <v>64.53</v>
      </c>
      <c r="AT8" s="1">
        <f t="shared" si="21"/>
        <v>58.077000000000005</v>
      </c>
      <c r="AU8" s="1">
        <f t="shared" si="21"/>
        <v>52.269300000000008</v>
      </c>
      <c r="AV8" s="1">
        <f t="shared" si="21"/>
        <v>47.042370000000005</v>
      </c>
      <c r="AW8" s="1">
        <f t="shared" si="21"/>
        <v>42.338133000000006</v>
      </c>
      <c r="AX8" s="1">
        <f t="shared" si="21"/>
        <v>38.104319700000005</v>
      </c>
      <c r="AY8" s="1">
        <f t="shared" si="21"/>
        <v>34.293887730000009</v>
      </c>
      <c r="AZ8" s="1">
        <f t="shared" si="21"/>
        <v>30.864498957000009</v>
      </c>
      <c r="BA8" s="1">
        <f t="shared" si="21"/>
        <v>27.77804906130001</v>
      </c>
      <c r="BB8" s="1">
        <f t="shared" si="21"/>
        <v>25.000244155170009</v>
      </c>
      <c r="BC8" s="1">
        <f t="shared" si="21"/>
        <v>22.500219739653009</v>
      </c>
      <c r="BD8" s="1">
        <f t="shared" si="21"/>
        <v>20.250197765687709</v>
      </c>
      <c r="BE8" s="1">
        <f t="shared" si="21"/>
        <v>18.22517798911894</v>
      </c>
      <c r="BF8" s="1">
        <f t="shared" si="21"/>
        <v>16.402660190207047</v>
      </c>
      <c r="BG8" s="1">
        <f t="shared" si="21"/>
        <v>14.762394171186344</v>
      </c>
      <c r="BH8" s="1">
        <f t="shared" si="21"/>
        <v>13.286154754067709</v>
      </c>
    </row>
    <row r="9" spans="1:87" s="1" customFormat="1" x14ac:dyDescent="0.25">
      <c r="B9" s="1" t="s">
        <v>47</v>
      </c>
      <c r="C9" s="12"/>
      <c r="D9" s="12"/>
      <c r="E9" s="12">
        <v>494.4</v>
      </c>
      <c r="F9" s="12">
        <v>498</v>
      </c>
      <c r="G9" s="12">
        <v>520.5</v>
      </c>
      <c r="H9" s="12">
        <v>499.7</v>
      </c>
      <c r="I9" s="12">
        <v>444.1</v>
      </c>
      <c r="J9" s="12">
        <v>440.7</v>
      </c>
      <c r="K9" s="12">
        <v>472.5</v>
      </c>
      <c r="L9" s="12">
        <v>431</v>
      </c>
      <c r="M9" s="12">
        <v>431.1</v>
      </c>
      <c r="N9" s="12">
        <v>458.8</v>
      </c>
      <c r="O9" s="12">
        <v>443.3</v>
      </c>
      <c r="P9" s="12">
        <v>437.1</v>
      </c>
      <c r="Q9" s="12">
        <v>448.2</v>
      </c>
      <c r="R9" s="12">
        <v>412.6</v>
      </c>
      <c r="S9" s="12">
        <v>341.3</v>
      </c>
      <c r="T9" s="12">
        <v>429.1</v>
      </c>
      <c r="U9" s="12">
        <v>381.4</v>
      </c>
      <c r="V9" s="12">
        <v>421.4</v>
      </c>
      <c r="W9" s="12">
        <f t="shared" si="17"/>
        <v>307.17</v>
      </c>
      <c r="X9" s="12">
        <f t="shared" si="18"/>
        <v>386.19000000000005</v>
      </c>
      <c r="Y9" s="12">
        <f t="shared" si="19"/>
        <v>343.26</v>
      </c>
      <c r="Z9" s="12">
        <f t="shared" si="20"/>
        <v>379.26</v>
      </c>
      <c r="AA9" s="12"/>
      <c r="AB9" s="12"/>
      <c r="AH9" s="29"/>
      <c r="AI9" s="29"/>
      <c r="AJ9" s="1">
        <v>4.5999999999999996</v>
      </c>
      <c r="AK9" s="1">
        <v>883.7</v>
      </c>
      <c r="AL9" s="1">
        <v>1724.2</v>
      </c>
      <c r="AM9" s="1">
        <v>2097</v>
      </c>
      <c r="AN9" s="1">
        <v>2052.1</v>
      </c>
      <c r="AO9" s="1">
        <f t="shared" si="8"/>
        <v>1905.0000000000002</v>
      </c>
      <c r="AP9" s="1">
        <f t="shared" si="9"/>
        <v>1793.3999999999999</v>
      </c>
      <c r="AQ9" s="1">
        <f t="shared" si="10"/>
        <v>1741.2000000000003</v>
      </c>
      <c r="AR9" s="1">
        <f t="shared" si="11"/>
        <v>1573.2000000000003</v>
      </c>
      <c r="AS9" s="1">
        <f t="shared" ref="AS9:BH9" si="22">+AR9*0.9</f>
        <v>1415.8800000000003</v>
      </c>
      <c r="AT9" s="1">
        <f t="shared" si="22"/>
        <v>1274.2920000000004</v>
      </c>
      <c r="AU9" s="1">
        <f t="shared" si="22"/>
        <v>1146.8628000000003</v>
      </c>
      <c r="AV9" s="1">
        <f t="shared" si="22"/>
        <v>1032.1765200000004</v>
      </c>
      <c r="AW9" s="1">
        <f t="shared" si="22"/>
        <v>928.95886800000039</v>
      </c>
      <c r="AX9" s="1">
        <f t="shared" si="22"/>
        <v>836.06298120000042</v>
      </c>
      <c r="AY9" s="1">
        <f t="shared" si="22"/>
        <v>752.4566830800004</v>
      </c>
      <c r="AZ9" s="1">
        <f t="shared" si="22"/>
        <v>677.21101477200034</v>
      </c>
      <c r="BA9" s="1">
        <f t="shared" si="22"/>
        <v>609.48991329480032</v>
      </c>
      <c r="BB9" s="1">
        <f t="shared" si="22"/>
        <v>548.54092196532031</v>
      </c>
      <c r="BC9" s="1">
        <f t="shared" si="22"/>
        <v>493.6868297687883</v>
      </c>
      <c r="BD9" s="1">
        <f t="shared" si="22"/>
        <v>444.3181467919095</v>
      </c>
      <c r="BE9" s="1">
        <f t="shared" si="22"/>
        <v>399.88633211271855</v>
      </c>
      <c r="BF9" s="1">
        <f t="shared" si="22"/>
        <v>359.89769890144669</v>
      </c>
      <c r="BG9" s="1">
        <f t="shared" si="22"/>
        <v>323.90792901130203</v>
      </c>
      <c r="BH9" s="1">
        <f t="shared" si="22"/>
        <v>291.51713611017186</v>
      </c>
    </row>
    <row r="10" spans="1:87" s="1" customFormat="1" x14ac:dyDescent="0.25">
      <c r="B10" s="1" t="s">
        <v>127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>
        <v>55.9</v>
      </c>
      <c r="S10" s="12">
        <v>78</v>
      </c>
      <c r="T10" s="12">
        <v>100</v>
      </c>
      <c r="U10" s="12">
        <v>102.3</v>
      </c>
      <c r="V10" s="12">
        <v>102.2</v>
      </c>
      <c r="W10" s="12">
        <f>+V10+15</f>
        <v>117.2</v>
      </c>
      <c r="X10" s="12">
        <f>+W10+15</f>
        <v>132.19999999999999</v>
      </c>
      <c r="Y10" s="12">
        <f>+X10+15</f>
        <v>147.19999999999999</v>
      </c>
      <c r="Z10" s="12">
        <f>+Y10+15</f>
        <v>162.19999999999999</v>
      </c>
      <c r="AA10" s="12"/>
      <c r="AB10" s="12"/>
      <c r="AH10" s="29"/>
      <c r="AI10" s="29"/>
      <c r="AJ10" s="29"/>
      <c r="AK10" s="29"/>
      <c r="AL10" s="29"/>
      <c r="AM10" s="29"/>
      <c r="AN10" s="29"/>
      <c r="AO10" s="29"/>
      <c r="AP10" s="29"/>
      <c r="AQ10" s="1">
        <f t="shared" si="10"/>
        <v>55.9</v>
      </c>
      <c r="AR10" s="1">
        <f>SUM(S10:V10)</f>
        <v>382.5</v>
      </c>
      <c r="AS10" s="1">
        <f>SUM(W10:Z10)</f>
        <v>558.79999999999995</v>
      </c>
      <c r="AT10" s="1">
        <f>+AS10*1.2</f>
        <v>670.56</v>
      </c>
      <c r="AU10" s="1">
        <f>+AT10*1.15</f>
        <v>771.14399999999989</v>
      </c>
      <c r="AV10" s="1">
        <f>+AU10*1.15</f>
        <v>886.81559999999979</v>
      </c>
      <c r="AW10" s="1">
        <f>+AV10*1.1</f>
        <v>975.49715999999989</v>
      </c>
      <c r="AX10" s="1">
        <f>+AW10*1.1</f>
        <v>1073.0468759999999</v>
      </c>
      <c r="AY10" s="1">
        <f t="shared" ref="AY10:BC10" si="23">+AX10*1.02</f>
        <v>1094.5078135199999</v>
      </c>
      <c r="AZ10" s="1">
        <f t="shared" si="23"/>
        <v>1116.3979697903999</v>
      </c>
      <c r="BA10" s="1">
        <f t="shared" si="23"/>
        <v>1138.7259291862078</v>
      </c>
      <c r="BB10" s="1">
        <f t="shared" si="23"/>
        <v>1161.500447769932</v>
      </c>
      <c r="BC10" s="1">
        <f t="shared" si="23"/>
        <v>1184.7304567253307</v>
      </c>
      <c r="BD10" s="1">
        <f>+BC10*0.1</f>
        <v>118.47304567253308</v>
      </c>
      <c r="BE10" s="1">
        <f t="shared" ref="BE10:BH10" si="24">+BD10*0.1</f>
        <v>11.847304567253309</v>
      </c>
      <c r="BF10" s="1">
        <f t="shared" si="24"/>
        <v>1.1847304567253309</v>
      </c>
      <c r="BG10" s="1">
        <f t="shared" si="24"/>
        <v>0.1184730456725331</v>
      </c>
      <c r="BH10" s="1">
        <f t="shared" si="24"/>
        <v>1.184730456725331E-2</v>
      </c>
    </row>
    <row r="11" spans="1:87" s="1" customFormat="1" x14ac:dyDescent="0.25">
      <c r="B11" s="1" t="s">
        <v>116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">
        <v>3.3</v>
      </c>
      <c r="S11" s="1">
        <v>4.5999999999999996</v>
      </c>
      <c r="T11" s="1">
        <v>5</v>
      </c>
      <c r="U11" s="1">
        <v>11.1</v>
      </c>
      <c r="V11" s="1">
        <v>11.7</v>
      </c>
      <c r="W11" s="1">
        <f>+V11+2</f>
        <v>13.7</v>
      </c>
      <c r="X11" s="1">
        <f>+W11+2</f>
        <v>15.7</v>
      </c>
      <c r="Y11" s="1">
        <f>+X11+2</f>
        <v>17.7</v>
      </c>
      <c r="Z11" s="1">
        <f>+Y11+2</f>
        <v>19.7</v>
      </c>
      <c r="AH11" s="29"/>
      <c r="AI11" s="29"/>
      <c r="AJ11" s="29"/>
      <c r="AK11" s="29"/>
      <c r="AL11" s="29"/>
      <c r="AM11" s="29"/>
      <c r="AN11" s="29"/>
      <c r="AO11" s="29"/>
      <c r="AP11" s="29"/>
      <c r="AQ11" s="1">
        <f t="shared" si="10"/>
        <v>3.3</v>
      </c>
      <c r="AR11" s="1">
        <f t="shared" si="11"/>
        <v>32.4</v>
      </c>
      <c r="AS11" s="1">
        <f>+AR11*1.1</f>
        <v>35.64</v>
      </c>
      <c r="AT11" s="1">
        <f t="shared" ref="AT11:BH11" si="25">+AS11*1.1</f>
        <v>39.204000000000001</v>
      </c>
      <c r="AU11" s="1">
        <f t="shared" si="25"/>
        <v>43.124400000000001</v>
      </c>
      <c r="AV11" s="1">
        <f t="shared" si="25"/>
        <v>47.436840000000004</v>
      </c>
      <c r="AW11" s="1">
        <f t="shared" si="25"/>
        <v>52.180524000000005</v>
      </c>
      <c r="AX11" s="1">
        <f t="shared" si="25"/>
        <v>57.39857640000001</v>
      </c>
      <c r="AY11" s="1">
        <f t="shared" si="25"/>
        <v>63.138434040000014</v>
      </c>
      <c r="AZ11" s="1">
        <f t="shared" si="25"/>
        <v>69.452277444000018</v>
      </c>
      <c r="BA11" s="1">
        <f t="shared" si="25"/>
        <v>76.397505188400032</v>
      </c>
      <c r="BB11" s="1">
        <f t="shared" si="25"/>
        <v>84.037255707240035</v>
      </c>
      <c r="BC11" s="1">
        <f t="shared" si="25"/>
        <v>92.440981277964042</v>
      </c>
      <c r="BD11" s="1">
        <f t="shared" si="25"/>
        <v>101.68507940576045</v>
      </c>
      <c r="BE11" s="1">
        <f t="shared" si="25"/>
        <v>111.8535873463365</v>
      </c>
      <c r="BF11" s="1">
        <f t="shared" si="25"/>
        <v>123.03894608097015</v>
      </c>
      <c r="BG11" s="1">
        <f t="shared" si="25"/>
        <v>135.34284068906717</v>
      </c>
      <c r="BH11" s="1">
        <f t="shared" si="25"/>
        <v>148.87712475797392</v>
      </c>
    </row>
    <row r="12" spans="1:87" s="1" customFormat="1" x14ac:dyDescent="0.25">
      <c r="B12" s="1" t="s">
        <v>48</v>
      </c>
      <c r="C12" s="12"/>
      <c r="D12" s="12"/>
      <c r="E12" s="12">
        <v>124.2</v>
      </c>
      <c r="F12" s="12">
        <v>117.6</v>
      </c>
      <c r="G12" s="12">
        <v>121.7</v>
      </c>
      <c r="H12" s="12">
        <v>121.5</v>
      </c>
      <c r="I12" s="12">
        <v>120.8</v>
      </c>
      <c r="J12" s="12">
        <v>134.4</v>
      </c>
      <c r="K12" s="12">
        <v>114.7</v>
      </c>
      <c r="L12" s="12">
        <v>115.8</v>
      </c>
      <c r="M12" s="12">
        <v>110.2</v>
      </c>
      <c r="N12" s="12">
        <v>100.3</v>
      </c>
      <c r="O12" s="12">
        <v>109</v>
      </c>
      <c r="P12" s="12">
        <v>109.2</v>
      </c>
      <c r="Q12" s="12">
        <v>112.8</v>
      </c>
      <c r="R12" s="12">
        <v>107.8</v>
      </c>
      <c r="S12" s="12">
        <v>118.7</v>
      </c>
      <c r="T12" s="12">
        <v>117.3</v>
      </c>
      <c r="U12" s="12">
        <v>118.1</v>
      </c>
      <c r="V12" s="12">
        <v>125</v>
      </c>
      <c r="W12" s="12">
        <f t="shared" ref="W12:W13" si="26">+S12*0.9</f>
        <v>106.83</v>
      </c>
      <c r="X12" s="12">
        <f t="shared" ref="X12:X13" si="27">+T12*0.9</f>
        <v>105.57</v>
      </c>
      <c r="Y12" s="12">
        <f t="shared" ref="Y12:Y13" si="28">+U12*0.9</f>
        <v>106.28999999999999</v>
      </c>
      <c r="Z12" s="12">
        <f t="shared" ref="Z12:Z13" si="29">+V12*0.9</f>
        <v>112.5</v>
      </c>
      <c r="AA12" s="12"/>
      <c r="AB12" s="12"/>
      <c r="AH12" s="29"/>
      <c r="AI12" s="29"/>
      <c r="AJ12" s="1">
        <v>100.6</v>
      </c>
      <c r="AK12" s="1">
        <v>370.8</v>
      </c>
      <c r="AL12" s="1">
        <v>485.2</v>
      </c>
      <c r="AM12" s="1">
        <v>486.2</v>
      </c>
      <c r="AN12" s="1">
        <v>481.6</v>
      </c>
      <c r="AO12" s="1">
        <f t="shared" si="8"/>
        <v>498.4</v>
      </c>
      <c r="AP12" s="1">
        <f t="shared" si="9"/>
        <v>441</v>
      </c>
      <c r="AQ12" s="1">
        <f t="shared" si="10"/>
        <v>438.8</v>
      </c>
      <c r="AR12" s="1">
        <f t="shared" si="11"/>
        <v>479.1</v>
      </c>
      <c r="AS12" s="1">
        <f t="shared" ref="AS12:BH12" si="30">+AR12*0.9</f>
        <v>431.19000000000005</v>
      </c>
      <c r="AT12" s="1">
        <f t="shared" si="30"/>
        <v>388.07100000000008</v>
      </c>
      <c r="AU12" s="1">
        <f t="shared" si="30"/>
        <v>349.26390000000009</v>
      </c>
      <c r="AV12" s="1">
        <f t="shared" si="30"/>
        <v>314.33751000000007</v>
      </c>
      <c r="AW12" s="1">
        <f t="shared" si="30"/>
        <v>282.90375900000009</v>
      </c>
      <c r="AX12" s="1">
        <f t="shared" si="30"/>
        <v>254.61338310000008</v>
      </c>
      <c r="AY12" s="1">
        <f t="shared" si="30"/>
        <v>229.15204479000008</v>
      </c>
      <c r="AZ12" s="1">
        <f t="shared" si="30"/>
        <v>206.23684031100007</v>
      </c>
      <c r="BA12" s="1">
        <f t="shared" si="30"/>
        <v>185.61315627990007</v>
      </c>
      <c r="BB12" s="1">
        <f t="shared" si="30"/>
        <v>167.05184065191006</v>
      </c>
      <c r="BC12" s="1">
        <f t="shared" si="30"/>
        <v>150.34665658671906</v>
      </c>
      <c r="BD12" s="1">
        <f t="shared" si="30"/>
        <v>135.31199092804715</v>
      </c>
      <c r="BE12" s="1">
        <f t="shared" si="30"/>
        <v>121.78079183524244</v>
      </c>
      <c r="BF12" s="1">
        <f t="shared" si="30"/>
        <v>109.60271265171819</v>
      </c>
      <c r="BG12" s="1">
        <f t="shared" si="30"/>
        <v>98.64244138654638</v>
      </c>
      <c r="BH12" s="1">
        <f t="shared" si="30"/>
        <v>88.77819724789174</v>
      </c>
    </row>
    <row r="13" spans="1:87" s="1" customFormat="1" x14ac:dyDescent="0.25">
      <c r="B13" s="1" t="s">
        <v>49</v>
      </c>
      <c r="C13" s="12"/>
      <c r="D13" s="12"/>
      <c r="E13" s="12">
        <v>56.2</v>
      </c>
      <c r="F13" s="12">
        <v>53.7</v>
      </c>
      <c r="G13" s="12">
        <v>57.9</v>
      </c>
      <c r="H13" s="12">
        <v>55.6</v>
      </c>
      <c r="I13" s="12">
        <v>57.4</v>
      </c>
      <c r="J13" s="12">
        <v>62.5</v>
      </c>
      <c r="K13" s="12">
        <v>57.1</v>
      </c>
      <c r="L13" s="12">
        <v>57.6</v>
      </c>
      <c r="M13" s="12">
        <v>57.7</v>
      </c>
      <c r="N13" s="12">
        <v>52.1</v>
      </c>
      <c r="O13" s="12">
        <v>54.4</v>
      </c>
      <c r="P13" s="12">
        <v>58.8</v>
      </c>
      <c r="Q13" s="12">
        <v>54.4</v>
      </c>
      <c r="R13" s="12">
        <v>54.5</v>
      </c>
      <c r="S13" s="12">
        <v>54.8</v>
      </c>
      <c r="T13" s="12">
        <v>53.2</v>
      </c>
      <c r="U13" s="12">
        <v>54.1</v>
      </c>
      <c r="V13" s="12">
        <v>51</v>
      </c>
      <c r="W13" s="12">
        <f t="shared" si="26"/>
        <v>49.32</v>
      </c>
      <c r="X13" s="12">
        <f t="shared" si="27"/>
        <v>47.88</v>
      </c>
      <c r="Y13" s="12">
        <f t="shared" si="28"/>
        <v>48.690000000000005</v>
      </c>
      <c r="Z13" s="12">
        <f t="shared" si="29"/>
        <v>45.9</v>
      </c>
      <c r="AA13" s="12"/>
      <c r="AB13" s="12"/>
      <c r="AH13" s="29"/>
      <c r="AI13" s="29"/>
      <c r="AJ13" s="29"/>
      <c r="AK13" s="29"/>
      <c r="AL13" s="1">
        <v>16.7</v>
      </c>
      <c r="AM13" s="1">
        <v>184</v>
      </c>
      <c r="AN13" s="1">
        <v>216.3</v>
      </c>
      <c r="AO13" s="1">
        <f t="shared" si="8"/>
        <v>233.4</v>
      </c>
      <c r="AP13" s="1">
        <f t="shared" si="9"/>
        <v>224.5</v>
      </c>
      <c r="AQ13" s="1">
        <f t="shared" si="10"/>
        <v>222.1</v>
      </c>
      <c r="AR13" s="1">
        <f t="shared" si="11"/>
        <v>213.1</v>
      </c>
      <c r="AS13" s="1">
        <f t="shared" ref="AS13:BH13" si="31">+AR13*0.9</f>
        <v>191.79</v>
      </c>
      <c r="AT13" s="1">
        <f t="shared" si="31"/>
        <v>172.61099999999999</v>
      </c>
      <c r="AU13" s="1">
        <f t="shared" si="31"/>
        <v>155.34989999999999</v>
      </c>
      <c r="AV13" s="1">
        <f t="shared" si="31"/>
        <v>139.81491</v>
      </c>
      <c r="AW13" s="1">
        <f t="shared" si="31"/>
        <v>125.83341900000001</v>
      </c>
      <c r="AX13" s="1">
        <f t="shared" si="31"/>
        <v>113.25007710000001</v>
      </c>
      <c r="AY13" s="1">
        <f t="shared" si="31"/>
        <v>101.92506939000002</v>
      </c>
      <c r="AZ13" s="1">
        <f t="shared" si="31"/>
        <v>91.732562451000021</v>
      </c>
      <c r="BA13" s="1">
        <f t="shared" si="31"/>
        <v>82.559306205900015</v>
      </c>
      <c r="BB13" s="1">
        <f t="shared" si="31"/>
        <v>74.303375585310022</v>
      </c>
      <c r="BC13" s="1">
        <f t="shared" si="31"/>
        <v>66.873038026779028</v>
      </c>
      <c r="BD13" s="1">
        <f t="shared" si="31"/>
        <v>60.185734224101125</v>
      </c>
      <c r="BE13" s="1">
        <f t="shared" si="31"/>
        <v>54.167160801691011</v>
      </c>
      <c r="BF13" s="1">
        <f t="shared" si="31"/>
        <v>48.750444721521909</v>
      </c>
      <c r="BG13" s="1">
        <f t="shared" si="31"/>
        <v>43.875400249369719</v>
      </c>
      <c r="BH13" s="1">
        <f t="shared" si="31"/>
        <v>39.487860224432751</v>
      </c>
    </row>
    <row r="14" spans="1:87" s="1" customFormat="1" x14ac:dyDescent="0.25">
      <c r="B14" s="1" t="s">
        <v>195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H14" s="29"/>
      <c r="AI14" s="29"/>
      <c r="AJ14" s="29"/>
      <c r="AK14" s="29"/>
      <c r="AT14" s="1">
        <v>100</v>
      </c>
      <c r="AU14" s="1">
        <v>400</v>
      </c>
      <c r="AV14" s="1">
        <v>600</v>
      </c>
      <c r="AW14" s="1">
        <v>800</v>
      </c>
      <c r="AX14" s="1">
        <v>1000</v>
      </c>
      <c r="AY14" s="1">
        <v>1200</v>
      </c>
      <c r="AZ14" s="1">
        <f>+AY14*1.03</f>
        <v>1236</v>
      </c>
      <c r="BA14" s="1">
        <f t="shared" ref="BA14:BH14" si="32">+AZ14*1.03</f>
        <v>1273.08</v>
      </c>
      <c r="BB14" s="1">
        <f t="shared" si="32"/>
        <v>1311.2724000000001</v>
      </c>
      <c r="BC14" s="1">
        <f t="shared" si="32"/>
        <v>1350.610572</v>
      </c>
      <c r="BD14" s="1">
        <f t="shared" si="32"/>
        <v>1391.12888916</v>
      </c>
      <c r="BE14" s="1">
        <f t="shared" si="32"/>
        <v>1432.8627558348001</v>
      </c>
      <c r="BF14" s="1">
        <f t="shared" si="32"/>
        <v>1475.848638509844</v>
      </c>
      <c r="BG14" s="1">
        <f t="shared" si="32"/>
        <v>1520.1240976651393</v>
      </c>
      <c r="BH14" s="1">
        <f t="shared" si="32"/>
        <v>1565.7278205950936</v>
      </c>
    </row>
    <row r="15" spans="1:87" s="1" customFormat="1" x14ac:dyDescent="0.25">
      <c r="B15" s="1" t="s">
        <v>166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H15" s="29"/>
      <c r="AI15" s="29"/>
      <c r="AJ15" s="1">
        <v>7.8</v>
      </c>
      <c r="AK15" s="1">
        <v>52.7</v>
      </c>
      <c r="AL15" s="1">
        <v>1.4</v>
      </c>
    </row>
    <row r="16" spans="1:87" s="1" customFormat="1" x14ac:dyDescent="0.25">
      <c r="B16" s="1" t="s">
        <v>167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H16" s="1">
        <v>58.4</v>
      </c>
      <c r="AI16" s="1">
        <v>319.7</v>
      </c>
      <c r="AJ16" s="1">
        <v>513.20000000000005</v>
      </c>
      <c r="AK16" s="1">
        <v>48.4</v>
      </c>
    </row>
    <row r="17" spans="2:60" s="1" customFormat="1" x14ac:dyDescent="0.25">
      <c r="B17" s="1" t="s">
        <v>168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H17" s="1">
        <v>76</v>
      </c>
      <c r="AI17" s="1">
        <v>234.5</v>
      </c>
      <c r="AJ17" s="1">
        <v>333.7</v>
      </c>
      <c r="AK17" s="1">
        <v>26</v>
      </c>
    </row>
    <row r="18" spans="2:60" s="1" customFormat="1" x14ac:dyDescent="0.25">
      <c r="B18" s="1" t="s">
        <v>50</v>
      </c>
      <c r="C18" s="12"/>
      <c r="D18" s="12"/>
      <c r="E18" s="12">
        <v>27.5</v>
      </c>
      <c r="F18" s="12">
        <v>26.1</v>
      </c>
      <c r="G18" s="12">
        <v>25.5</v>
      </c>
      <c r="H18" s="12">
        <v>25.3</v>
      </c>
      <c r="I18" s="12">
        <v>24.6</v>
      </c>
      <c r="J18" s="12">
        <v>24</v>
      </c>
      <c r="K18" s="12">
        <v>22.5</v>
      </c>
      <c r="L18" s="12">
        <v>20.5</v>
      </c>
      <c r="M18" s="12">
        <v>19</v>
      </c>
      <c r="N18" s="12">
        <v>19.3</v>
      </c>
      <c r="O18" s="12">
        <v>20.399999999999999</v>
      </c>
      <c r="P18" s="12">
        <v>20.100000000000001</v>
      </c>
      <c r="Q18" s="12">
        <v>20.2</v>
      </c>
      <c r="R18" s="12">
        <v>16.7</v>
      </c>
      <c r="S18" s="12">
        <v>17.8</v>
      </c>
      <c r="T18" s="12">
        <v>13.1</v>
      </c>
      <c r="U18" s="12">
        <v>16.2</v>
      </c>
      <c r="V18" s="12">
        <v>16.100000000000001</v>
      </c>
      <c r="W18" s="12">
        <f t="shared" ref="W18:W19" si="33">+S18*0.9</f>
        <v>16.02</v>
      </c>
      <c r="X18" s="12">
        <f t="shared" ref="X18:X19" si="34">+T18*0.9</f>
        <v>11.79</v>
      </c>
      <c r="Y18" s="12">
        <f t="shared" ref="Y18:Y19" si="35">+U18*0.9</f>
        <v>14.58</v>
      </c>
      <c r="Z18" s="12">
        <f t="shared" ref="Z18:Z19" si="36">+V18*0.9</f>
        <v>14.490000000000002</v>
      </c>
      <c r="AA18" s="12"/>
      <c r="AB18" s="12"/>
      <c r="AH18" s="29"/>
      <c r="AI18" s="29"/>
      <c r="AJ18" s="1">
        <v>0.1</v>
      </c>
      <c r="AK18" s="1">
        <v>9</v>
      </c>
      <c r="AL18" s="1">
        <v>43.2</v>
      </c>
      <c r="AM18" s="1">
        <v>68.099999999999994</v>
      </c>
      <c r="AN18" s="1">
        <v>97.9</v>
      </c>
      <c r="AO18" s="1">
        <f t="shared" si="8"/>
        <v>99.4</v>
      </c>
      <c r="AP18" s="1">
        <f t="shared" si="9"/>
        <v>81.3</v>
      </c>
      <c r="AQ18" s="1">
        <f t="shared" si="10"/>
        <v>77.400000000000006</v>
      </c>
      <c r="AR18" s="1">
        <f t="shared" si="11"/>
        <v>63.199999999999996</v>
      </c>
      <c r="AS18" s="1">
        <f t="shared" ref="AS18:BH18" si="37">+AR18*0.9</f>
        <v>56.879999999999995</v>
      </c>
      <c r="AT18" s="1">
        <f t="shared" si="37"/>
        <v>51.192</v>
      </c>
      <c r="AU18" s="1">
        <f t="shared" si="37"/>
        <v>46.072800000000001</v>
      </c>
      <c r="AV18" s="1">
        <f t="shared" si="37"/>
        <v>41.465520000000005</v>
      </c>
      <c r="AW18" s="1">
        <f t="shared" si="37"/>
        <v>37.318968000000005</v>
      </c>
      <c r="AX18" s="1">
        <f t="shared" si="37"/>
        <v>33.587071200000004</v>
      </c>
      <c r="AY18" s="1">
        <f t="shared" si="37"/>
        <v>30.228364080000006</v>
      </c>
      <c r="AZ18" s="1">
        <f t="shared" si="37"/>
        <v>27.205527672000006</v>
      </c>
      <c r="BA18" s="1">
        <f t="shared" si="37"/>
        <v>24.484974904800005</v>
      </c>
      <c r="BB18" s="1">
        <f t="shared" si="37"/>
        <v>22.036477414320004</v>
      </c>
      <c r="BC18" s="1">
        <f t="shared" si="37"/>
        <v>19.832829672888003</v>
      </c>
      <c r="BD18" s="1">
        <f t="shared" si="37"/>
        <v>17.849546705599202</v>
      </c>
      <c r="BE18" s="1">
        <f t="shared" si="37"/>
        <v>16.064592035039283</v>
      </c>
      <c r="BF18" s="1">
        <f t="shared" si="37"/>
        <v>14.458132831535355</v>
      </c>
      <c r="BG18" s="1">
        <f t="shared" si="37"/>
        <v>13.01231954838182</v>
      </c>
      <c r="BH18" s="1">
        <f t="shared" si="37"/>
        <v>11.711087593543638</v>
      </c>
    </row>
    <row r="19" spans="2:60" s="1" customFormat="1" x14ac:dyDescent="0.25">
      <c r="B19" s="1" t="s">
        <v>51</v>
      </c>
      <c r="C19" s="12"/>
      <c r="D19" s="12"/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0.5</v>
      </c>
      <c r="M19" s="12">
        <v>0.7</v>
      </c>
      <c r="N19" s="12">
        <v>3.1</v>
      </c>
      <c r="O19" s="12">
        <v>8.6</v>
      </c>
      <c r="P19" s="12">
        <v>7</v>
      </c>
      <c r="Q19" s="12">
        <v>6.9</v>
      </c>
      <c r="R19" s="12">
        <v>9.1999999999999993</v>
      </c>
      <c r="S19" s="12">
        <v>5.6</v>
      </c>
      <c r="T19" s="12">
        <v>13.7</v>
      </c>
      <c r="U19" s="12">
        <v>8</v>
      </c>
      <c r="V19" s="12">
        <v>9.3000000000000007</v>
      </c>
      <c r="W19" s="12">
        <f t="shared" si="33"/>
        <v>5.04</v>
      </c>
      <c r="X19" s="12">
        <f t="shared" si="34"/>
        <v>12.33</v>
      </c>
      <c r="Y19" s="12">
        <f t="shared" si="35"/>
        <v>7.2</v>
      </c>
      <c r="Z19" s="12">
        <f t="shared" si="36"/>
        <v>8.370000000000001</v>
      </c>
      <c r="AA19" s="12"/>
      <c r="AB19" s="12"/>
      <c r="AH19" s="29"/>
      <c r="AI19" s="29"/>
      <c r="AJ19" s="29"/>
      <c r="AK19" s="29"/>
      <c r="AL19" s="29"/>
      <c r="AM19" s="29"/>
      <c r="AN19" s="29"/>
      <c r="AO19" s="29"/>
      <c r="AP19" s="1">
        <f t="shared" si="9"/>
        <v>4.3</v>
      </c>
      <c r="AQ19" s="1">
        <f t="shared" si="10"/>
        <v>31.7</v>
      </c>
      <c r="AR19" s="1">
        <f t="shared" si="11"/>
        <v>36.599999999999994</v>
      </c>
      <c r="AS19" s="1">
        <f t="shared" ref="AS19:BH19" si="38">+AR19*0.9</f>
        <v>32.94</v>
      </c>
      <c r="AT19" s="1">
        <f t="shared" si="38"/>
        <v>29.645999999999997</v>
      </c>
      <c r="AU19" s="1">
        <f t="shared" si="38"/>
        <v>26.681399999999996</v>
      </c>
      <c r="AV19" s="1">
        <f t="shared" si="38"/>
        <v>24.013259999999999</v>
      </c>
      <c r="AW19" s="1">
        <f t="shared" si="38"/>
        <v>21.611933999999998</v>
      </c>
      <c r="AX19" s="1">
        <f t="shared" si="38"/>
        <v>19.4507406</v>
      </c>
      <c r="AY19" s="1">
        <f t="shared" si="38"/>
        <v>17.50566654</v>
      </c>
      <c r="AZ19" s="1">
        <f t="shared" si="38"/>
        <v>15.755099886</v>
      </c>
      <c r="BA19" s="1">
        <f t="shared" si="38"/>
        <v>14.1795898974</v>
      </c>
      <c r="BB19" s="1">
        <f t="shared" si="38"/>
        <v>12.761630907660001</v>
      </c>
      <c r="BC19" s="1">
        <f t="shared" si="38"/>
        <v>11.485467816894001</v>
      </c>
      <c r="BD19" s="1">
        <f t="shared" si="38"/>
        <v>10.336921035204602</v>
      </c>
      <c r="BE19" s="1">
        <f t="shared" si="38"/>
        <v>9.3032289316841421</v>
      </c>
      <c r="BF19" s="1">
        <f t="shared" si="38"/>
        <v>8.3729060385157279</v>
      </c>
      <c r="BG19" s="1">
        <f t="shared" si="38"/>
        <v>7.5356154346641553</v>
      </c>
      <c r="BH19" s="1">
        <f t="shared" si="38"/>
        <v>6.7820538911977399</v>
      </c>
    </row>
    <row r="20" spans="2:60" s="1" customFormat="1" x14ac:dyDescent="0.25">
      <c r="B20" s="1" t="s">
        <v>130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>
        <v>0.8</v>
      </c>
      <c r="U20" s="12">
        <v>0.2</v>
      </c>
      <c r="V20" s="12">
        <v>0.1</v>
      </c>
      <c r="W20" s="12">
        <f>+V20</f>
        <v>0.1</v>
      </c>
      <c r="X20" s="12">
        <f t="shared" ref="X20:Z20" si="39">+W20</f>
        <v>0.1</v>
      </c>
      <c r="Y20" s="12">
        <f t="shared" si="39"/>
        <v>0.1</v>
      </c>
      <c r="Z20" s="12">
        <f t="shared" si="39"/>
        <v>0.1</v>
      </c>
      <c r="AA20" s="12"/>
      <c r="AB20" s="12"/>
      <c r="AH20" s="29"/>
      <c r="AI20" s="29"/>
      <c r="AJ20" s="29"/>
      <c r="AK20" s="29"/>
      <c r="AL20" s="29"/>
      <c r="AM20" s="29"/>
      <c r="AN20" s="29"/>
      <c r="AO20" s="29"/>
      <c r="AP20" s="29"/>
      <c r="AQ20" s="1">
        <f t="shared" si="10"/>
        <v>0</v>
      </c>
      <c r="AR20" s="1">
        <f t="shared" si="11"/>
        <v>1.1000000000000001</v>
      </c>
      <c r="AS20" s="1">
        <f>+AR20+2</f>
        <v>3.1</v>
      </c>
      <c r="AT20" s="1">
        <f t="shared" ref="AT20:BH20" si="40">+AS20+2</f>
        <v>5.0999999999999996</v>
      </c>
      <c r="AU20" s="1">
        <f t="shared" si="40"/>
        <v>7.1</v>
      </c>
      <c r="AV20" s="1">
        <f t="shared" si="40"/>
        <v>9.1</v>
      </c>
      <c r="AW20" s="1">
        <f t="shared" si="40"/>
        <v>11.1</v>
      </c>
      <c r="AX20" s="1">
        <f t="shared" si="40"/>
        <v>13.1</v>
      </c>
      <c r="AY20" s="1">
        <f t="shared" si="40"/>
        <v>15.1</v>
      </c>
      <c r="AZ20" s="1">
        <f t="shared" si="40"/>
        <v>17.100000000000001</v>
      </c>
      <c r="BA20" s="1">
        <f t="shared" si="40"/>
        <v>19.100000000000001</v>
      </c>
      <c r="BB20" s="1">
        <f t="shared" si="40"/>
        <v>21.1</v>
      </c>
      <c r="BC20" s="1">
        <f t="shared" si="40"/>
        <v>23.1</v>
      </c>
      <c r="BD20" s="1">
        <f t="shared" si="40"/>
        <v>25.1</v>
      </c>
      <c r="BE20" s="1">
        <f t="shared" si="40"/>
        <v>27.1</v>
      </c>
      <c r="BF20" s="1">
        <f t="shared" si="40"/>
        <v>29.1</v>
      </c>
      <c r="BG20" s="1">
        <f t="shared" si="40"/>
        <v>31.1</v>
      </c>
      <c r="BH20" s="1">
        <f t="shared" si="40"/>
        <v>33.1</v>
      </c>
    </row>
    <row r="21" spans="2:60" s="1" customFormat="1" x14ac:dyDescent="0.25">
      <c r="B21" s="1" t="s">
        <v>131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>
        <v>14.9</v>
      </c>
      <c r="U21" s="12">
        <v>22</v>
      </c>
      <c r="V21" s="12">
        <v>22.9</v>
      </c>
      <c r="W21" s="12">
        <f>+V21+1</f>
        <v>23.9</v>
      </c>
      <c r="X21" s="12">
        <f t="shared" ref="X21:Z21" si="41">+W21+1</f>
        <v>24.9</v>
      </c>
      <c r="Y21" s="12">
        <f t="shared" si="41"/>
        <v>25.9</v>
      </c>
      <c r="Z21" s="12">
        <f t="shared" si="41"/>
        <v>26.9</v>
      </c>
      <c r="AA21" s="12"/>
      <c r="AB21" s="12"/>
      <c r="AH21" s="29"/>
      <c r="AI21" s="29"/>
      <c r="AJ21" s="29"/>
      <c r="AK21" s="29"/>
      <c r="AL21" s="29"/>
      <c r="AM21" s="29"/>
      <c r="AN21" s="29"/>
      <c r="AO21" s="29"/>
      <c r="AP21" s="29"/>
      <c r="AQ21" s="1">
        <f t="shared" si="10"/>
        <v>0</v>
      </c>
      <c r="AR21" s="1">
        <f t="shared" si="11"/>
        <v>59.8</v>
      </c>
      <c r="AS21" s="1">
        <f>+AR21</f>
        <v>59.8</v>
      </c>
      <c r="AT21" s="1">
        <f t="shared" ref="AT21:BH21" si="42">+AS21</f>
        <v>59.8</v>
      </c>
      <c r="AU21" s="1">
        <f t="shared" si="42"/>
        <v>59.8</v>
      </c>
      <c r="AV21" s="1">
        <f t="shared" si="42"/>
        <v>59.8</v>
      </c>
      <c r="AW21" s="1">
        <f t="shared" si="42"/>
        <v>59.8</v>
      </c>
      <c r="AX21" s="1">
        <f t="shared" si="42"/>
        <v>59.8</v>
      </c>
      <c r="AY21" s="1">
        <f t="shared" si="42"/>
        <v>59.8</v>
      </c>
      <c r="AZ21" s="1">
        <f t="shared" si="42"/>
        <v>59.8</v>
      </c>
      <c r="BA21" s="1">
        <f t="shared" si="42"/>
        <v>59.8</v>
      </c>
      <c r="BB21" s="1">
        <f t="shared" si="42"/>
        <v>59.8</v>
      </c>
      <c r="BC21" s="1">
        <f t="shared" si="42"/>
        <v>59.8</v>
      </c>
      <c r="BD21" s="1">
        <f t="shared" si="42"/>
        <v>59.8</v>
      </c>
      <c r="BE21" s="1">
        <f t="shared" si="42"/>
        <v>59.8</v>
      </c>
      <c r="BF21" s="1">
        <f t="shared" si="42"/>
        <v>59.8</v>
      </c>
      <c r="BG21" s="1">
        <f t="shared" si="42"/>
        <v>59.8</v>
      </c>
      <c r="BH21" s="1">
        <f t="shared" si="42"/>
        <v>59.8</v>
      </c>
    </row>
    <row r="22" spans="2:60" s="1" customFormat="1" x14ac:dyDescent="0.25">
      <c r="B22" s="1" t="s">
        <v>56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>
        <v>2.1</v>
      </c>
      <c r="V22" s="12">
        <v>2.7</v>
      </c>
      <c r="W22" s="12">
        <f>+V22</f>
        <v>2.7</v>
      </c>
      <c r="X22" s="12">
        <f t="shared" ref="X22:Z22" si="43">+W22</f>
        <v>2.7</v>
      </c>
      <c r="Y22" s="12">
        <f t="shared" si="43"/>
        <v>2.7</v>
      </c>
      <c r="Z22" s="12">
        <f t="shared" si="43"/>
        <v>2.7</v>
      </c>
      <c r="AA22" s="12"/>
      <c r="AB22" s="12"/>
      <c r="AH22" s="29"/>
      <c r="AI22" s="29"/>
      <c r="AJ22" s="29"/>
      <c r="AK22" s="29"/>
      <c r="AL22" s="29"/>
      <c r="AM22" s="29"/>
      <c r="AN22" s="29"/>
      <c r="AO22" s="29"/>
      <c r="AP22" s="29"/>
      <c r="AR22" s="1">
        <f t="shared" si="11"/>
        <v>4.8000000000000007</v>
      </c>
    </row>
    <row r="23" spans="2:60" s="1" customFormat="1" x14ac:dyDescent="0.25">
      <c r="B23" s="1" t="s">
        <v>52</v>
      </c>
      <c r="C23" s="12"/>
      <c r="D23" s="12"/>
      <c r="E23" s="12">
        <v>3.1</v>
      </c>
      <c r="F23" s="12">
        <v>3.1</v>
      </c>
      <c r="G23" s="12">
        <v>2.8</v>
      </c>
      <c r="H23" s="12">
        <v>3.1</v>
      </c>
      <c r="I23" s="12">
        <v>2.5</v>
      </c>
      <c r="J23" s="12">
        <v>2.7</v>
      </c>
      <c r="K23" s="12">
        <v>2.2000000000000002</v>
      </c>
      <c r="L23" s="12">
        <v>2.7</v>
      </c>
      <c r="M23" s="12">
        <v>1.5</v>
      </c>
      <c r="N23" s="12">
        <v>1.8</v>
      </c>
      <c r="O23" s="12">
        <v>2.4</v>
      </c>
      <c r="P23" s="12"/>
      <c r="Q23" s="12"/>
      <c r="AH23" s="1">
        <v>62.5</v>
      </c>
      <c r="AI23" s="1">
        <v>51.4</v>
      </c>
      <c r="AJ23" s="1">
        <v>45.9</v>
      </c>
      <c r="AK23" s="1">
        <v>39.6</v>
      </c>
      <c r="AL23" s="1">
        <v>22.3</v>
      </c>
      <c r="AM23" s="1">
        <v>15.2</v>
      </c>
      <c r="AN23" s="1">
        <v>12.2</v>
      </c>
      <c r="AO23" s="1">
        <f t="shared" si="8"/>
        <v>11.100000000000001</v>
      </c>
      <c r="AP23" s="1">
        <f t="shared" si="9"/>
        <v>8.2000000000000011</v>
      </c>
      <c r="AQ23" s="1">
        <f t="shared" si="10"/>
        <v>2.4</v>
      </c>
      <c r="AR23" s="1">
        <f t="shared" si="11"/>
        <v>0</v>
      </c>
      <c r="AS23" s="1">
        <f t="shared" ref="AS23:BH23" si="44">+AR23*0.9</f>
        <v>0</v>
      </c>
      <c r="AT23" s="1">
        <f t="shared" si="44"/>
        <v>0</v>
      </c>
      <c r="AU23" s="1">
        <f t="shared" si="44"/>
        <v>0</v>
      </c>
      <c r="AV23" s="1">
        <f t="shared" si="44"/>
        <v>0</v>
      </c>
      <c r="AW23" s="1">
        <f t="shared" si="44"/>
        <v>0</v>
      </c>
      <c r="AX23" s="1">
        <f t="shared" si="44"/>
        <v>0</v>
      </c>
      <c r="AY23" s="1">
        <f t="shared" si="44"/>
        <v>0</v>
      </c>
      <c r="AZ23" s="1">
        <f t="shared" si="44"/>
        <v>0</v>
      </c>
      <c r="BA23" s="1">
        <f t="shared" si="44"/>
        <v>0</v>
      </c>
      <c r="BB23" s="1">
        <f t="shared" si="44"/>
        <v>0</v>
      </c>
      <c r="BC23" s="1">
        <f t="shared" si="44"/>
        <v>0</v>
      </c>
      <c r="BD23" s="1">
        <f t="shared" si="44"/>
        <v>0</v>
      </c>
      <c r="BE23" s="1">
        <f t="shared" si="44"/>
        <v>0</v>
      </c>
      <c r="BF23" s="1">
        <f t="shared" si="44"/>
        <v>0</v>
      </c>
      <c r="BG23" s="1">
        <f t="shared" si="44"/>
        <v>0</v>
      </c>
      <c r="BH23" s="1">
        <f t="shared" si="44"/>
        <v>0</v>
      </c>
    </row>
    <row r="24" spans="2:60" s="1" customFormat="1" x14ac:dyDescent="0.25">
      <c r="B24" s="1" t="s">
        <v>112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>
        <v>-18.899999999999999</v>
      </c>
      <c r="P24" s="12"/>
      <c r="Q24" s="12"/>
      <c r="R24" s="26" t="s">
        <v>135</v>
      </c>
      <c r="S24" s="26" t="s">
        <v>134</v>
      </c>
      <c r="T24" s="26" t="s">
        <v>133</v>
      </c>
      <c r="U24" s="26" t="s">
        <v>178</v>
      </c>
      <c r="V24" s="26" t="s">
        <v>176</v>
      </c>
      <c r="AH24" s="29"/>
      <c r="AI24" s="29"/>
      <c r="AJ24" s="29"/>
      <c r="AK24" s="29"/>
      <c r="AL24" s="29"/>
      <c r="AM24" s="29"/>
      <c r="AN24" s="29"/>
      <c r="AO24" s="29"/>
      <c r="AP24" s="29"/>
      <c r="AQ24" s="1">
        <f t="shared" si="10"/>
        <v>-18.899999999999999</v>
      </c>
      <c r="AR24" s="1">
        <f t="shared" si="11"/>
        <v>0</v>
      </c>
      <c r="AS24" s="1">
        <v>500</v>
      </c>
      <c r="AT24" s="1">
        <v>1000</v>
      </c>
      <c r="AU24" s="1">
        <f>+AT24*1.05</f>
        <v>1050</v>
      </c>
      <c r="AV24" s="1">
        <f t="shared" ref="AV24:AW24" si="45">+AU24*1.05</f>
        <v>1102.5</v>
      </c>
      <c r="AW24" s="1">
        <f t="shared" si="45"/>
        <v>1157.625</v>
      </c>
      <c r="AX24" s="1">
        <f>+AW24*1.02</f>
        <v>1180.7774999999999</v>
      </c>
      <c r="AY24" s="1">
        <f t="shared" ref="AY24:BH24" si="46">+AX24*1.02</f>
        <v>1204.3930499999999</v>
      </c>
      <c r="AZ24" s="1">
        <f t="shared" si="46"/>
        <v>1228.4809109999999</v>
      </c>
      <c r="BA24" s="1">
        <f t="shared" si="46"/>
        <v>1253.0505292199998</v>
      </c>
      <c r="BB24" s="1">
        <f t="shared" si="46"/>
        <v>1278.1115398043999</v>
      </c>
      <c r="BC24" s="1">
        <f t="shared" si="46"/>
        <v>1303.6737706004878</v>
      </c>
      <c r="BD24" s="1">
        <f t="shared" si="46"/>
        <v>1329.7472460124977</v>
      </c>
      <c r="BE24" s="1">
        <f t="shared" si="46"/>
        <v>1356.3421909327476</v>
      </c>
      <c r="BF24" s="1">
        <f t="shared" si="46"/>
        <v>1383.4690347514027</v>
      </c>
      <c r="BG24" s="1">
        <f t="shared" si="46"/>
        <v>1411.1384154464308</v>
      </c>
      <c r="BH24" s="1">
        <f t="shared" si="46"/>
        <v>1439.3611837553594</v>
      </c>
    </row>
    <row r="25" spans="2:60" s="1" customFormat="1" x14ac:dyDescent="0.25">
      <c r="B25" s="1" t="s">
        <v>53</v>
      </c>
      <c r="C25" s="12"/>
      <c r="D25" s="12"/>
      <c r="E25" s="12">
        <v>0</v>
      </c>
      <c r="F25" s="12">
        <v>0</v>
      </c>
      <c r="G25" s="12">
        <v>0</v>
      </c>
      <c r="H25" s="12">
        <v>1.6</v>
      </c>
      <c r="I25" s="12">
        <v>0.3</v>
      </c>
      <c r="J25" s="12">
        <v>1</v>
      </c>
      <c r="K25" s="12">
        <v>2.8</v>
      </c>
      <c r="L25" s="12">
        <v>0.1</v>
      </c>
      <c r="M25" s="12">
        <v>1.6</v>
      </c>
      <c r="N25" s="12">
        <v>0.3</v>
      </c>
      <c r="O25" s="12"/>
      <c r="P25" s="12"/>
      <c r="Q25" s="12"/>
      <c r="AH25" s="29"/>
      <c r="AI25" s="29"/>
      <c r="AJ25" s="29"/>
      <c r="AK25" s="29"/>
      <c r="AL25" s="29"/>
      <c r="AM25" s="29"/>
      <c r="AN25" s="29"/>
      <c r="AO25" s="1">
        <f t="shared" si="8"/>
        <v>2.9000000000000004</v>
      </c>
      <c r="AP25" s="1">
        <f t="shared" si="9"/>
        <v>4.8</v>
      </c>
      <c r="AQ25" s="1">
        <f t="shared" si="10"/>
        <v>0</v>
      </c>
      <c r="AR25" s="1">
        <f t="shared" si="11"/>
        <v>0</v>
      </c>
      <c r="AS25" s="1">
        <f t="shared" ref="AS25:BH25" si="47">+AR25*0.9</f>
        <v>0</v>
      </c>
      <c r="AT25" s="1">
        <f t="shared" si="47"/>
        <v>0</v>
      </c>
      <c r="AU25" s="1">
        <f t="shared" si="47"/>
        <v>0</v>
      </c>
      <c r="AV25" s="1">
        <f t="shared" si="47"/>
        <v>0</v>
      </c>
      <c r="AW25" s="1">
        <f t="shared" si="47"/>
        <v>0</v>
      </c>
      <c r="AX25" s="1">
        <f t="shared" si="47"/>
        <v>0</v>
      </c>
      <c r="AY25" s="1">
        <f t="shared" si="47"/>
        <v>0</v>
      </c>
      <c r="AZ25" s="1">
        <f t="shared" si="47"/>
        <v>0</v>
      </c>
      <c r="BA25" s="1">
        <f t="shared" si="47"/>
        <v>0</v>
      </c>
      <c r="BB25" s="1">
        <f t="shared" si="47"/>
        <v>0</v>
      </c>
      <c r="BC25" s="1">
        <f t="shared" si="47"/>
        <v>0</v>
      </c>
      <c r="BD25" s="1">
        <f t="shared" si="47"/>
        <v>0</v>
      </c>
      <c r="BE25" s="1">
        <f t="shared" si="47"/>
        <v>0</v>
      </c>
      <c r="BF25" s="1">
        <f t="shared" si="47"/>
        <v>0</v>
      </c>
      <c r="BG25" s="1">
        <f t="shared" si="47"/>
        <v>0</v>
      </c>
      <c r="BH25" s="1">
        <f t="shared" si="47"/>
        <v>0</v>
      </c>
    </row>
    <row r="26" spans="2:60" s="1" customFormat="1" x14ac:dyDescent="0.25">
      <c r="B26" s="1" t="s">
        <v>54</v>
      </c>
      <c r="C26" s="12"/>
      <c r="D26" s="12"/>
      <c r="E26" s="12">
        <f t="shared" ref="E26:Z26" si="48">SUM(E3:E25)</f>
        <v>2690.2999999999993</v>
      </c>
      <c r="F26" s="12">
        <f t="shared" si="48"/>
        <v>2301.5999999999995</v>
      </c>
      <c r="G26" s="12">
        <f t="shared" si="48"/>
        <v>2211.7000000000003</v>
      </c>
      <c r="H26" s="12">
        <f t="shared" si="48"/>
        <v>2235.9999999999995</v>
      </c>
      <c r="I26" s="12">
        <f t="shared" si="48"/>
        <v>2205.7000000000003</v>
      </c>
      <c r="J26" s="12">
        <f t="shared" si="48"/>
        <v>2193.7999999999997</v>
      </c>
      <c r="K26" s="12">
        <f t="shared" si="48"/>
        <v>2066.3000000000002</v>
      </c>
      <c r="L26" s="12">
        <f t="shared" si="48"/>
        <v>2054.7999999999997</v>
      </c>
      <c r="M26" s="12">
        <f t="shared" si="48"/>
        <v>1962.1000000000001</v>
      </c>
      <c r="N26" s="12">
        <f t="shared" si="48"/>
        <v>1904.4999999999998</v>
      </c>
      <c r="O26" s="12">
        <f t="shared" si="48"/>
        <v>1744.4</v>
      </c>
      <c r="P26" s="12">
        <f t="shared" si="48"/>
        <v>1841.5</v>
      </c>
      <c r="Q26" s="12">
        <f t="shared" si="48"/>
        <v>1801.5000000000002</v>
      </c>
      <c r="R26" s="12">
        <f t="shared" si="48"/>
        <v>1828.4</v>
      </c>
      <c r="S26" s="12">
        <f t="shared" si="48"/>
        <v>1696.6999999999998</v>
      </c>
      <c r="T26" s="12">
        <f t="shared" si="48"/>
        <v>1896.9</v>
      </c>
      <c r="U26" s="12">
        <f t="shared" si="48"/>
        <v>1769.3999999999999</v>
      </c>
      <c r="V26" s="12">
        <f t="shared" si="48"/>
        <v>1832.6</v>
      </c>
      <c r="W26" s="12">
        <f t="shared" si="48"/>
        <v>1567.16</v>
      </c>
      <c r="X26" s="12">
        <f t="shared" si="48"/>
        <v>1727.96</v>
      </c>
      <c r="Y26" s="12">
        <f t="shared" si="48"/>
        <v>1621.5200000000002</v>
      </c>
      <c r="Z26" s="12">
        <f t="shared" si="48"/>
        <v>1693.7600000000002</v>
      </c>
      <c r="AA26" s="12"/>
      <c r="AB26" s="12"/>
      <c r="AH26" s="1">
        <f t="shared" ref="AH26:AL26" si="49">SUM(AH3:AH25)</f>
        <v>8203.3999999999978</v>
      </c>
      <c r="AI26" s="1">
        <f t="shared" si="49"/>
        <v>9188.5000000000018</v>
      </c>
      <c r="AJ26" s="1">
        <f t="shared" si="49"/>
        <v>9817.9</v>
      </c>
      <c r="AK26" s="1">
        <f t="shared" si="49"/>
        <v>10354.700000000001</v>
      </c>
      <c r="AL26" s="1">
        <f t="shared" si="49"/>
        <v>10886.800000000003</v>
      </c>
      <c r="AM26" s="1">
        <f>SUM(AM3:AM25)</f>
        <v>11379.800000000001</v>
      </c>
      <c r="AN26" s="1">
        <f>SUM(AN3:AN25)</f>
        <v>10692.2</v>
      </c>
      <c r="AO26" s="1">
        <f>SUM(AO3:AO25)</f>
        <v>8847.1999999999989</v>
      </c>
      <c r="AP26" s="1">
        <f>SUM(AP3:AP25)</f>
        <v>7987.7000000000007</v>
      </c>
      <c r="AQ26" s="1">
        <f>SUM(AQ3:AQ25)</f>
        <v>7215.8</v>
      </c>
      <c r="AR26" s="1">
        <f>SUM(AR3:AR25)</f>
        <v>7195.6000000000013</v>
      </c>
      <c r="AS26" s="1">
        <f>SUM(AS3:AS25)</f>
        <v>6968.6050000000014</v>
      </c>
      <c r="AT26" s="1">
        <f>SUM(AT3:AT25)</f>
        <v>7032.232750000001</v>
      </c>
      <c r="AU26" s="1">
        <f>SUM(AU3:AU25)</f>
        <v>6928.1579225000005</v>
      </c>
      <c r="AV26" s="1">
        <f>SUM(AV3:AV25)</f>
        <v>6821.2230816750007</v>
      </c>
      <c r="AW26" s="1">
        <f>SUM(AW3:AW25)</f>
        <v>6757.8189393002503</v>
      </c>
      <c r="AX26" s="1">
        <f>SUM(AX3:AX25)</f>
        <v>6729.4276469330089</v>
      </c>
      <c r="AY26" s="1">
        <f>SUM(AY3:AY25)</f>
        <v>6366.6278593389261</v>
      </c>
      <c r="AZ26" s="1">
        <f>SUM(AZ3:AZ25)</f>
        <v>6116.1547000585215</v>
      </c>
      <c r="BA26" s="1">
        <f>SUM(BA3:BA25)</f>
        <v>5915.9381224410245</v>
      </c>
      <c r="BB26" s="1">
        <f>SUM(BB3:BB25)</f>
        <v>5758.7576177486408</v>
      </c>
      <c r="BC26" s="1">
        <f>SUM(BC3:BC25)</f>
        <v>5638.6206349554377</v>
      </c>
      <c r="BD26" s="1">
        <f>SUM(BD3:BD25)</f>
        <v>4460.5962943187424</v>
      </c>
      <c r="BE26" s="1">
        <f>SUM(BE3:BE25)</f>
        <v>4269.6544104864279</v>
      </c>
      <c r="BF26" s="1">
        <f>SUM(BF3:BF25)</f>
        <v>4198.6731243265613</v>
      </c>
      <c r="BG26" s="1">
        <f>SUM(BG3:BG25)</f>
        <v>4158.4114316349969</v>
      </c>
      <c r="BH26" s="1">
        <f>SUM(BH3:BH25)</f>
        <v>4137.8421969262108</v>
      </c>
    </row>
    <row r="27" spans="2:60" s="1" customFormat="1" x14ac:dyDescent="0.25">
      <c r="B27" s="1" t="s">
        <v>71</v>
      </c>
      <c r="C27" s="12"/>
      <c r="D27" s="12"/>
      <c r="E27" s="12">
        <v>272.39999999999998</v>
      </c>
      <c r="F27" s="12">
        <v>202.4</v>
      </c>
      <c r="G27" s="12">
        <v>209.3</v>
      </c>
      <c r="H27" s="12"/>
      <c r="I27" s="12">
        <v>264.3</v>
      </c>
      <c r="J27" s="12">
        <v>261.2</v>
      </c>
      <c r="K27" s="12">
        <v>252.3</v>
      </c>
      <c r="L27" s="12"/>
      <c r="M27" s="12">
        <v>281.10000000000002</v>
      </c>
      <c r="N27" s="12">
        <v>311.10000000000002</v>
      </c>
      <c r="O27" s="12">
        <v>283.60000000000002</v>
      </c>
      <c r="P27" s="12">
        <v>325.5</v>
      </c>
      <c r="Q27" s="12">
        <v>319.10000000000002</v>
      </c>
      <c r="R27" s="1">
        <v>338</v>
      </c>
      <c r="S27" s="1">
        <v>302.7</v>
      </c>
      <c r="T27" s="1">
        <v>336.3</v>
      </c>
      <c r="U27" s="1">
        <v>346.8</v>
      </c>
      <c r="V27" s="1">
        <v>353.7</v>
      </c>
      <c r="W27" s="1">
        <f>+S27*1.2</f>
        <v>363.23999999999995</v>
      </c>
      <c r="X27" s="1">
        <f>+T27*1.2</f>
        <v>403.56</v>
      </c>
      <c r="Y27" s="1">
        <f>+U27*1.2</f>
        <v>416.16</v>
      </c>
      <c r="Z27" s="1">
        <f>+V27*1.2</f>
        <v>424.44</v>
      </c>
      <c r="AM27" s="1">
        <v>748</v>
      </c>
      <c r="AN27" s="1">
        <v>897.6</v>
      </c>
      <c r="AO27" s="1">
        <f t="shared" si="8"/>
        <v>734.8</v>
      </c>
      <c r="AP27" s="1">
        <f>SUM(K27:N27)</f>
        <v>844.50000000000011</v>
      </c>
      <c r="AQ27" s="1">
        <f t="shared" si="10"/>
        <v>1266.2</v>
      </c>
      <c r="AR27" s="1">
        <f>SUM(S27:V27)</f>
        <v>1339.5</v>
      </c>
      <c r="AS27" s="1">
        <f t="shared" ref="AS27:BH27" si="50">+AR27*0.9</f>
        <v>1205.55</v>
      </c>
      <c r="AT27" s="1">
        <f t="shared" si="50"/>
        <v>1084.9949999999999</v>
      </c>
      <c r="AU27" s="1">
        <f t="shared" si="50"/>
        <v>976.49549999999988</v>
      </c>
      <c r="AV27" s="1">
        <f t="shared" si="50"/>
        <v>878.8459499999999</v>
      </c>
      <c r="AW27" s="1">
        <f t="shared" si="50"/>
        <v>790.96135499999991</v>
      </c>
      <c r="AX27" s="1">
        <f t="shared" si="50"/>
        <v>711.86521949999997</v>
      </c>
      <c r="AY27" s="1">
        <f t="shared" si="50"/>
        <v>640.67869755000004</v>
      </c>
      <c r="AZ27" s="1">
        <f t="shared" si="50"/>
        <v>576.61082779500009</v>
      </c>
      <c r="BA27" s="1">
        <f t="shared" si="50"/>
        <v>518.94974501550007</v>
      </c>
      <c r="BB27" s="1">
        <f t="shared" si="50"/>
        <v>467.05477051395007</v>
      </c>
      <c r="BC27" s="1">
        <f t="shared" si="50"/>
        <v>420.34929346255507</v>
      </c>
      <c r="BD27" s="1">
        <f t="shared" si="50"/>
        <v>378.31436411629954</v>
      </c>
      <c r="BE27" s="1">
        <f t="shared" si="50"/>
        <v>340.48292770466958</v>
      </c>
      <c r="BF27" s="1">
        <f t="shared" si="50"/>
        <v>306.43463493420262</v>
      </c>
      <c r="BG27" s="1">
        <f t="shared" si="50"/>
        <v>275.79117144078236</v>
      </c>
      <c r="BH27" s="1">
        <f t="shared" si="50"/>
        <v>248.21205429670414</v>
      </c>
    </row>
    <row r="28" spans="2:60" s="1" customFormat="1" x14ac:dyDescent="0.25">
      <c r="B28" s="1" t="s">
        <v>72</v>
      </c>
      <c r="C28" s="12"/>
      <c r="D28" s="12"/>
      <c r="E28" s="12">
        <v>287.7</v>
      </c>
      <c r="F28" s="12">
        <v>216.6</v>
      </c>
      <c r="G28" s="12">
        <v>179.7</v>
      </c>
      <c r="H28" s="12"/>
      <c r="I28" s="12">
        <v>151.1</v>
      </c>
      <c r="J28" s="12">
        <v>152.9</v>
      </c>
      <c r="K28" s="12">
        <v>147.1</v>
      </c>
      <c r="L28" s="12"/>
      <c r="M28" s="12">
        <v>135.80000000000001</v>
      </c>
      <c r="N28" s="12">
        <v>136.80000000000001</v>
      </c>
      <c r="O28" s="12">
        <v>112.5</v>
      </c>
      <c r="P28" s="12">
        <v>103.6</v>
      </c>
      <c r="Q28" s="12">
        <v>98.9</v>
      </c>
      <c r="R28" s="1">
        <v>94.4</v>
      </c>
      <c r="S28" s="1">
        <v>87.1</v>
      </c>
      <c r="T28" s="1">
        <v>103.4</v>
      </c>
      <c r="U28" s="1">
        <v>94.8</v>
      </c>
      <c r="V28" s="1">
        <v>106.7</v>
      </c>
      <c r="W28" s="1">
        <f>+S28</f>
        <v>87.1</v>
      </c>
      <c r="X28" s="1">
        <f>+T28</f>
        <v>103.4</v>
      </c>
      <c r="Y28" s="1">
        <f>+U28</f>
        <v>94.8</v>
      </c>
      <c r="Z28" s="1">
        <f>+V28</f>
        <v>106.7</v>
      </c>
      <c r="AF28" s="1">
        <v>1137.9000000000001</v>
      </c>
      <c r="AG28" s="1">
        <v>1126</v>
      </c>
      <c r="AH28" s="1">
        <v>1195.4000000000001</v>
      </c>
      <c r="AI28" s="1">
        <v>1339.2</v>
      </c>
      <c r="AJ28" s="1">
        <v>1314.5</v>
      </c>
      <c r="AK28" s="1">
        <v>1559.2</v>
      </c>
      <c r="AL28" s="1">
        <v>1980.2</v>
      </c>
      <c r="AM28" s="1">
        <v>1542.4</v>
      </c>
      <c r="AN28" s="1">
        <v>1080.2</v>
      </c>
      <c r="AO28" s="1">
        <f t="shared" si="8"/>
        <v>483.69999999999993</v>
      </c>
      <c r="AP28" s="1">
        <f t="shared" si="9"/>
        <v>419.7</v>
      </c>
      <c r="AQ28" s="1">
        <f t="shared" si="10"/>
        <v>409.4</v>
      </c>
      <c r="AR28" s="1">
        <f>SUM(S28:V28)</f>
        <v>392</v>
      </c>
      <c r="AS28" s="1">
        <f t="shared" ref="AS28:BH28" si="51">+AR28*0.9</f>
        <v>352.8</v>
      </c>
      <c r="AT28" s="1">
        <f t="shared" si="51"/>
        <v>317.52000000000004</v>
      </c>
      <c r="AU28" s="1">
        <f t="shared" si="51"/>
        <v>285.76800000000003</v>
      </c>
      <c r="AV28" s="1">
        <f t="shared" si="51"/>
        <v>257.19120000000004</v>
      </c>
      <c r="AW28" s="1">
        <f t="shared" si="51"/>
        <v>231.47208000000003</v>
      </c>
      <c r="AX28" s="1">
        <f t="shared" si="51"/>
        <v>208.32487200000003</v>
      </c>
      <c r="AY28" s="1">
        <f t="shared" si="51"/>
        <v>187.49238480000002</v>
      </c>
      <c r="AZ28" s="1">
        <f t="shared" si="51"/>
        <v>168.74314632000002</v>
      </c>
      <c r="BA28" s="1">
        <f t="shared" si="51"/>
        <v>151.86883168800003</v>
      </c>
      <c r="BB28" s="1">
        <f t="shared" si="51"/>
        <v>136.68194851920003</v>
      </c>
      <c r="BC28" s="1">
        <f t="shared" si="51"/>
        <v>123.01375366728003</v>
      </c>
      <c r="BD28" s="1">
        <f t="shared" si="51"/>
        <v>110.71237830055203</v>
      </c>
      <c r="BE28" s="1">
        <f t="shared" si="51"/>
        <v>99.641140470496836</v>
      </c>
      <c r="BF28" s="1">
        <f t="shared" si="51"/>
        <v>89.67702642344716</v>
      </c>
      <c r="BG28" s="1">
        <f t="shared" si="51"/>
        <v>80.709323781102441</v>
      </c>
      <c r="BH28" s="1">
        <f t="shared" si="51"/>
        <v>72.638391402992198</v>
      </c>
    </row>
    <row r="29" spans="2:60" s="1" customFormat="1" x14ac:dyDescent="0.25">
      <c r="B29" s="1" t="s">
        <v>55</v>
      </c>
      <c r="C29" s="12"/>
      <c r="D29" s="12"/>
      <c r="E29" s="12"/>
      <c r="F29" s="12"/>
      <c r="G29" s="12"/>
      <c r="H29" s="12">
        <v>440</v>
      </c>
      <c r="I29" s="12"/>
      <c r="J29" s="12"/>
      <c r="K29" s="12"/>
      <c r="L29" s="12">
        <v>436.3</v>
      </c>
      <c r="M29" s="12">
        <f>+M27+M28</f>
        <v>416.90000000000003</v>
      </c>
      <c r="N29" s="12">
        <f>+N27+N28</f>
        <v>447.90000000000003</v>
      </c>
      <c r="O29" s="12">
        <f>+O27+O28+3.4</f>
        <v>399.5</v>
      </c>
      <c r="P29" s="12">
        <v>4.3</v>
      </c>
      <c r="Q29" s="12">
        <v>2.9</v>
      </c>
      <c r="R29" s="12">
        <v>3.4</v>
      </c>
      <c r="S29" s="12">
        <v>4.2</v>
      </c>
      <c r="T29" s="12">
        <v>4.8</v>
      </c>
      <c r="U29" s="1">
        <v>4.5999999999999996</v>
      </c>
      <c r="V29" s="1">
        <v>4.8</v>
      </c>
      <c r="W29" s="1">
        <f>+V29</f>
        <v>4.8</v>
      </c>
      <c r="X29" s="1">
        <f>+W29</f>
        <v>4.8</v>
      </c>
      <c r="Y29" s="1">
        <f>+X29</f>
        <v>4.8</v>
      </c>
      <c r="Z29" s="1">
        <f>+Y29</f>
        <v>4.8</v>
      </c>
      <c r="AA29" s="12"/>
      <c r="AB29" s="12"/>
      <c r="AO29" s="1">
        <f t="shared" si="8"/>
        <v>440</v>
      </c>
      <c r="AP29" s="1">
        <f t="shared" si="9"/>
        <v>1301.1000000000001</v>
      </c>
      <c r="AQ29" s="1">
        <f t="shared" si="10"/>
        <v>410.09999999999997</v>
      </c>
      <c r="AR29" s="1">
        <f>SUM(S29:V29)</f>
        <v>18.399999999999999</v>
      </c>
      <c r="AS29" s="1">
        <f t="shared" ref="AS29:BH29" si="52">+AR29*0.9</f>
        <v>16.559999999999999</v>
      </c>
      <c r="AT29" s="1">
        <f t="shared" si="52"/>
        <v>14.904</v>
      </c>
      <c r="AU29" s="1">
        <f t="shared" si="52"/>
        <v>13.413600000000001</v>
      </c>
      <c r="AV29" s="1">
        <f t="shared" si="52"/>
        <v>12.072240000000001</v>
      </c>
      <c r="AW29" s="1">
        <f t="shared" si="52"/>
        <v>10.865016000000001</v>
      </c>
      <c r="AX29" s="1">
        <f t="shared" si="52"/>
        <v>9.7785144000000006</v>
      </c>
      <c r="AY29" s="1">
        <f t="shared" si="52"/>
        <v>8.8006629600000004</v>
      </c>
      <c r="AZ29" s="1">
        <f t="shared" si="52"/>
        <v>7.9205966640000005</v>
      </c>
      <c r="BA29" s="1">
        <f t="shared" si="52"/>
        <v>7.1285369976000004</v>
      </c>
      <c r="BB29" s="1">
        <f t="shared" si="52"/>
        <v>6.4156832978400002</v>
      </c>
      <c r="BC29" s="1">
        <f t="shared" si="52"/>
        <v>5.7741149680560007</v>
      </c>
      <c r="BD29" s="1">
        <f t="shared" si="52"/>
        <v>5.1967034712504008</v>
      </c>
      <c r="BE29" s="1">
        <f t="shared" si="52"/>
        <v>4.6770331241253604</v>
      </c>
      <c r="BF29" s="1">
        <f t="shared" si="52"/>
        <v>4.2093298117128244</v>
      </c>
      <c r="BG29" s="1">
        <f t="shared" si="52"/>
        <v>3.7883968305415419</v>
      </c>
      <c r="BH29" s="1">
        <f t="shared" si="52"/>
        <v>3.4095571474873876</v>
      </c>
    </row>
    <row r="30" spans="2:60" s="1" customFormat="1" x14ac:dyDescent="0.25">
      <c r="B30" s="1" t="s">
        <v>177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V30" s="1">
        <v>26.7</v>
      </c>
      <c r="W30" s="1">
        <f>+V30+5</f>
        <v>31.7</v>
      </c>
      <c r="X30" s="1">
        <f>+W30+5</f>
        <v>36.700000000000003</v>
      </c>
      <c r="Y30" s="1">
        <f>+X30+5</f>
        <v>41.7</v>
      </c>
      <c r="Z30" s="1">
        <f>+Y30+5</f>
        <v>46.7</v>
      </c>
      <c r="AA30" s="12"/>
      <c r="AB30" s="12"/>
      <c r="AR30" s="1">
        <f>SUM(S30:V30)</f>
        <v>26.7</v>
      </c>
    </row>
    <row r="31" spans="2:60" s="1" customFormat="1" x14ac:dyDescent="0.25">
      <c r="B31" s="1" t="s">
        <v>56</v>
      </c>
      <c r="C31" s="12"/>
      <c r="D31" s="12"/>
      <c r="E31" s="12">
        <v>125.7</v>
      </c>
      <c r="F31" s="12">
        <v>132</v>
      </c>
      <c r="G31" s="12">
        <v>93.3</v>
      </c>
      <c r="H31" s="12">
        <v>99</v>
      </c>
      <c r="I31" s="12">
        <v>157.80000000000001</v>
      </c>
      <c r="J31" s="12">
        <v>126.2</v>
      </c>
      <c r="K31" s="12">
        <v>66.099999999999994</v>
      </c>
      <c r="L31" s="12">
        <v>98</v>
      </c>
      <c r="M31" s="12">
        <v>129.5</v>
      </c>
      <c r="N31" s="12">
        <v>191.6</v>
      </c>
      <c r="O31" s="12">
        <v>319.10000000000002</v>
      </c>
      <c r="P31" s="12">
        <f>4.3+197.5-20.7</f>
        <v>181.10000000000002</v>
      </c>
      <c r="Q31" s="12">
        <f>3.7+304.2</f>
        <v>307.89999999999998</v>
      </c>
      <c r="R31" s="12">
        <f>4+118.1</f>
        <v>122.1</v>
      </c>
      <c r="S31" s="12">
        <f>15.2+184.6</f>
        <v>199.79999999999998</v>
      </c>
      <c r="T31" s="12">
        <f>120.8+2.7</f>
        <v>123.5</v>
      </c>
      <c r="U31" s="1">
        <v>250.2</v>
      </c>
      <c r="V31" s="1">
        <v>130.19999999999999</v>
      </c>
      <c r="W31" s="1">
        <f>+S31</f>
        <v>199.79999999999998</v>
      </c>
      <c r="X31" s="1">
        <f>+T31</f>
        <v>123.5</v>
      </c>
      <c r="Y31" s="1">
        <f>+U31</f>
        <v>250.2</v>
      </c>
      <c r="Z31" s="1">
        <f>+V31</f>
        <v>130.19999999999999</v>
      </c>
      <c r="AA31" s="12"/>
      <c r="AB31" s="12"/>
      <c r="AF31" s="1">
        <v>212.5</v>
      </c>
      <c r="AG31" s="1">
        <v>263.89999999999998</v>
      </c>
      <c r="AH31" s="1">
        <v>304.5</v>
      </c>
      <c r="AI31" s="1">
        <v>236.1</v>
      </c>
      <c r="AJ31" s="1">
        <v>316.39999999999998</v>
      </c>
      <c r="AK31" s="1">
        <v>360</v>
      </c>
      <c r="AL31" s="1">
        <v>585.9</v>
      </c>
      <c r="AM31" s="1">
        <v>707.7</v>
      </c>
      <c r="AN31" s="1">
        <v>774.6</v>
      </c>
      <c r="AO31" s="1">
        <f t="shared" si="8"/>
        <v>476.3</v>
      </c>
      <c r="AP31" s="1">
        <f t="shared" si="9"/>
        <v>485.20000000000005</v>
      </c>
      <c r="AQ31" s="1">
        <f t="shared" si="10"/>
        <v>930.2</v>
      </c>
      <c r="AR31" s="1">
        <f>SUM(S31:V31)</f>
        <v>703.7</v>
      </c>
      <c r="AS31" s="1">
        <f t="shared" ref="AS31:BH31" si="53">+AR31*0.9</f>
        <v>633.33000000000004</v>
      </c>
      <c r="AT31" s="1">
        <f t="shared" si="53"/>
        <v>569.99700000000007</v>
      </c>
      <c r="AU31" s="1">
        <f t="shared" si="53"/>
        <v>512.99730000000011</v>
      </c>
      <c r="AV31" s="1">
        <f t="shared" si="53"/>
        <v>461.6975700000001</v>
      </c>
      <c r="AW31" s="1">
        <f t="shared" si="53"/>
        <v>415.52781300000009</v>
      </c>
      <c r="AX31" s="1">
        <f t="shared" si="53"/>
        <v>373.9750317000001</v>
      </c>
      <c r="AY31" s="1">
        <f t="shared" si="53"/>
        <v>336.57752853000011</v>
      </c>
      <c r="AZ31" s="1">
        <f t="shared" si="53"/>
        <v>302.91977567700013</v>
      </c>
      <c r="BA31" s="1">
        <f t="shared" si="53"/>
        <v>272.6277981093001</v>
      </c>
      <c r="BB31" s="1">
        <f t="shared" si="53"/>
        <v>245.3650182983701</v>
      </c>
      <c r="BC31" s="1">
        <f t="shared" si="53"/>
        <v>220.82851646853311</v>
      </c>
      <c r="BD31" s="1">
        <f t="shared" si="53"/>
        <v>198.74566482167981</v>
      </c>
      <c r="BE31" s="1">
        <f t="shared" si="53"/>
        <v>178.87109833951183</v>
      </c>
      <c r="BF31" s="1">
        <f t="shared" si="53"/>
        <v>160.98398850556066</v>
      </c>
      <c r="BG31" s="1">
        <f t="shared" si="53"/>
        <v>144.88558965500459</v>
      </c>
      <c r="BH31" s="1">
        <f t="shared" si="53"/>
        <v>130.39703068950413</v>
      </c>
    </row>
    <row r="32" spans="2:60" s="13" customFormat="1" ht="13" x14ac:dyDescent="0.3">
      <c r="B32" s="13" t="s">
        <v>31</v>
      </c>
      <c r="C32" s="14"/>
      <c r="D32" s="14"/>
      <c r="E32" s="14">
        <f t="shared" ref="E32:L32" si="54">SUM(E26:E31)</f>
        <v>3376.099999999999</v>
      </c>
      <c r="F32" s="14">
        <f t="shared" si="54"/>
        <v>2852.5999999999995</v>
      </c>
      <c r="G32" s="14">
        <f t="shared" si="54"/>
        <v>2694.0000000000005</v>
      </c>
      <c r="H32" s="14">
        <f t="shared" si="54"/>
        <v>2774.9999999999995</v>
      </c>
      <c r="I32" s="14">
        <f t="shared" si="54"/>
        <v>2778.9000000000005</v>
      </c>
      <c r="J32" s="14">
        <f t="shared" si="54"/>
        <v>2734.0999999999995</v>
      </c>
      <c r="K32" s="14">
        <f t="shared" si="54"/>
        <v>2531.8000000000002</v>
      </c>
      <c r="L32" s="14">
        <f t="shared" si="54"/>
        <v>2589.1</v>
      </c>
      <c r="M32" s="14">
        <f>+M26+M29+M31</f>
        <v>2508.5</v>
      </c>
      <c r="N32" s="14">
        <f>+N26+N29+N31</f>
        <v>2543.9999999999995</v>
      </c>
      <c r="O32" s="14">
        <f>+O26+O29+O31</f>
        <v>2463</v>
      </c>
      <c r="P32" s="14">
        <f t="shared" ref="P32:Z32" si="55">SUM(P26:P31)</f>
        <v>2456</v>
      </c>
      <c r="Q32" s="14">
        <f t="shared" si="55"/>
        <v>2530.3000000000006</v>
      </c>
      <c r="R32" s="14">
        <f t="shared" si="55"/>
        <v>2386.3000000000002</v>
      </c>
      <c r="S32" s="14">
        <f t="shared" si="55"/>
        <v>2290.5</v>
      </c>
      <c r="T32" s="14">
        <f t="shared" si="55"/>
        <v>2464.9000000000005</v>
      </c>
      <c r="U32" s="14">
        <f t="shared" si="55"/>
        <v>2465.7999999999997</v>
      </c>
      <c r="V32" s="14">
        <f t="shared" si="55"/>
        <v>2454.6999999999994</v>
      </c>
      <c r="W32" s="14">
        <f>SUM(W26:W31)</f>
        <v>2253.8000000000002</v>
      </c>
      <c r="X32" s="14">
        <f t="shared" si="55"/>
        <v>2399.92</v>
      </c>
      <c r="Y32" s="14">
        <f t="shared" si="55"/>
        <v>2429.1800000000003</v>
      </c>
      <c r="Z32" s="14">
        <f t="shared" si="55"/>
        <v>2406.6</v>
      </c>
      <c r="AA32" s="14"/>
      <c r="AB32" s="14"/>
      <c r="AF32" s="14">
        <f t="shared" ref="AF32:AL32" si="56">SUM(AF26:AF31)</f>
        <v>1350.4</v>
      </c>
      <c r="AG32" s="14">
        <f t="shared" si="56"/>
        <v>1389.9</v>
      </c>
      <c r="AH32" s="14">
        <f t="shared" si="56"/>
        <v>9703.2999999999975</v>
      </c>
      <c r="AI32" s="14">
        <f t="shared" si="56"/>
        <v>10763.800000000003</v>
      </c>
      <c r="AJ32" s="14">
        <f t="shared" si="56"/>
        <v>11448.8</v>
      </c>
      <c r="AK32" s="14">
        <f t="shared" si="56"/>
        <v>12273.900000000001</v>
      </c>
      <c r="AL32" s="14">
        <f t="shared" si="56"/>
        <v>13452.900000000003</v>
      </c>
      <c r="AM32" s="14">
        <f t="shared" ref="AM32:AO32" si="57">SUM(AM26:AM31)</f>
        <v>14377.900000000001</v>
      </c>
      <c r="AN32" s="14">
        <f t="shared" si="57"/>
        <v>13444.600000000002</v>
      </c>
      <c r="AO32" s="14">
        <f t="shared" si="57"/>
        <v>10981.999999999998</v>
      </c>
      <c r="AP32" s="14">
        <f>SUM(AP26:AP31)</f>
        <v>11038.200000000003</v>
      </c>
      <c r="AQ32" s="14">
        <f>SUM(AQ26:AQ31)</f>
        <v>10231.700000000001</v>
      </c>
      <c r="AR32" s="14">
        <f>SUM(AR26:AR31)</f>
        <v>9675.9000000000033</v>
      </c>
      <c r="AS32" s="14">
        <f t="shared" ref="AS32:BH32" si="58">SUM(AS26:AS31)</f>
        <v>9176.8450000000012</v>
      </c>
      <c r="AT32" s="14">
        <f t="shared" si="58"/>
        <v>9019.6487500000003</v>
      </c>
      <c r="AU32" s="14">
        <f t="shared" si="58"/>
        <v>8716.8323225000022</v>
      </c>
      <c r="AV32" s="14">
        <f t="shared" si="58"/>
        <v>8431.0300416750015</v>
      </c>
      <c r="AW32" s="14">
        <f t="shared" si="58"/>
        <v>8206.6452033002497</v>
      </c>
      <c r="AX32" s="14">
        <f t="shared" si="58"/>
        <v>8033.3712845330083</v>
      </c>
      <c r="AY32" s="14">
        <f t="shared" si="58"/>
        <v>7540.1771331789259</v>
      </c>
      <c r="AZ32" s="14">
        <f t="shared" si="58"/>
        <v>7172.3490465145214</v>
      </c>
      <c r="BA32" s="14">
        <f t="shared" si="58"/>
        <v>6866.5130342514249</v>
      </c>
      <c r="BB32" s="14">
        <f t="shared" si="58"/>
        <v>6614.2750383780003</v>
      </c>
      <c r="BC32" s="14">
        <f t="shared" si="58"/>
        <v>6408.5863135218615</v>
      </c>
      <c r="BD32" s="14">
        <f t="shared" si="58"/>
        <v>5153.5654050285239</v>
      </c>
      <c r="BE32" s="14">
        <f t="shared" si="58"/>
        <v>4893.3266101252311</v>
      </c>
      <c r="BF32" s="14">
        <f t="shared" si="58"/>
        <v>4759.9781040014841</v>
      </c>
      <c r="BG32" s="14">
        <f t="shared" si="58"/>
        <v>4663.5859133424274</v>
      </c>
      <c r="BH32" s="14">
        <f t="shared" si="58"/>
        <v>4592.4992304628986</v>
      </c>
    </row>
    <row r="33" spans="2:147" s="1" customFormat="1" x14ac:dyDescent="0.25">
      <c r="B33" s="1" t="s">
        <v>57</v>
      </c>
      <c r="C33" s="12"/>
      <c r="D33" s="12"/>
      <c r="E33" s="12">
        <v>449.1</v>
      </c>
      <c r="F33" s="12">
        <v>490.6</v>
      </c>
      <c r="G33" s="12">
        <v>478.1</v>
      </c>
      <c r="H33" s="12">
        <v>459.7</v>
      </c>
      <c r="I33" s="12">
        <v>511.8</v>
      </c>
      <c r="J33" s="12">
        <v>660.1</v>
      </c>
      <c r="K33" s="12">
        <v>753.9</v>
      </c>
      <c r="L33" s="12">
        <v>484</v>
      </c>
      <c r="M33" s="12">
        <v>469.5</v>
      </c>
      <c r="N33" s="12">
        <v>570.9</v>
      </c>
      <c r="O33" s="12">
        <v>662.8</v>
      </c>
      <c r="P33" s="12">
        <v>592.70000000000005</v>
      </c>
      <c r="Q33" s="12">
        <v>659.6</v>
      </c>
      <c r="R33" s="1">
        <v>586.79999999999995</v>
      </c>
      <c r="S33" s="1">
        <v>500</v>
      </c>
      <c r="T33" s="1">
        <v>503.7</v>
      </c>
      <c r="U33" s="1">
        <v>592.6</v>
      </c>
      <c r="V33" s="1">
        <v>540.5</v>
      </c>
      <c r="W33" s="1">
        <f>+W32-W34</f>
        <v>495.83600000000001</v>
      </c>
      <c r="X33" s="1">
        <f>+X32-X34</f>
        <v>527.98239999999987</v>
      </c>
      <c r="Y33" s="1">
        <f>+Y32-Y34</f>
        <v>534.41959999999995</v>
      </c>
      <c r="Z33" s="1">
        <f>+Z32-Z34</f>
        <v>529.452</v>
      </c>
      <c r="AH33" s="1">
        <v>1171</v>
      </c>
      <c r="AI33" s="1">
        <v>1240.4000000000001</v>
      </c>
      <c r="AJ33" s="1">
        <v>1478.7</v>
      </c>
      <c r="AK33" s="1">
        <v>1630</v>
      </c>
      <c r="AL33" s="1">
        <v>1816.3</v>
      </c>
      <c r="AM33" s="1">
        <v>1955.4</v>
      </c>
      <c r="AN33" s="1">
        <v>1805.2</v>
      </c>
      <c r="AO33" s="1">
        <f t="shared" ref="AO33" si="59">SUM(G33:J33)</f>
        <v>2109.6999999999998</v>
      </c>
      <c r="AP33" s="1">
        <f t="shared" ref="AP33" si="60">SUM(K33:N33)</f>
        <v>2278.3000000000002</v>
      </c>
      <c r="AQ33" s="1">
        <f>+AQ32-AQ34</f>
        <v>1841.7060000000001</v>
      </c>
      <c r="AR33" s="1">
        <f>SUM(S33:V33)</f>
        <v>2136.8000000000002</v>
      </c>
      <c r="AS33" s="1">
        <f t="shared" ref="AS33:BH33" si="61">+AS32-AS34</f>
        <v>1651.8321000000005</v>
      </c>
      <c r="AT33" s="1">
        <f t="shared" si="61"/>
        <v>1623.5367750000005</v>
      </c>
      <c r="AU33" s="1">
        <f t="shared" si="61"/>
        <v>1569.0298180500013</v>
      </c>
      <c r="AV33" s="1">
        <f t="shared" si="61"/>
        <v>1517.5854075015004</v>
      </c>
      <c r="AW33" s="1">
        <f t="shared" si="61"/>
        <v>1477.1961365940451</v>
      </c>
      <c r="AX33" s="1">
        <f t="shared" si="61"/>
        <v>1446.0068312159419</v>
      </c>
      <c r="AY33" s="1">
        <f t="shared" si="61"/>
        <v>1357.2318839722075</v>
      </c>
      <c r="AZ33" s="1">
        <f t="shared" si="61"/>
        <v>1291.0228283726146</v>
      </c>
      <c r="BA33" s="1">
        <f t="shared" si="61"/>
        <v>1235.9723461652566</v>
      </c>
      <c r="BB33" s="1">
        <f t="shared" si="61"/>
        <v>1190.5695069080402</v>
      </c>
      <c r="BC33" s="1">
        <f t="shared" si="61"/>
        <v>1153.545536433935</v>
      </c>
      <c r="BD33" s="1">
        <f t="shared" si="61"/>
        <v>927.64177290513453</v>
      </c>
      <c r="BE33" s="1">
        <f t="shared" si="61"/>
        <v>880.79878982254195</v>
      </c>
      <c r="BF33" s="1">
        <f t="shared" si="61"/>
        <v>856.79605872026741</v>
      </c>
      <c r="BG33" s="1">
        <f t="shared" si="61"/>
        <v>839.44546440163731</v>
      </c>
      <c r="BH33" s="1">
        <f t="shared" si="61"/>
        <v>826.64986148332218</v>
      </c>
    </row>
    <row r="34" spans="2:147" s="1" customFormat="1" x14ac:dyDescent="0.25">
      <c r="B34" s="1" t="s">
        <v>58</v>
      </c>
      <c r="C34" s="12"/>
      <c r="D34" s="12"/>
      <c r="E34" s="12">
        <f t="shared" ref="E34:L34" si="62">+E32-E33</f>
        <v>2926.9999999999991</v>
      </c>
      <c r="F34" s="12">
        <f t="shared" si="62"/>
        <v>2361.9999999999995</v>
      </c>
      <c r="G34" s="12">
        <f t="shared" si="62"/>
        <v>2215.9000000000005</v>
      </c>
      <c r="H34" s="12">
        <f t="shared" si="62"/>
        <v>2315.2999999999997</v>
      </c>
      <c r="I34" s="12">
        <f t="shared" si="62"/>
        <v>2267.1000000000004</v>
      </c>
      <c r="J34" s="12">
        <f t="shared" si="62"/>
        <v>2073.9999999999995</v>
      </c>
      <c r="K34" s="12">
        <f t="shared" si="62"/>
        <v>1777.9</v>
      </c>
      <c r="L34" s="12">
        <f t="shared" si="62"/>
        <v>2105.1</v>
      </c>
      <c r="M34" s="12">
        <f t="shared" ref="M34:Q34" si="63">+M32-M33</f>
        <v>2039</v>
      </c>
      <c r="N34" s="12">
        <f t="shared" si="63"/>
        <v>1973.0999999999995</v>
      </c>
      <c r="O34" s="12">
        <f t="shared" si="63"/>
        <v>1800.2</v>
      </c>
      <c r="P34" s="12">
        <f t="shared" si="63"/>
        <v>1863.3</v>
      </c>
      <c r="Q34" s="12">
        <f t="shared" si="63"/>
        <v>1870.7000000000007</v>
      </c>
      <c r="R34" s="12">
        <f>+R32-R33</f>
        <v>1799.5000000000002</v>
      </c>
      <c r="S34" s="12">
        <f>+S32-S33</f>
        <v>1790.5</v>
      </c>
      <c r="T34" s="12">
        <f>+T32-T33</f>
        <v>1961.2000000000005</v>
      </c>
      <c r="U34" s="12">
        <f>+U32-U33</f>
        <v>1873.1999999999998</v>
      </c>
      <c r="V34" s="12">
        <f>+V32-V33</f>
        <v>1914.1999999999994</v>
      </c>
      <c r="W34" s="12">
        <f>+W32*0.78</f>
        <v>1757.9640000000002</v>
      </c>
      <c r="X34" s="12">
        <f>+X32*0.78</f>
        <v>1871.9376000000002</v>
      </c>
      <c r="Y34" s="12">
        <f>+Y32*0.78</f>
        <v>1894.7604000000003</v>
      </c>
      <c r="Z34" s="12">
        <f>+Z32*0.78</f>
        <v>1877.1479999999999</v>
      </c>
      <c r="AA34" s="12"/>
      <c r="AB34" s="12"/>
      <c r="AH34" s="1">
        <f t="shared" ref="AH34:AI34" si="64">+AH32-AH33</f>
        <v>8532.2999999999975</v>
      </c>
      <c r="AI34" s="1">
        <f t="shared" si="64"/>
        <v>9523.4000000000033</v>
      </c>
      <c r="AJ34" s="1">
        <f t="shared" ref="AJ34:AP34" si="65">+AJ32-AJ33</f>
        <v>9970.0999999999985</v>
      </c>
      <c r="AK34" s="1">
        <f t="shared" si="65"/>
        <v>10643.900000000001</v>
      </c>
      <c r="AL34" s="1">
        <f t="shared" si="65"/>
        <v>11636.600000000004</v>
      </c>
      <c r="AM34" s="1">
        <f t="shared" si="65"/>
        <v>12422.500000000002</v>
      </c>
      <c r="AN34" s="1">
        <f t="shared" si="65"/>
        <v>11639.400000000001</v>
      </c>
      <c r="AO34" s="1">
        <f t="shared" si="65"/>
        <v>8872.2999999999993</v>
      </c>
      <c r="AP34" s="1">
        <f t="shared" si="65"/>
        <v>8759.9000000000015</v>
      </c>
      <c r="AQ34" s="1">
        <f>+AQ32*0.82</f>
        <v>8389.9940000000006</v>
      </c>
      <c r="AR34" s="1">
        <f>+AR32-AR33</f>
        <v>7539.1000000000031</v>
      </c>
      <c r="AS34" s="1">
        <f t="shared" ref="AS34:BH34" si="66">+AS32*0.82</f>
        <v>7525.0129000000006</v>
      </c>
      <c r="AT34" s="1">
        <f t="shared" si="66"/>
        <v>7396.1119749999998</v>
      </c>
      <c r="AU34" s="1">
        <f t="shared" si="66"/>
        <v>7147.8025044500009</v>
      </c>
      <c r="AV34" s="1">
        <f t="shared" si="66"/>
        <v>6913.4446341735011</v>
      </c>
      <c r="AW34" s="1">
        <f t="shared" si="66"/>
        <v>6729.4490667062046</v>
      </c>
      <c r="AX34" s="1">
        <f t="shared" si="66"/>
        <v>6587.3644533170664</v>
      </c>
      <c r="AY34" s="1">
        <f t="shared" si="66"/>
        <v>6182.9452492067185</v>
      </c>
      <c r="AZ34" s="1">
        <f t="shared" si="66"/>
        <v>5881.3262181419068</v>
      </c>
      <c r="BA34" s="1">
        <f t="shared" si="66"/>
        <v>5630.5406880861683</v>
      </c>
      <c r="BB34" s="1">
        <f t="shared" si="66"/>
        <v>5423.7055314699601</v>
      </c>
      <c r="BC34" s="1">
        <f t="shared" si="66"/>
        <v>5255.0407770879265</v>
      </c>
      <c r="BD34" s="1">
        <f t="shared" si="66"/>
        <v>4225.9236321233893</v>
      </c>
      <c r="BE34" s="1">
        <f t="shared" si="66"/>
        <v>4012.5278203026892</v>
      </c>
      <c r="BF34" s="1">
        <f t="shared" si="66"/>
        <v>3903.1820452812167</v>
      </c>
      <c r="BG34" s="1">
        <f t="shared" si="66"/>
        <v>3824.1404489407901</v>
      </c>
      <c r="BH34" s="1">
        <f t="shared" si="66"/>
        <v>3765.8493689795764</v>
      </c>
    </row>
    <row r="35" spans="2:147" s="1" customFormat="1" x14ac:dyDescent="0.25">
      <c r="B35" s="1" t="s">
        <v>59</v>
      </c>
      <c r="C35" s="12"/>
      <c r="D35" s="12"/>
      <c r="E35" s="12">
        <v>1140.9000000000001</v>
      </c>
      <c r="F35" s="12">
        <v>1726</v>
      </c>
      <c r="G35" s="12">
        <v>514.20000000000005</v>
      </c>
      <c r="H35" s="12">
        <v>585.1</v>
      </c>
      <c r="I35" s="12">
        <v>702.4</v>
      </c>
      <c r="J35" s="12">
        <v>699.5</v>
      </c>
      <c r="K35" s="12">
        <v>551.70000000000005</v>
      </c>
      <c r="L35" s="12">
        <v>528.6</v>
      </c>
      <c r="M35" s="12">
        <v>549.20000000000005</v>
      </c>
      <c r="N35" s="12">
        <v>601.6</v>
      </c>
      <c r="O35" s="12">
        <v>570.6</v>
      </c>
      <c r="P35" s="12">
        <v>583.79999999999995</v>
      </c>
      <c r="Q35" s="12">
        <v>539.1</v>
      </c>
      <c r="R35" s="1">
        <v>568.1</v>
      </c>
      <c r="S35" s="1">
        <v>446.7</v>
      </c>
      <c r="T35" s="1">
        <v>463.6</v>
      </c>
      <c r="U35" s="1">
        <v>491.3</v>
      </c>
      <c r="V35" s="1">
        <v>528.20000000000005</v>
      </c>
      <c r="AH35" s="1">
        <v>1893.4</v>
      </c>
      <c r="AI35" s="1">
        <v>2012.8</v>
      </c>
      <c r="AJ35" s="1">
        <v>1973.3</v>
      </c>
      <c r="AK35" s="1">
        <v>2253.6</v>
      </c>
      <c r="AL35" s="1">
        <v>2597.1999999999998</v>
      </c>
      <c r="AM35" s="1">
        <v>2280.6</v>
      </c>
      <c r="AN35" s="1">
        <v>3990.9</v>
      </c>
      <c r="AO35" s="1">
        <f t="shared" ref="AO35:AO36" si="67">SUM(G35:J35)</f>
        <v>2501.2000000000003</v>
      </c>
      <c r="AP35" s="1">
        <f t="shared" ref="AP35:AP36" si="68">SUM(K35:N35)</f>
        <v>2231.1000000000004</v>
      </c>
      <c r="AR35" s="1">
        <f>SUM(S35:V35)</f>
        <v>1929.8</v>
      </c>
    </row>
    <row r="36" spans="2:147" s="1" customFormat="1" x14ac:dyDescent="0.25">
      <c r="B36" s="1" t="s">
        <v>60</v>
      </c>
      <c r="C36" s="12"/>
      <c r="D36" s="12"/>
      <c r="E36" s="12">
        <v>573.1</v>
      </c>
      <c r="F36" s="12">
        <v>806.3</v>
      </c>
      <c r="G36" s="12">
        <v>595</v>
      </c>
      <c r="H36" s="12">
        <v>637.29999999999995</v>
      </c>
      <c r="I36" s="12">
        <v>654.1</v>
      </c>
      <c r="J36" s="12">
        <v>787.9</v>
      </c>
      <c r="K36" s="12">
        <v>634.9</v>
      </c>
      <c r="L36" s="12">
        <v>572.6</v>
      </c>
      <c r="M36" s="12">
        <v>563.29999999999995</v>
      </c>
      <c r="N36" s="12">
        <v>632.79999999999995</v>
      </c>
      <c r="O36" s="12">
        <v>605</v>
      </c>
      <c r="P36" s="12">
        <v>533.79999999999995</v>
      </c>
      <c r="Q36" s="12">
        <v>553</v>
      </c>
      <c r="R36" s="1">
        <v>587.9</v>
      </c>
      <c r="S36" s="1">
        <v>569.4</v>
      </c>
      <c r="T36" s="1">
        <v>541.5</v>
      </c>
      <c r="U36" s="1">
        <v>556.1</v>
      </c>
      <c r="V36" s="1">
        <v>672.5</v>
      </c>
      <c r="W36" s="1">
        <f>+S36</f>
        <v>569.4</v>
      </c>
      <c r="X36" s="1">
        <f>+T36</f>
        <v>541.5</v>
      </c>
      <c r="Y36" s="1">
        <f>+U36</f>
        <v>556.1</v>
      </c>
      <c r="Z36" s="1">
        <f>+V36</f>
        <v>672.5</v>
      </c>
      <c r="AH36" s="1">
        <v>2232.3000000000002</v>
      </c>
      <c r="AI36" s="1">
        <v>2113.1</v>
      </c>
      <c r="AJ36" s="1">
        <v>1946.6</v>
      </c>
      <c r="AK36" s="1">
        <v>1933.9</v>
      </c>
      <c r="AL36" s="1">
        <v>2106.3000000000002</v>
      </c>
      <c r="AM36" s="1">
        <v>2374.6999999999998</v>
      </c>
      <c r="AN36" s="1">
        <v>2504.5</v>
      </c>
      <c r="AO36" s="1">
        <f t="shared" si="67"/>
        <v>2674.3</v>
      </c>
      <c r="AP36" s="1">
        <f t="shared" si="68"/>
        <v>2403.6</v>
      </c>
      <c r="AQ36" s="1">
        <f>+AP36*0.95</f>
        <v>2283.4199999999996</v>
      </c>
      <c r="AR36" s="1">
        <f>SUM(S36:V36)</f>
        <v>2339.5</v>
      </c>
      <c r="AS36" s="1">
        <f t="shared" ref="AS36:BH36" si="69">+AR36*0.95</f>
        <v>2222.5250000000001</v>
      </c>
      <c r="AT36" s="1">
        <f t="shared" si="69"/>
        <v>2111.3987499999998</v>
      </c>
      <c r="AU36" s="1">
        <f t="shared" si="69"/>
        <v>2005.8288124999997</v>
      </c>
      <c r="AV36" s="1">
        <f t="shared" si="69"/>
        <v>1905.5373718749995</v>
      </c>
      <c r="AW36" s="1">
        <f t="shared" si="69"/>
        <v>1810.2605032812494</v>
      </c>
      <c r="AX36" s="1">
        <f t="shared" si="69"/>
        <v>1719.7474781171868</v>
      </c>
      <c r="AY36" s="1">
        <f t="shared" si="69"/>
        <v>1633.7601042113274</v>
      </c>
      <c r="AZ36" s="1">
        <f t="shared" si="69"/>
        <v>1552.072099000761</v>
      </c>
      <c r="BA36" s="1">
        <f t="shared" si="69"/>
        <v>1474.4684940507229</v>
      </c>
      <c r="BB36" s="1">
        <f t="shared" si="69"/>
        <v>1400.7450693481867</v>
      </c>
      <c r="BC36" s="1">
        <f t="shared" si="69"/>
        <v>1330.7078158807774</v>
      </c>
      <c r="BD36" s="1">
        <f t="shared" si="69"/>
        <v>1264.1724250867385</v>
      </c>
      <c r="BE36" s="1">
        <f t="shared" si="69"/>
        <v>1200.9638038324015</v>
      </c>
      <c r="BF36" s="1">
        <f t="shared" si="69"/>
        <v>1140.9156136407814</v>
      </c>
      <c r="BG36" s="1">
        <f t="shared" si="69"/>
        <v>1083.8698329587423</v>
      </c>
      <c r="BH36" s="1">
        <f t="shared" si="69"/>
        <v>1029.6763413108051</v>
      </c>
    </row>
    <row r="37" spans="2:147" s="1" customFormat="1" x14ac:dyDescent="0.25">
      <c r="B37" s="1" t="s">
        <v>61</v>
      </c>
      <c r="C37" s="12"/>
      <c r="D37" s="12"/>
      <c r="E37" s="12">
        <f t="shared" ref="E37:L37" si="70">+E35+E36</f>
        <v>1714</v>
      </c>
      <c r="F37" s="12">
        <f t="shared" si="70"/>
        <v>2532.3000000000002</v>
      </c>
      <c r="G37" s="12">
        <f t="shared" si="70"/>
        <v>1109.2</v>
      </c>
      <c r="H37" s="12">
        <f t="shared" si="70"/>
        <v>1222.4000000000001</v>
      </c>
      <c r="I37" s="12">
        <f t="shared" si="70"/>
        <v>1356.5</v>
      </c>
      <c r="J37" s="12">
        <f t="shared" si="70"/>
        <v>1487.4</v>
      </c>
      <c r="K37" s="12">
        <f t="shared" si="70"/>
        <v>1186.5999999999999</v>
      </c>
      <c r="L37" s="12">
        <f t="shared" si="70"/>
        <v>1101.2</v>
      </c>
      <c r="M37" s="12">
        <f t="shared" ref="M37:N37" si="71">+M35+M36</f>
        <v>1112.5</v>
      </c>
      <c r="N37" s="12">
        <f t="shared" si="71"/>
        <v>1234.4000000000001</v>
      </c>
      <c r="O37" s="12">
        <f t="shared" ref="O37:R37" si="72">+O35+O36</f>
        <v>1175.5999999999999</v>
      </c>
      <c r="P37" s="12">
        <f t="shared" si="72"/>
        <v>1117.5999999999999</v>
      </c>
      <c r="Q37" s="12">
        <f t="shared" si="72"/>
        <v>1092.0999999999999</v>
      </c>
      <c r="R37" s="12">
        <f t="shared" si="72"/>
        <v>1156</v>
      </c>
      <c r="S37" s="12">
        <f>+S35+S36</f>
        <v>1016.0999999999999</v>
      </c>
      <c r="T37" s="12">
        <f>+T35+T36</f>
        <v>1005.1</v>
      </c>
      <c r="U37" s="12">
        <f>+U35+U36</f>
        <v>1047.4000000000001</v>
      </c>
      <c r="V37" s="12">
        <f>+V35+V36</f>
        <v>1200.7</v>
      </c>
      <c r="W37" s="12">
        <f t="shared" ref="W37:Z37" si="73">+W35+W36</f>
        <v>569.4</v>
      </c>
      <c r="X37" s="12">
        <f t="shared" si="73"/>
        <v>541.5</v>
      </c>
      <c r="Y37" s="12">
        <f t="shared" si="73"/>
        <v>556.1</v>
      </c>
      <c r="Z37" s="12">
        <f t="shared" si="73"/>
        <v>672.5</v>
      </c>
      <c r="AA37" s="12"/>
      <c r="AB37" s="12"/>
      <c r="AH37" s="1">
        <f t="shared" ref="AH37:AJ37" si="74">+AH35+AH36</f>
        <v>4125.7000000000007</v>
      </c>
      <c r="AI37" s="1">
        <f t="shared" si="74"/>
        <v>4125.8999999999996</v>
      </c>
      <c r="AJ37" s="1">
        <f t="shared" si="74"/>
        <v>3919.8999999999996</v>
      </c>
      <c r="AK37" s="1">
        <f t="shared" ref="AK37:AL37" si="75">+AK35+AK36</f>
        <v>4187.5</v>
      </c>
      <c r="AL37" s="1">
        <f t="shared" si="75"/>
        <v>4703.5</v>
      </c>
      <c r="AM37" s="1">
        <f t="shared" ref="AM37:AN37" si="76">+AM35+AM36</f>
        <v>4655.2999999999993</v>
      </c>
      <c r="AN37" s="1">
        <f t="shared" si="76"/>
        <v>6495.4</v>
      </c>
      <c r="AO37" s="1">
        <f>+AO35+AO36</f>
        <v>5175.5</v>
      </c>
      <c r="AP37" s="1">
        <f>+AP35+AP36</f>
        <v>4634.7000000000007</v>
      </c>
      <c r="AQ37" s="1">
        <f t="shared" ref="AQ37:BH37" si="77">+AQ35+AQ36</f>
        <v>2283.4199999999996</v>
      </c>
      <c r="AR37" s="1">
        <f t="shared" si="77"/>
        <v>4269.3</v>
      </c>
      <c r="AS37" s="1">
        <f t="shared" si="77"/>
        <v>2222.5250000000001</v>
      </c>
      <c r="AT37" s="1">
        <f t="shared" si="77"/>
        <v>2111.3987499999998</v>
      </c>
      <c r="AU37" s="1">
        <f t="shared" si="77"/>
        <v>2005.8288124999997</v>
      </c>
      <c r="AV37" s="1">
        <f t="shared" si="77"/>
        <v>1905.5373718749995</v>
      </c>
      <c r="AW37" s="1">
        <f t="shared" si="77"/>
        <v>1810.2605032812494</v>
      </c>
      <c r="AX37" s="1">
        <f t="shared" si="77"/>
        <v>1719.7474781171868</v>
      </c>
      <c r="AY37" s="1">
        <f t="shared" si="77"/>
        <v>1633.7601042113274</v>
      </c>
      <c r="AZ37" s="1">
        <f t="shared" si="77"/>
        <v>1552.072099000761</v>
      </c>
      <c r="BA37" s="1">
        <f t="shared" si="77"/>
        <v>1474.4684940507229</v>
      </c>
      <c r="BB37" s="1">
        <f t="shared" si="77"/>
        <v>1400.7450693481867</v>
      </c>
      <c r="BC37" s="1">
        <f t="shared" si="77"/>
        <v>1330.7078158807774</v>
      </c>
      <c r="BD37" s="1">
        <f t="shared" si="77"/>
        <v>1264.1724250867385</v>
      </c>
      <c r="BE37" s="1">
        <f t="shared" si="77"/>
        <v>1200.9638038324015</v>
      </c>
      <c r="BF37" s="1">
        <f t="shared" si="77"/>
        <v>1140.9156136407814</v>
      </c>
      <c r="BG37" s="1">
        <f t="shared" si="77"/>
        <v>1083.8698329587423</v>
      </c>
      <c r="BH37" s="1">
        <f t="shared" si="77"/>
        <v>1029.6763413108051</v>
      </c>
    </row>
    <row r="38" spans="2:147" s="1" customFormat="1" x14ac:dyDescent="0.25">
      <c r="B38" s="1" t="s">
        <v>62</v>
      </c>
      <c r="C38" s="12"/>
      <c r="D38" s="12"/>
      <c r="E38" s="12">
        <f t="shared" ref="E38:L38" si="78">+E34-E37</f>
        <v>1212.9999999999991</v>
      </c>
      <c r="F38" s="12">
        <f t="shared" si="78"/>
        <v>-170.30000000000064</v>
      </c>
      <c r="G38" s="12">
        <f t="shared" si="78"/>
        <v>1106.7000000000005</v>
      </c>
      <c r="H38" s="12">
        <f t="shared" si="78"/>
        <v>1092.8999999999996</v>
      </c>
      <c r="I38" s="12">
        <f t="shared" si="78"/>
        <v>910.60000000000036</v>
      </c>
      <c r="J38" s="12">
        <f t="shared" si="78"/>
        <v>586.59999999999945</v>
      </c>
      <c r="K38" s="12">
        <f t="shared" si="78"/>
        <v>591.30000000000018</v>
      </c>
      <c r="L38" s="12">
        <f t="shared" si="78"/>
        <v>1003.8999999999999</v>
      </c>
      <c r="M38" s="12">
        <f t="shared" ref="M38:N38" si="79">+M34-M37</f>
        <v>926.5</v>
      </c>
      <c r="N38" s="12">
        <f t="shared" si="79"/>
        <v>738.69999999999936</v>
      </c>
      <c r="O38" s="12">
        <f t="shared" ref="O38:R38" si="80">+O34-O37</f>
        <v>624.60000000000014</v>
      </c>
      <c r="P38" s="12">
        <f t="shared" si="80"/>
        <v>745.7</v>
      </c>
      <c r="Q38" s="12">
        <f t="shared" si="80"/>
        <v>778.60000000000082</v>
      </c>
      <c r="R38" s="12">
        <f t="shared" si="80"/>
        <v>643.50000000000023</v>
      </c>
      <c r="S38" s="12">
        <f>+S34-S37</f>
        <v>774.40000000000009</v>
      </c>
      <c r="T38" s="12">
        <f>+T34-T37</f>
        <v>956.10000000000048</v>
      </c>
      <c r="U38" s="12">
        <f>+U34-U37</f>
        <v>825.79999999999973</v>
      </c>
      <c r="V38" s="12">
        <f>+V34-V37</f>
        <v>713.49999999999932</v>
      </c>
      <c r="W38" s="12">
        <f t="shared" ref="W38:Z38" si="81">+W34-W37</f>
        <v>1188.5640000000003</v>
      </c>
      <c r="X38" s="12">
        <f t="shared" si="81"/>
        <v>1330.4376000000002</v>
      </c>
      <c r="Y38" s="12">
        <f t="shared" si="81"/>
        <v>1338.6604000000002</v>
      </c>
      <c r="Z38" s="12">
        <f t="shared" si="81"/>
        <v>1204.6479999999999</v>
      </c>
      <c r="AA38" s="12"/>
      <c r="AB38" s="12"/>
      <c r="AH38" s="1">
        <f t="shared" ref="AH38:AJ38" si="82">+AH34-AH37</f>
        <v>4406.5999999999967</v>
      </c>
      <c r="AI38" s="1">
        <f t="shared" si="82"/>
        <v>5397.5000000000036</v>
      </c>
      <c r="AJ38" s="1">
        <f t="shared" si="82"/>
        <v>6050.1999999999989</v>
      </c>
      <c r="AK38" s="1">
        <f t="shared" ref="AK38:AL38" si="83">+AK34-AK37</f>
        <v>6456.4000000000015</v>
      </c>
      <c r="AL38" s="1">
        <f t="shared" si="83"/>
        <v>6933.100000000004</v>
      </c>
      <c r="AM38" s="1">
        <f t="shared" ref="AM38:AN38" si="84">+AM34-AM37</f>
        <v>7767.2000000000025</v>
      </c>
      <c r="AN38" s="1">
        <f t="shared" si="84"/>
        <v>5144.0000000000018</v>
      </c>
      <c r="AO38" s="1">
        <f>+AO34-AO37</f>
        <v>3696.7999999999993</v>
      </c>
      <c r="AP38" s="1">
        <f>+AP34-AP37</f>
        <v>4125.2000000000007</v>
      </c>
      <c r="AQ38" s="1">
        <f t="shared" ref="AQ38:BH38" si="85">+AQ34-AQ37</f>
        <v>6106.5740000000005</v>
      </c>
      <c r="AR38" s="1">
        <f t="shared" si="85"/>
        <v>3269.8000000000029</v>
      </c>
      <c r="AS38" s="1">
        <f t="shared" si="85"/>
        <v>5302.4879000000001</v>
      </c>
      <c r="AT38" s="1">
        <f t="shared" si="85"/>
        <v>5284.7132249999995</v>
      </c>
      <c r="AU38" s="1">
        <f t="shared" si="85"/>
        <v>5141.973691950001</v>
      </c>
      <c r="AV38" s="1">
        <f t="shared" si="85"/>
        <v>5007.9072622985013</v>
      </c>
      <c r="AW38" s="1">
        <f t="shared" si="85"/>
        <v>4919.1885634249556</v>
      </c>
      <c r="AX38" s="1">
        <f t="shared" si="85"/>
        <v>4867.6169751998796</v>
      </c>
      <c r="AY38" s="1">
        <f t="shared" si="85"/>
        <v>4549.1851449953911</v>
      </c>
      <c r="AZ38" s="1">
        <f t="shared" si="85"/>
        <v>4329.2541191411456</v>
      </c>
      <c r="BA38" s="1">
        <f t="shared" si="85"/>
        <v>4156.0721940354451</v>
      </c>
      <c r="BB38" s="1">
        <f t="shared" si="85"/>
        <v>4022.9604621217732</v>
      </c>
      <c r="BC38" s="1">
        <f t="shared" si="85"/>
        <v>3924.3329612071493</v>
      </c>
      <c r="BD38" s="1">
        <f t="shared" si="85"/>
        <v>2961.7512070366511</v>
      </c>
      <c r="BE38" s="1">
        <f t="shared" si="85"/>
        <v>2811.5640164702877</v>
      </c>
      <c r="BF38" s="1">
        <f t="shared" si="85"/>
        <v>2762.2664316404353</v>
      </c>
      <c r="BG38" s="1">
        <f t="shared" si="85"/>
        <v>2740.2706159820477</v>
      </c>
      <c r="BH38" s="1">
        <f t="shared" si="85"/>
        <v>2736.1730276687713</v>
      </c>
    </row>
    <row r="39" spans="2:147" s="1" customFormat="1" x14ac:dyDescent="0.25">
      <c r="B39" s="1" t="s">
        <v>63</v>
      </c>
      <c r="C39" s="12"/>
      <c r="D39" s="12"/>
      <c r="E39" s="12">
        <f>73-128.6</f>
        <v>-55.599999999999994</v>
      </c>
      <c r="F39" s="12">
        <f>66.4+683.5</f>
        <v>749.9</v>
      </c>
      <c r="G39" s="12">
        <f>68.5-506.9</f>
        <v>-438.4</v>
      </c>
      <c r="H39" s="12">
        <v>-15.2</v>
      </c>
      <c r="I39" s="12">
        <f>21.2-502.9</f>
        <v>-481.7</v>
      </c>
      <c r="J39" s="12">
        <f>67.3-182.1</f>
        <v>-114.8</v>
      </c>
      <c r="K39" s="12">
        <f>-117.3-263.3</f>
        <v>-380.6</v>
      </c>
      <c r="L39" s="12">
        <v>29.4</v>
      </c>
      <c r="M39" s="12">
        <f>45.3+56</f>
        <v>101.3</v>
      </c>
      <c r="N39" s="12">
        <v>-113.1</v>
      </c>
      <c r="O39" s="12">
        <v>-69.400000000000006</v>
      </c>
      <c r="P39" s="12">
        <v>14.7</v>
      </c>
      <c r="Q39" s="12">
        <v>-300</v>
      </c>
      <c r="R39" s="1">
        <v>-67.3</v>
      </c>
      <c r="S39" s="1">
        <v>-93.7</v>
      </c>
      <c r="T39" s="1">
        <v>-85.2</v>
      </c>
      <c r="U39" s="1">
        <v>-53.9</v>
      </c>
      <c r="V39" s="1">
        <v>-71.7</v>
      </c>
      <c r="W39" s="1">
        <f>+V39</f>
        <v>-71.7</v>
      </c>
      <c r="X39" s="1">
        <f>+W39</f>
        <v>-71.7</v>
      </c>
      <c r="Y39" s="1">
        <f>+X39</f>
        <v>-71.7</v>
      </c>
      <c r="Z39" s="1">
        <f>+Y39</f>
        <v>-71.7</v>
      </c>
      <c r="AH39" s="1">
        <v>-25.8</v>
      </c>
      <c r="AI39" s="1">
        <v>-123.7</v>
      </c>
      <c r="AJ39" s="1">
        <f>-218.7+10.2</f>
        <v>-208.5</v>
      </c>
      <c r="AK39" s="1">
        <f>112.3-217</f>
        <v>-104.7</v>
      </c>
      <c r="AL39" s="1">
        <f>185+11</f>
        <v>196</v>
      </c>
      <c r="AM39" s="1">
        <f>241.6+83.3</f>
        <v>324.89999999999998</v>
      </c>
      <c r="AN39" s="1">
        <f>232.9+497.4</f>
        <v>730.3</v>
      </c>
      <c r="AO39" s="1">
        <f t="shared" ref="AO39" si="86">SUM(G39:J39)</f>
        <v>-1050.0999999999999</v>
      </c>
      <c r="AP39" s="1">
        <f t="shared" ref="AP39" si="87">SUM(K39:N39)</f>
        <v>-363</v>
      </c>
      <c r="AR39" s="1">
        <f>SUM(S39:V39)</f>
        <v>-304.5</v>
      </c>
    </row>
    <row r="40" spans="2:147" s="1" customFormat="1" x14ac:dyDescent="0.25">
      <c r="B40" s="1" t="s">
        <v>64</v>
      </c>
      <c r="C40" s="12"/>
      <c r="D40" s="12"/>
      <c r="E40" s="12">
        <f t="shared" ref="E40:S40" si="88">+E38+E39</f>
        <v>1157.3999999999992</v>
      </c>
      <c r="F40" s="12">
        <f t="shared" si="88"/>
        <v>579.59999999999934</v>
      </c>
      <c r="G40" s="12">
        <f t="shared" si="88"/>
        <v>668.30000000000052</v>
      </c>
      <c r="H40" s="12">
        <f t="shared" si="88"/>
        <v>1077.6999999999996</v>
      </c>
      <c r="I40" s="12">
        <f t="shared" si="88"/>
        <v>428.90000000000038</v>
      </c>
      <c r="J40" s="12">
        <f t="shared" si="88"/>
        <v>471.79999999999944</v>
      </c>
      <c r="K40" s="12">
        <f t="shared" si="88"/>
        <v>210.70000000000016</v>
      </c>
      <c r="L40" s="12">
        <f t="shared" si="88"/>
        <v>1033.3</v>
      </c>
      <c r="M40" s="12">
        <f t="shared" si="88"/>
        <v>1027.8</v>
      </c>
      <c r="N40" s="12">
        <f t="shared" si="88"/>
        <v>625.59999999999934</v>
      </c>
      <c r="O40" s="12">
        <f t="shared" si="88"/>
        <v>555.20000000000016</v>
      </c>
      <c r="P40" s="12">
        <f t="shared" si="88"/>
        <v>760.40000000000009</v>
      </c>
      <c r="Q40" s="12">
        <f t="shared" si="88"/>
        <v>478.60000000000082</v>
      </c>
      <c r="R40" s="12">
        <f t="shared" si="88"/>
        <v>576.20000000000027</v>
      </c>
      <c r="S40" s="12">
        <f t="shared" si="88"/>
        <v>680.7</v>
      </c>
      <c r="T40" s="12">
        <f>+T38+T39</f>
        <v>870.90000000000043</v>
      </c>
      <c r="U40" s="12">
        <f>+U38+U39</f>
        <v>771.89999999999975</v>
      </c>
      <c r="V40" s="12">
        <f>+V38+V39</f>
        <v>641.79999999999927</v>
      </c>
      <c r="W40" s="12">
        <f t="shared" ref="W40:Z40" si="89">+W38+W39</f>
        <v>1116.8640000000003</v>
      </c>
      <c r="X40" s="12">
        <f t="shared" si="89"/>
        <v>1258.7376000000002</v>
      </c>
      <c r="Y40" s="12">
        <f t="shared" si="89"/>
        <v>1266.9604000000002</v>
      </c>
      <c r="Z40" s="12">
        <f t="shared" si="89"/>
        <v>1132.9479999999999</v>
      </c>
      <c r="AA40" s="12"/>
      <c r="AB40" s="12"/>
      <c r="AH40" s="1">
        <f t="shared" ref="AH40:AK40" si="90">+AH38+AH39</f>
        <v>4380.7999999999965</v>
      </c>
      <c r="AI40" s="1">
        <f t="shared" si="90"/>
        <v>5273.8000000000038</v>
      </c>
      <c r="AJ40" s="1">
        <f t="shared" si="90"/>
        <v>5841.6999999999989</v>
      </c>
      <c r="AK40" s="1">
        <f t="shared" si="90"/>
        <v>6351.7000000000016</v>
      </c>
      <c r="AL40" s="1">
        <f t="shared" ref="AL40:AN40" si="91">+AL38+AL39</f>
        <v>7129.100000000004</v>
      </c>
      <c r="AM40" s="1">
        <f t="shared" si="91"/>
        <v>8092.1000000000022</v>
      </c>
      <c r="AN40" s="1">
        <f t="shared" si="91"/>
        <v>5874.300000000002</v>
      </c>
      <c r="AO40" s="1">
        <f>+AO38+AO39</f>
        <v>2646.6999999999994</v>
      </c>
      <c r="AP40" s="1">
        <f>+AP38+AP39</f>
        <v>3762.2000000000007</v>
      </c>
      <c r="AQ40" s="1">
        <f t="shared" ref="AQ40:BH40" si="92">+AQ38+AQ39</f>
        <v>6106.5740000000005</v>
      </c>
      <c r="AR40" s="1">
        <f t="shared" si="92"/>
        <v>2965.3000000000029</v>
      </c>
      <c r="AS40" s="1">
        <f t="shared" si="92"/>
        <v>5302.4879000000001</v>
      </c>
      <c r="AT40" s="1">
        <f t="shared" si="92"/>
        <v>5284.7132249999995</v>
      </c>
      <c r="AU40" s="1">
        <f t="shared" si="92"/>
        <v>5141.973691950001</v>
      </c>
      <c r="AV40" s="1">
        <f t="shared" si="92"/>
        <v>5007.9072622985013</v>
      </c>
      <c r="AW40" s="1">
        <f t="shared" si="92"/>
        <v>4919.1885634249556</v>
      </c>
      <c r="AX40" s="1">
        <f t="shared" si="92"/>
        <v>4867.6169751998796</v>
      </c>
      <c r="AY40" s="1">
        <f t="shared" si="92"/>
        <v>4549.1851449953911</v>
      </c>
      <c r="AZ40" s="1">
        <f t="shared" si="92"/>
        <v>4329.2541191411456</v>
      </c>
      <c r="BA40" s="1">
        <f t="shared" si="92"/>
        <v>4156.0721940354451</v>
      </c>
      <c r="BB40" s="1">
        <f t="shared" si="92"/>
        <v>4022.9604621217732</v>
      </c>
      <c r="BC40" s="1">
        <f t="shared" si="92"/>
        <v>3924.3329612071493</v>
      </c>
      <c r="BD40" s="1">
        <f t="shared" si="92"/>
        <v>2961.7512070366511</v>
      </c>
      <c r="BE40" s="1">
        <f t="shared" si="92"/>
        <v>2811.5640164702877</v>
      </c>
      <c r="BF40" s="1">
        <f t="shared" si="92"/>
        <v>2762.2664316404353</v>
      </c>
      <c r="BG40" s="1">
        <f t="shared" si="92"/>
        <v>2740.2706159820477</v>
      </c>
      <c r="BH40" s="1">
        <f t="shared" si="92"/>
        <v>2736.1730276687713</v>
      </c>
    </row>
    <row r="41" spans="2:147" s="1" customFormat="1" x14ac:dyDescent="0.25">
      <c r="B41" s="1" t="s">
        <v>65</v>
      </c>
      <c r="C41" s="12"/>
      <c r="D41" s="12"/>
      <c r="E41" s="12">
        <f>240.8+13.1+2.4</f>
        <v>256.3</v>
      </c>
      <c r="F41" s="12">
        <f>13.3-18-0.3</f>
        <v>-4.9999999999999991</v>
      </c>
      <c r="G41" s="12">
        <f>44.2+18.2-5.6</f>
        <v>56.800000000000004</v>
      </c>
      <c r="H41" s="12">
        <f>409.1-34.3+577</f>
        <v>951.8</v>
      </c>
      <c r="I41" s="12">
        <f>-25.9-1.1-11.1</f>
        <v>-38.1</v>
      </c>
      <c r="J41" s="12">
        <f>443.2-17.7-388.7</f>
        <v>36.800000000000011</v>
      </c>
      <c r="K41" s="12">
        <f>125.6+3.3-85.3</f>
        <v>43.600000000000009</v>
      </c>
      <c r="L41" s="12">
        <f>216.7-5.9</f>
        <v>210.79999999999998</v>
      </c>
      <c r="M41" s="12">
        <v>236.2</v>
      </c>
      <c r="N41" s="12">
        <v>54.3</v>
      </c>
      <c r="O41" s="12">
        <v>50.7</v>
      </c>
      <c r="P41" s="12">
        <v>108.9</v>
      </c>
      <c r="Q41" s="12">
        <v>72.900000000000006</v>
      </c>
      <c r="R41" s="12">
        <v>42.7</v>
      </c>
      <c r="S41" s="12">
        <v>71.400000000000006</v>
      </c>
      <c r="T41" s="12">
        <v>115.1</v>
      </c>
      <c r="U41" s="12">
        <v>95</v>
      </c>
      <c r="V41" s="12">
        <v>69.8</v>
      </c>
      <c r="W41" s="12">
        <f>+W40*0.15</f>
        <v>167.52960000000004</v>
      </c>
      <c r="X41" s="12">
        <f>+X40*0.15</f>
        <v>188.81064000000001</v>
      </c>
      <c r="Y41" s="12">
        <f>+Y40*0.15</f>
        <v>190.04406000000003</v>
      </c>
      <c r="Z41" s="12">
        <f>+Z40*0.15</f>
        <v>169.94219999999999</v>
      </c>
      <c r="AA41" s="12"/>
      <c r="AB41" s="12"/>
      <c r="AH41" s="1">
        <f>989.9+6.8</f>
        <v>996.69999999999993</v>
      </c>
      <c r="AI41" s="1">
        <f>1161.6+46.2</f>
        <v>1207.8</v>
      </c>
      <c r="AJ41" s="1">
        <f>2458.7+131</f>
        <v>2589.6999999999998</v>
      </c>
      <c r="AK41" s="1">
        <f>2458.7+131</f>
        <v>2589.6999999999998</v>
      </c>
      <c r="AL41" s="1">
        <f>1425.6+43.3</f>
        <v>1468.8999999999999</v>
      </c>
      <c r="AM41" s="1">
        <f>1158+79.4</f>
        <v>1237.4000000000001</v>
      </c>
      <c r="AN41" s="1">
        <f>992.3+59.9</f>
        <v>1052.2</v>
      </c>
      <c r="AO41" s="1">
        <f t="shared" ref="AO41" si="93">SUM(G41:J41)</f>
        <v>1007.3</v>
      </c>
      <c r="AP41" s="1">
        <f t="shared" ref="AP41" si="94">SUM(K41:N41)</f>
        <v>544.9</v>
      </c>
      <c r="AQ41" s="1">
        <f>+AQ40*0.2</f>
        <v>1221.3148000000001</v>
      </c>
      <c r="AR41" s="1">
        <f>SUM(S41:V41)</f>
        <v>351.3</v>
      </c>
      <c r="AS41" s="1">
        <f t="shared" ref="AS41:BH41" si="95">+AS40*0.2</f>
        <v>1060.49758</v>
      </c>
      <c r="AT41" s="1">
        <f t="shared" si="95"/>
        <v>1056.9426449999999</v>
      </c>
      <c r="AU41" s="1">
        <f t="shared" si="95"/>
        <v>1028.3947383900002</v>
      </c>
      <c r="AV41" s="1">
        <f t="shared" si="95"/>
        <v>1001.5814524597004</v>
      </c>
      <c r="AW41" s="1">
        <f t="shared" si="95"/>
        <v>983.83771268499117</v>
      </c>
      <c r="AX41" s="1">
        <f t="shared" si="95"/>
        <v>973.52339503997598</v>
      </c>
      <c r="AY41" s="1">
        <f t="shared" si="95"/>
        <v>909.83702899907826</v>
      </c>
      <c r="AZ41" s="1">
        <f t="shared" si="95"/>
        <v>865.85082382822918</v>
      </c>
      <c r="BA41" s="1">
        <f t="shared" si="95"/>
        <v>831.2144388070891</v>
      </c>
      <c r="BB41" s="1">
        <f t="shared" si="95"/>
        <v>804.59209242435463</v>
      </c>
      <c r="BC41" s="1">
        <f t="shared" si="95"/>
        <v>784.86659224142988</v>
      </c>
      <c r="BD41" s="1">
        <f t="shared" si="95"/>
        <v>592.35024140733026</v>
      </c>
      <c r="BE41" s="1">
        <f t="shared" si="95"/>
        <v>562.31280329405752</v>
      </c>
      <c r="BF41" s="1">
        <f t="shared" si="95"/>
        <v>552.45328632808707</v>
      </c>
      <c r="BG41" s="1">
        <f t="shared" si="95"/>
        <v>548.05412319640959</v>
      </c>
      <c r="BH41" s="1">
        <f t="shared" si="95"/>
        <v>547.23460553375423</v>
      </c>
    </row>
    <row r="42" spans="2:147" x14ac:dyDescent="0.25">
      <c r="B42" s="1" t="s">
        <v>66</v>
      </c>
      <c r="E42" s="12">
        <f t="shared" ref="E42:R42" si="96">+E40-E41</f>
        <v>901.09999999999923</v>
      </c>
      <c r="F42" s="12">
        <f t="shared" si="96"/>
        <v>584.59999999999934</v>
      </c>
      <c r="G42" s="12">
        <f t="shared" si="96"/>
        <v>611.50000000000057</v>
      </c>
      <c r="H42" s="12">
        <f t="shared" si="96"/>
        <v>125.89999999999964</v>
      </c>
      <c r="I42" s="12">
        <f t="shared" si="96"/>
        <v>467.0000000000004</v>
      </c>
      <c r="J42" s="12">
        <f t="shared" si="96"/>
        <v>434.99999999999943</v>
      </c>
      <c r="K42" s="12">
        <f t="shared" si="96"/>
        <v>167.10000000000014</v>
      </c>
      <c r="L42" s="12">
        <f t="shared" si="96"/>
        <v>822.5</v>
      </c>
      <c r="M42" s="12">
        <f>+M40-M41</f>
        <v>791.59999999999991</v>
      </c>
      <c r="N42" s="12">
        <f t="shared" si="96"/>
        <v>571.29999999999939</v>
      </c>
      <c r="O42" s="12">
        <f t="shared" si="96"/>
        <v>504.50000000000017</v>
      </c>
      <c r="P42" s="12">
        <f t="shared" si="96"/>
        <v>651.50000000000011</v>
      </c>
      <c r="Q42" s="12">
        <f t="shared" si="96"/>
        <v>405.70000000000084</v>
      </c>
      <c r="R42" s="12">
        <f t="shared" si="96"/>
        <v>533.50000000000023</v>
      </c>
      <c r="S42" s="12">
        <f>+S40-S41</f>
        <v>609.30000000000007</v>
      </c>
      <c r="T42" s="12">
        <f>+T40-T41</f>
        <v>755.80000000000041</v>
      </c>
      <c r="U42" s="12">
        <f>+U40-U41</f>
        <v>676.89999999999975</v>
      </c>
      <c r="V42" s="12">
        <f>+V40-V41</f>
        <v>571.99999999999932</v>
      </c>
      <c r="W42" s="12">
        <f t="shared" ref="W42:Z42" si="97">+W40-W41</f>
        <v>949.33440000000019</v>
      </c>
      <c r="X42" s="12">
        <f t="shared" si="97"/>
        <v>1069.9269600000002</v>
      </c>
      <c r="Y42" s="12">
        <f t="shared" si="97"/>
        <v>1076.9163400000002</v>
      </c>
      <c r="Z42" s="12">
        <f t="shared" si="97"/>
        <v>963.00579999999991</v>
      </c>
      <c r="AA42" s="12"/>
      <c r="AB42" s="12"/>
      <c r="AC42" s="12"/>
      <c r="AH42" s="1">
        <f t="shared" ref="AH42:AI42" si="98">+AH40-AH41</f>
        <v>3384.0999999999967</v>
      </c>
      <c r="AI42" s="1">
        <f t="shared" si="98"/>
        <v>4066.0000000000036</v>
      </c>
      <c r="AJ42" s="1">
        <f t="shared" ref="AJ42:AQ42" si="99">+AJ40-AJ41</f>
        <v>3251.9999999999991</v>
      </c>
      <c r="AK42" s="1">
        <f t="shared" si="99"/>
        <v>3762.0000000000018</v>
      </c>
      <c r="AL42" s="1">
        <f t="shared" si="99"/>
        <v>5660.2000000000044</v>
      </c>
      <c r="AM42" s="1">
        <f t="shared" si="99"/>
        <v>6854.7000000000025</v>
      </c>
      <c r="AN42" s="1">
        <f t="shared" si="99"/>
        <v>4822.1000000000022</v>
      </c>
      <c r="AO42" s="1">
        <f t="shared" si="99"/>
        <v>1639.3999999999994</v>
      </c>
      <c r="AP42" s="1">
        <f t="shared" si="99"/>
        <v>3217.3000000000006</v>
      </c>
      <c r="AQ42" s="1">
        <f t="shared" si="99"/>
        <v>4885.2592000000004</v>
      </c>
      <c r="AR42" s="1">
        <f t="shared" ref="AR42:BH42" si="100">+AR40-AR41</f>
        <v>2614.0000000000027</v>
      </c>
      <c r="AS42" s="1">
        <f t="shared" si="100"/>
        <v>4241.9903199999999</v>
      </c>
      <c r="AT42" s="1">
        <f t="shared" si="100"/>
        <v>4227.7705799999994</v>
      </c>
      <c r="AU42" s="1">
        <f t="shared" si="100"/>
        <v>4113.5789535600006</v>
      </c>
      <c r="AV42" s="1">
        <f t="shared" si="100"/>
        <v>4006.325809838801</v>
      </c>
      <c r="AW42" s="1">
        <f t="shared" si="100"/>
        <v>3935.3508507399647</v>
      </c>
      <c r="AX42" s="1">
        <f t="shared" si="100"/>
        <v>3894.0935801599035</v>
      </c>
      <c r="AY42" s="1">
        <f t="shared" si="100"/>
        <v>3639.348115996313</v>
      </c>
      <c r="AZ42" s="1">
        <f t="shared" si="100"/>
        <v>3463.4032953129163</v>
      </c>
      <c r="BA42" s="1">
        <f t="shared" si="100"/>
        <v>3324.8577552283559</v>
      </c>
      <c r="BB42" s="1">
        <f t="shared" si="100"/>
        <v>3218.3683696974185</v>
      </c>
      <c r="BC42" s="1">
        <f t="shared" si="100"/>
        <v>3139.4663689657195</v>
      </c>
      <c r="BD42" s="1">
        <f t="shared" si="100"/>
        <v>2369.400965629321</v>
      </c>
      <c r="BE42" s="1">
        <f t="shared" si="100"/>
        <v>2249.2512131762301</v>
      </c>
      <c r="BF42" s="1">
        <f t="shared" si="100"/>
        <v>2209.8131453123483</v>
      </c>
      <c r="BG42" s="1">
        <f t="shared" si="100"/>
        <v>2192.2164927856384</v>
      </c>
      <c r="BH42" s="1">
        <f t="shared" si="100"/>
        <v>2188.9384221350169</v>
      </c>
      <c r="BI42" s="1">
        <f>+BH42*(1+$BK$45)</f>
        <v>2167.0490379136668</v>
      </c>
      <c r="BJ42" s="1">
        <f t="shared" ref="BJ42:DU42" si="101">+BI42*(1+$BK$45)</f>
        <v>2145.3785475345303</v>
      </c>
      <c r="BK42" s="1">
        <f t="shared" si="101"/>
        <v>2123.924762059185</v>
      </c>
      <c r="BL42" s="1">
        <f t="shared" si="101"/>
        <v>2102.6855144385931</v>
      </c>
      <c r="BM42" s="1">
        <f t="shared" si="101"/>
        <v>2081.6586592942072</v>
      </c>
      <c r="BN42" s="1">
        <f t="shared" si="101"/>
        <v>2060.8420727012649</v>
      </c>
      <c r="BO42" s="1">
        <f t="shared" si="101"/>
        <v>2040.2336519742523</v>
      </c>
      <c r="BP42" s="1">
        <f t="shared" si="101"/>
        <v>2019.8313154545099</v>
      </c>
      <c r="BQ42" s="1">
        <f t="shared" si="101"/>
        <v>1999.6330022999648</v>
      </c>
      <c r="BR42" s="1">
        <f t="shared" si="101"/>
        <v>1979.6366722769651</v>
      </c>
      <c r="BS42" s="1">
        <f t="shared" si="101"/>
        <v>1959.8403055541955</v>
      </c>
      <c r="BT42" s="1">
        <f t="shared" si="101"/>
        <v>1940.2419024986536</v>
      </c>
      <c r="BU42" s="1">
        <f t="shared" si="101"/>
        <v>1920.8394834736671</v>
      </c>
      <c r="BV42" s="1">
        <f t="shared" si="101"/>
        <v>1901.6310886389304</v>
      </c>
      <c r="BW42" s="1">
        <f t="shared" si="101"/>
        <v>1882.6147777525409</v>
      </c>
      <c r="BX42" s="1">
        <f t="shared" si="101"/>
        <v>1863.7886299750155</v>
      </c>
      <c r="BY42" s="1">
        <f t="shared" si="101"/>
        <v>1845.1507436752654</v>
      </c>
      <c r="BZ42" s="1">
        <f t="shared" si="101"/>
        <v>1826.6992362385126</v>
      </c>
      <c r="CA42" s="1">
        <f t="shared" si="101"/>
        <v>1808.4322438761276</v>
      </c>
      <c r="CB42" s="1">
        <f t="shared" si="101"/>
        <v>1790.3479214373663</v>
      </c>
      <c r="CC42" s="1">
        <f t="shared" si="101"/>
        <v>1772.4444422229926</v>
      </c>
      <c r="CD42" s="1">
        <f t="shared" si="101"/>
        <v>1754.7199978007627</v>
      </c>
      <c r="CE42" s="1">
        <f t="shared" si="101"/>
        <v>1737.172797822755</v>
      </c>
      <c r="CF42" s="1">
        <f t="shared" si="101"/>
        <v>1719.8010698445275</v>
      </c>
      <c r="CG42" s="1">
        <f t="shared" si="101"/>
        <v>1702.6030591460822</v>
      </c>
      <c r="CH42" s="1">
        <f t="shared" si="101"/>
        <v>1685.5770285546214</v>
      </c>
      <c r="CI42" s="1">
        <f t="shared" si="101"/>
        <v>1668.7212582690752</v>
      </c>
      <c r="CJ42" s="1">
        <f t="shared" si="101"/>
        <v>1652.0340456863844</v>
      </c>
      <c r="CK42" s="1">
        <f t="shared" si="101"/>
        <v>1635.5137052295206</v>
      </c>
      <c r="CL42" s="1">
        <f t="shared" si="101"/>
        <v>1619.1585681772253</v>
      </c>
      <c r="CM42" s="1">
        <f t="shared" si="101"/>
        <v>1602.9669824954531</v>
      </c>
      <c r="CN42" s="1">
        <f t="shared" si="101"/>
        <v>1586.9373126704986</v>
      </c>
      <c r="CO42" s="1">
        <f t="shared" si="101"/>
        <v>1571.0679395437935</v>
      </c>
      <c r="CP42" s="1">
        <f t="shared" si="101"/>
        <v>1555.3572601483556</v>
      </c>
      <c r="CQ42" s="1">
        <f t="shared" si="101"/>
        <v>1539.803687546872</v>
      </c>
      <c r="CR42" s="1">
        <f t="shared" si="101"/>
        <v>1524.4056506714032</v>
      </c>
      <c r="CS42" s="1">
        <f t="shared" si="101"/>
        <v>1509.1615941646892</v>
      </c>
      <c r="CT42" s="1">
        <f t="shared" si="101"/>
        <v>1494.0699782230422</v>
      </c>
      <c r="CU42" s="1">
        <f t="shared" si="101"/>
        <v>1479.1292784408117</v>
      </c>
      <c r="CV42" s="1">
        <f t="shared" si="101"/>
        <v>1464.3379856564036</v>
      </c>
      <c r="CW42" s="1">
        <f t="shared" si="101"/>
        <v>1449.6946057998396</v>
      </c>
      <c r="CX42" s="1">
        <f t="shared" si="101"/>
        <v>1435.1976597418411</v>
      </c>
      <c r="CY42" s="1">
        <f t="shared" si="101"/>
        <v>1420.8456831444228</v>
      </c>
      <c r="CZ42" s="1">
        <f t="shared" si="101"/>
        <v>1406.6372263129786</v>
      </c>
      <c r="DA42" s="1">
        <f t="shared" si="101"/>
        <v>1392.5708540498488</v>
      </c>
      <c r="DB42" s="1">
        <f t="shared" si="101"/>
        <v>1378.6451455093502</v>
      </c>
      <c r="DC42" s="1">
        <f t="shared" si="101"/>
        <v>1364.8586940542566</v>
      </c>
      <c r="DD42" s="1">
        <f t="shared" si="101"/>
        <v>1351.210107113714</v>
      </c>
      <c r="DE42" s="1">
        <f t="shared" si="101"/>
        <v>1337.6980060425769</v>
      </c>
      <c r="DF42" s="1">
        <f t="shared" si="101"/>
        <v>1324.3210259821512</v>
      </c>
      <c r="DG42" s="1">
        <f t="shared" si="101"/>
        <v>1311.0778157223297</v>
      </c>
      <c r="DH42" s="1">
        <f t="shared" si="101"/>
        <v>1297.9670375651062</v>
      </c>
      <c r="DI42" s="1">
        <f t="shared" si="101"/>
        <v>1284.9873671894552</v>
      </c>
      <c r="DJ42" s="1">
        <f t="shared" si="101"/>
        <v>1272.1374935175606</v>
      </c>
      <c r="DK42" s="1">
        <f t="shared" si="101"/>
        <v>1259.416118582385</v>
      </c>
      <c r="DL42" s="1">
        <f t="shared" si="101"/>
        <v>1246.8219573965612</v>
      </c>
      <c r="DM42" s="1">
        <f t="shared" si="101"/>
        <v>1234.3537378225956</v>
      </c>
      <c r="DN42" s="1">
        <f t="shared" si="101"/>
        <v>1222.0102004443695</v>
      </c>
      <c r="DO42" s="1">
        <f t="shared" si="101"/>
        <v>1209.7900984399257</v>
      </c>
      <c r="DP42" s="1">
        <f t="shared" si="101"/>
        <v>1197.6921974555264</v>
      </c>
      <c r="DQ42" s="1">
        <f t="shared" si="101"/>
        <v>1185.7152754809711</v>
      </c>
      <c r="DR42" s="1">
        <f t="shared" si="101"/>
        <v>1173.8581227261614</v>
      </c>
      <c r="DS42" s="1">
        <f t="shared" si="101"/>
        <v>1162.1195414988997</v>
      </c>
      <c r="DT42" s="1">
        <f t="shared" si="101"/>
        <v>1150.4983460839107</v>
      </c>
      <c r="DU42" s="1">
        <f t="shared" si="101"/>
        <v>1138.9933626230716</v>
      </c>
      <c r="DV42" s="1">
        <f t="shared" ref="DV42:EQ42" si="102">+DU42*(1+$BK$45)</f>
        <v>1127.6034289968409</v>
      </c>
      <c r="DW42" s="1">
        <f t="shared" si="102"/>
        <v>1116.3273947068724</v>
      </c>
      <c r="DX42" s="1">
        <f t="shared" si="102"/>
        <v>1105.1641207598036</v>
      </c>
      <c r="DY42" s="1">
        <f t="shared" si="102"/>
        <v>1094.1124795522055</v>
      </c>
      <c r="DZ42" s="1">
        <f t="shared" si="102"/>
        <v>1083.1713547566835</v>
      </c>
      <c r="EA42" s="1">
        <f t="shared" si="102"/>
        <v>1072.3396412091167</v>
      </c>
      <c r="EB42" s="1">
        <f t="shared" si="102"/>
        <v>1061.6162447970255</v>
      </c>
      <c r="EC42" s="1">
        <f t="shared" si="102"/>
        <v>1051.0000823490552</v>
      </c>
      <c r="ED42" s="1">
        <f t="shared" si="102"/>
        <v>1040.4900815255646</v>
      </c>
      <c r="EE42" s="1">
        <f t="shared" si="102"/>
        <v>1030.085180710309</v>
      </c>
      <c r="EF42" s="1">
        <f t="shared" si="102"/>
        <v>1019.784328903206</v>
      </c>
      <c r="EG42" s="1">
        <f t="shared" si="102"/>
        <v>1009.5864856141739</v>
      </c>
      <c r="EH42" s="1">
        <f t="shared" si="102"/>
        <v>999.49062075803215</v>
      </c>
      <c r="EI42" s="1">
        <f t="shared" si="102"/>
        <v>989.49571455045179</v>
      </c>
      <c r="EJ42" s="1">
        <f t="shared" si="102"/>
        <v>979.60075740494722</v>
      </c>
      <c r="EK42" s="1">
        <f t="shared" si="102"/>
        <v>969.80474983089778</v>
      </c>
      <c r="EL42" s="1">
        <f t="shared" si="102"/>
        <v>960.10670233258884</v>
      </c>
      <c r="EM42" s="1">
        <f t="shared" si="102"/>
        <v>950.50563530926297</v>
      </c>
      <c r="EN42" s="1">
        <f t="shared" si="102"/>
        <v>941.00057895617033</v>
      </c>
      <c r="EO42" s="1">
        <f t="shared" si="102"/>
        <v>931.59057316660858</v>
      </c>
      <c r="EP42" s="1">
        <f t="shared" si="102"/>
        <v>922.27466743494244</v>
      </c>
      <c r="EQ42" s="1">
        <f t="shared" si="102"/>
        <v>913.05192076059302</v>
      </c>
    </row>
    <row r="43" spans="2:147" x14ac:dyDescent="0.25">
      <c r="B43" s="1" t="s">
        <v>1</v>
      </c>
      <c r="E43" s="15">
        <f t="shared" ref="E43:L43" si="103">+E42/E44</f>
        <v>5.7321882951653897</v>
      </c>
      <c r="F43" s="15">
        <f t="shared" si="103"/>
        <v>3.796103896103892</v>
      </c>
      <c r="G43" s="15">
        <f t="shared" si="103"/>
        <v>4.0151017728168128</v>
      </c>
      <c r="H43" s="15">
        <f t="shared" si="103"/>
        <v>0.83877415056628679</v>
      </c>
      <c r="I43" s="15">
        <f t="shared" si="103"/>
        <v>3.1426648721399757</v>
      </c>
      <c r="J43" s="15">
        <f t="shared" si="103"/>
        <v>2.9491525423728775</v>
      </c>
      <c r="K43" s="15">
        <f t="shared" si="103"/>
        <v>1.1321138211382122</v>
      </c>
      <c r="L43" s="15">
        <f t="shared" si="103"/>
        <v>5.625854993160055</v>
      </c>
      <c r="M43" s="15">
        <f t="shared" ref="M43:V43" si="104">+M42/M44</f>
        <v>5.4668508287292807</v>
      </c>
      <c r="N43" s="15">
        <f t="shared" si="104"/>
        <v>3.9345730027548171</v>
      </c>
      <c r="O43" s="15">
        <f t="shared" si="104"/>
        <v>3.4745179063360898</v>
      </c>
      <c r="P43" s="15">
        <f t="shared" si="104"/>
        <v>4.4776632302405508</v>
      </c>
      <c r="Q43" s="15">
        <f t="shared" si="104"/>
        <v>2.801795580110503</v>
      </c>
      <c r="R43" s="15">
        <f t="shared" si="104"/>
        <v>3.661633493479755</v>
      </c>
      <c r="S43" s="15">
        <f t="shared" si="104"/>
        <v>4.1761480466072651</v>
      </c>
      <c r="T43" s="15">
        <f t="shared" si="104"/>
        <v>5.1802604523646361</v>
      </c>
      <c r="U43" s="15">
        <f t="shared" si="104"/>
        <v>4.6331279945242967</v>
      </c>
      <c r="V43" s="15">
        <f t="shared" si="104"/>
        <v>3.9151266255989001</v>
      </c>
      <c r="W43" s="15">
        <f t="shared" ref="W43:Z43" si="105">+W42/W44</f>
        <v>6.4978398357289544</v>
      </c>
      <c r="X43" s="15">
        <f t="shared" si="105"/>
        <v>7.3232509240246424</v>
      </c>
      <c r="Y43" s="15">
        <f t="shared" si="105"/>
        <v>7.3710906228610558</v>
      </c>
      <c r="Z43" s="15">
        <f t="shared" si="105"/>
        <v>6.5914154688569466</v>
      </c>
      <c r="AA43" s="15"/>
      <c r="AB43" s="15"/>
      <c r="AH43" s="17">
        <f t="shared" ref="AH43:AI43" si="106">+AH42/AH44</f>
        <v>14.266863406408081</v>
      </c>
      <c r="AI43" s="17">
        <f t="shared" si="106"/>
        <v>17.586505190311435</v>
      </c>
      <c r="AJ43" s="17">
        <f t="shared" ref="AJ43:AQ43" si="107">+AJ42/AJ44</f>
        <v>14.862888482632536</v>
      </c>
      <c r="AK43" s="17">
        <f t="shared" si="107"/>
        <v>17.661971830985923</v>
      </c>
      <c r="AL43" s="17">
        <f t="shared" si="107"/>
        <v>27.570384802727734</v>
      </c>
      <c r="AM43" s="17">
        <f t="shared" si="107"/>
        <v>36.577908217716129</v>
      </c>
      <c r="AN43" s="17">
        <f t="shared" si="107"/>
        <v>29.895226286422826</v>
      </c>
      <c r="AO43" s="17">
        <f t="shared" si="107"/>
        <v>10.956725146198826</v>
      </c>
      <c r="AP43" s="17">
        <f t="shared" si="107"/>
        <v>22.043850633778696</v>
      </c>
      <c r="AQ43" s="17">
        <f t="shared" si="107"/>
        <v>33.472142514559785</v>
      </c>
      <c r="AR43" s="17">
        <f t="shared" ref="AR43:BH43" si="108">+AR42/AR44</f>
        <v>17.904109589041113</v>
      </c>
      <c r="AS43" s="17">
        <f t="shared" si="108"/>
        <v>29.054728219178081</v>
      </c>
      <c r="AT43" s="17">
        <f t="shared" si="108"/>
        <v>28.957332739726024</v>
      </c>
      <c r="AU43" s="17">
        <f t="shared" si="108"/>
        <v>28.1751983120548</v>
      </c>
      <c r="AV43" s="17">
        <f t="shared" si="108"/>
        <v>27.440587738621925</v>
      </c>
      <c r="AW43" s="17">
        <f t="shared" si="108"/>
        <v>26.954457881780581</v>
      </c>
      <c r="AX43" s="17">
        <f t="shared" si="108"/>
        <v>26.671873836711669</v>
      </c>
      <c r="AY43" s="17">
        <f t="shared" si="108"/>
        <v>24.927041890385706</v>
      </c>
      <c r="AZ43" s="17">
        <f t="shared" si="108"/>
        <v>23.721940378855592</v>
      </c>
      <c r="BA43" s="17">
        <f t="shared" si="108"/>
        <v>22.77299832348189</v>
      </c>
      <c r="BB43" s="17">
        <f t="shared" si="108"/>
        <v>22.043618970530265</v>
      </c>
      <c r="BC43" s="17">
        <f t="shared" si="108"/>
        <v>21.50319430798438</v>
      </c>
      <c r="BD43" s="17">
        <f t="shared" si="108"/>
        <v>16.228773737187129</v>
      </c>
      <c r="BE43" s="17">
        <f t="shared" si="108"/>
        <v>15.405830227234453</v>
      </c>
      <c r="BF43" s="17">
        <f t="shared" si="108"/>
        <v>15.135706474742111</v>
      </c>
      <c r="BG43" s="17">
        <f t="shared" si="108"/>
        <v>15.01518145743588</v>
      </c>
      <c r="BH43" s="17">
        <f t="shared" si="108"/>
        <v>14.992728918732993</v>
      </c>
    </row>
    <row r="44" spans="2:147" x14ac:dyDescent="0.25">
      <c r="B44" s="1" t="s">
        <v>67</v>
      </c>
      <c r="E44" s="12">
        <v>157.19999999999999</v>
      </c>
      <c r="F44" s="12">
        <v>154</v>
      </c>
      <c r="G44" s="12">
        <v>152.30000000000001</v>
      </c>
      <c r="H44" s="12">
        <v>150.1</v>
      </c>
      <c r="I44" s="12">
        <v>148.6</v>
      </c>
      <c r="J44" s="12">
        <v>147.5</v>
      </c>
      <c r="K44" s="12">
        <v>147.6</v>
      </c>
      <c r="L44" s="12">
        <v>146.19999999999999</v>
      </c>
      <c r="M44" s="12">
        <v>144.80000000000001</v>
      </c>
      <c r="N44" s="12">
        <v>145.19999999999999</v>
      </c>
      <c r="O44" s="12">
        <v>145.19999999999999</v>
      </c>
      <c r="P44" s="12">
        <v>145.5</v>
      </c>
      <c r="Q44" s="12">
        <v>144.80000000000001</v>
      </c>
      <c r="R44" s="12">
        <v>145.69999999999999</v>
      </c>
      <c r="S44" s="12">
        <v>145.9</v>
      </c>
      <c r="T44" s="12">
        <v>145.9</v>
      </c>
      <c r="U44" s="12">
        <v>146.1</v>
      </c>
      <c r="V44" s="12">
        <v>146.1</v>
      </c>
      <c r="W44" s="12">
        <f>+V44</f>
        <v>146.1</v>
      </c>
      <c r="X44" s="12">
        <f>+W44</f>
        <v>146.1</v>
      </c>
      <c r="Y44" s="12">
        <f>+X44</f>
        <v>146.1</v>
      </c>
      <c r="Z44" s="12">
        <f>+Y44</f>
        <v>146.1</v>
      </c>
      <c r="AA44" s="12"/>
      <c r="AB44" s="12"/>
      <c r="AH44" s="1">
        <v>237.2</v>
      </c>
      <c r="AI44" s="1">
        <v>231.2</v>
      </c>
      <c r="AJ44" s="1">
        <v>218.8</v>
      </c>
      <c r="AK44" s="1">
        <v>213</v>
      </c>
      <c r="AL44" s="1">
        <v>205.3</v>
      </c>
      <c r="AM44" s="1">
        <v>187.4</v>
      </c>
      <c r="AN44" s="1">
        <v>161.30000000000001</v>
      </c>
      <c r="AO44" s="1">
        <f>AVERAGE(G44:J44)</f>
        <v>149.625</v>
      </c>
      <c r="AP44" s="1">
        <f>AVERAGE(K44:N44)</f>
        <v>145.94999999999999</v>
      </c>
      <c r="AQ44" s="1">
        <f>+AP44</f>
        <v>145.94999999999999</v>
      </c>
      <c r="AR44" s="1">
        <f>AVERAGE(S44:V44)</f>
        <v>146</v>
      </c>
      <c r="AS44" s="1">
        <f t="shared" ref="AS44:BH44" si="109">+AR44</f>
        <v>146</v>
      </c>
      <c r="AT44" s="1">
        <f t="shared" si="109"/>
        <v>146</v>
      </c>
      <c r="AU44" s="1">
        <f t="shared" si="109"/>
        <v>146</v>
      </c>
      <c r="AV44" s="1">
        <f t="shared" si="109"/>
        <v>146</v>
      </c>
      <c r="AW44" s="1">
        <f t="shared" si="109"/>
        <v>146</v>
      </c>
      <c r="AX44" s="1">
        <f t="shared" si="109"/>
        <v>146</v>
      </c>
      <c r="AY44" s="1">
        <f t="shared" si="109"/>
        <v>146</v>
      </c>
      <c r="AZ44" s="1">
        <f t="shared" si="109"/>
        <v>146</v>
      </c>
      <c r="BA44" s="1">
        <f t="shared" si="109"/>
        <v>146</v>
      </c>
      <c r="BB44" s="1">
        <f t="shared" si="109"/>
        <v>146</v>
      </c>
      <c r="BC44" s="1">
        <f t="shared" si="109"/>
        <v>146</v>
      </c>
      <c r="BD44" s="1">
        <f t="shared" si="109"/>
        <v>146</v>
      </c>
      <c r="BE44" s="1">
        <f t="shared" si="109"/>
        <v>146</v>
      </c>
      <c r="BF44" s="1">
        <f t="shared" si="109"/>
        <v>146</v>
      </c>
      <c r="BG44" s="1">
        <f t="shared" si="109"/>
        <v>146</v>
      </c>
      <c r="BH44" s="1">
        <f t="shared" si="109"/>
        <v>146</v>
      </c>
    </row>
    <row r="45" spans="2:147" x14ac:dyDescent="0.25">
      <c r="BJ45" t="s">
        <v>75</v>
      </c>
      <c r="BK45" s="18">
        <v>-0.01</v>
      </c>
    </row>
    <row r="46" spans="2:147" x14ac:dyDescent="0.25">
      <c r="BJ46" t="s">
        <v>76</v>
      </c>
      <c r="BK46" s="18">
        <v>0.08</v>
      </c>
    </row>
    <row r="47" spans="2:147" s="23" customFormat="1" ht="13" x14ac:dyDescent="0.3">
      <c r="B47" s="13" t="s">
        <v>73</v>
      </c>
      <c r="C47" s="21"/>
      <c r="D47" s="21"/>
      <c r="E47" s="21"/>
      <c r="F47" s="21"/>
      <c r="G47" s="21"/>
      <c r="H47" s="21"/>
      <c r="I47" s="22">
        <f t="shared" ref="I47:O47" si="110">+I32/E32-1</f>
        <v>-0.1768904949497937</v>
      </c>
      <c r="J47" s="22">
        <f t="shared" si="110"/>
        <v>-4.1541050269929158E-2</v>
      </c>
      <c r="K47" s="22">
        <f t="shared" si="110"/>
        <v>-6.0207869339272579E-2</v>
      </c>
      <c r="L47" s="22">
        <f t="shared" si="110"/>
        <v>-6.6990990990990817E-2</v>
      </c>
      <c r="M47" s="22">
        <f t="shared" si="110"/>
        <v>-9.7304688905682335E-2</v>
      </c>
      <c r="N47" s="22">
        <f t="shared" si="110"/>
        <v>-6.9529278373139269E-2</v>
      </c>
      <c r="O47" s="22">
        <f t="shared" si="110"/>
        <v>-2.7174342365115844E-2</v>
      </c>
      <c r="P47" s="22">
        <f t="shared" ref="P47:Z47" si="111">+P32/L32-1</f>
        <v>-5.1407825112973593E-2</v>
      </c>
      <c r="Q47" s="22">
        <f t="shared" si="111"/>
        <v>8.6904524616306933E-3</v>
      </c>
      <c r="R47" s="22">
        <f t="shared" si="111"/>
        <v>-6.1988993710691553E-2</v>
      </c>
      <c r="S47" s="22">
        <f t="shared" si="111"/>
        <v>-7.0036540803897651E-2</v>
      </c>
      <c r="T47" s="22">
        <f t="shared" si="111"/>
        <v>3.6237785016288715E-3</v>
      </c>
      <c r="U47" s="22">
        <f t="shared" si="111"/>
        <v>-2.5491048492274015E-2</v>
      </c>
      <c r="V47" s="22">
        <f t="shared" si="111"/>
        <v>2.8663621506096915E-2</v>
      </c>
      <c r="W47" s="22">
        <f t="shared" si="111"/>
        <v>-1.6022702466710226E-2</v>
      </c>
      <c r="X47" s="22">
        <f t="shared" si="111"/>
        <v>-2.6362124224106664E-2</v>
      </c>
      <c r="Y47" s="22">
        <f t="shared" si="111"/>
        <v>-1.4851163922458999E-2</v>
      </c>
      <c r="Z47" s="22">
        <f t="shared" si="111"/>
        <v>-1.9595062533099505E-2</v>
      </c>
      <c r="AA47" s="22"/>
      <c r="AB47" s="22"/>
      <c r="AH47" s="24">
        <f t="shared" ref="AH47:AM47" si="112">+AH32/AG32-1</f>
        <v>5.9812936182459149</v>
      </c>
      <c r="AI47" s="24">
        <f t="shared" si="112"/>
        <v>0.10929271484958791</v>
      </c>
      <c r="AJ47" s="24">
        <f t="shared" si="112"/>
        <v>6.3639235214329126E-2</v>
      </c>
      <c r="AK47" s="24">
        <f t="shared" si="112"/>
        <v>7.2068688421494054E-2</v>
      </c>
      <c r="AL47" s="24">
        <f t="shared" si="112"/>
        <v>9.6057487840051081E-2</v>
      </c>
      <c r="AM47" s="24">
        <f t="shared" si="112"/>
        <v>6.8758408967583007E-2</v>
      </c>
      <c r="AN47" s="24">
        <f>+AN32/AM32-1</f>
        <v>-6.4912122076241974E-2</v>
      </c>
      <c r="AO47" s="24">
        <f t="shared" ref="AO47:BH47" si="113">+AO32/AN32-1</f>
        <v>-0.18316647575978484</v>
      </c>
      <c r="AP47" s="24">
        <f t="shared" si="113"/>
        <v>5.1174649426337648E-3</v>
      </c>
      <c r="AQ47" s="24">
        <f t="shared" si="113"/>
        <v>-7.3064448913772284E-2</v>
      </c>
      <c r="AR47" s="24">
        <f t="shared" si="113"/>
        <v>-5.4321373769754544E-2</v>
      </c>
      <c r="AS47" s="24">
        <f t="shared" si="113"/>
        <v>-5.1577114273607783E-2</v>
      </c>
      <c r="AT47" s="24">
        <f t="shared" si="113"/>
        <v>-1.7129661664766149E-2</v>
      </c>
      <c r="AU47" s="24">
        <f t="shared" si="113"/>
        <v>-3.3572973393226402E-2</v>
      </c>
      <c r="AV47" s="24">
        <f t="shared" si="113"/>
        <v>-3.2787401460882104E-2</v>
      </c>
      <c r="AW47" s="24">
        <f t="shared" si="113"/>
        <v>-2.6614166627992875E-2</v>
      </c>
      <c r="AX47" s="24">
        <f t="shared" si="113"/>
        <v>-2.1113855232532841E-2</v>
      </c>
      <c r="AY47" s="24">
        <f t="shared" si="113"/>
        <v>-6.1393172789567241E-2</v>
      </c>
      <c r="AZ47" s="24">
        <f t="shared" si="113"/>
        <v>-4.878241985136611E-2</v>
      </c>
      <c r="BA47" s="24">
        <f t="shared" si="113"/>
        <v>-4.2640982790947746E-2</v>
      </c>
      <c r="BB47" s="24">
        <f t="shared" si="113"/>
        <v>-3.6734510604613302E-2</v>
      </c>
      <c r="BC47" s="24">
        <f t="shared" si="113"/>
        <v>-3.1097697580259598E-2</v>
      </c>
      <c r="BD47" s="24">
        <f t="shared" si="113"/>
        <v>-0.19583428342773401</v>
      </c>
      <c r="BE47" s="24">
        <f t="shared" si="113"/>
        <v>-5.0496845281010283E-2</v>
      </c>
      <c r="BF47" s="24">
        <f t="shared" si="113"/>
        <v>-2.7251094551470012E-2</v>
      </c>
      <c r="BG47" s="24">
        <f t="shared" si="113"/>
        <v>-2.0250553375030123E-2</v>
      </c>
      <c r="BH47" s="24">
        <f t="shared" si="113"/>
        <v>-1.5242923407104203E-2</v>
      </c>
      <c r="BJ47" s="23" t="s">
        <v>77</v>
      </c>
      <c r="BK47" s="13">
        <f>NPV(BK46,AS42:DJ42)+Main!J5-Main!J6</f>
        <v>36704.626263306127</v>
      </c>
    </row>
    <row r="48" spans="2:147" x14ac:dyDescent="0.25">
      <c r="B48" s="1" t="s">
        <v>113</v>
      </c>
      <c r="I48" s="16"/>
      <c r="J48" s="16">
        <f t="shared" ref="J48:O48" si="114">+J26/F26-1</f>
        <v>-4.6836982968369689E-2</v>
      </c>
      <c r="K48" s="16">
        <f t="shared" si="114"/>
        <v>-6.5741284984401127E-2</v>
      </c>
      <c r="L48" s="16">
        <f t="shared" si="114"/>
        <v>-8.103756708407861E-2</v>
      </c>
      <c r="M48" s="16">
        <f t="shared" si="114"/>
        <v>-0.11044112980006349</v>
      </c>
      <c r="N48" s="16">
        <f t="shared" si="114"/>
        <v>-0.1318716382532592</v>
      </c>
      <c r="O48" s="16">
        <f t="shared" si="114"/>
        <v>-0.15578570391521074</v>
      </c>
      <c r="P48" s="16">
        <f t="shared" ref="P48:V48" si="115">+P26/L26-1</f>
        <v>-0.10380572318473802</v>
      </c>
      <c r="Q48" s="16">
        <f t="shared" si="115"/>
        <v>-8.1851077926711091E-2</v>
      </c>
      <c r="R48" s="16">
        <f t="shared" si="115"/>
        <v>-3.9957994224205651E-2</v>
      </c>
      <c r="S48" s="16">
        <f t="shared" si="115"/>
        <v>-2.7344645723458072E-2</v>
      </c>
      <c r="T48" s="16">
        <f t="shared" si="115"/>
        <v>3.0084170513168695E-2</v>
      </c>
      <c r="U48" s="16">
        <f t="shared" si="115"/>
        <v>-1.7818484596170081E-2</v>
      </c>
      <c r="V48" s="16">
        <f t="shared" si="115"/>
        <v>2.2970903522203656E-3</v>
      </c>
      <c r="W48" s="16"/>
      <c r="X48" s="16"/>
      <c r="Y48" s="16"/>
      <c r="Z48" s="16"/>
      <c r="AA48" s="16"/>
      <c r="AB48" s="16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J48" t="s">
        <v>78</v>
      </c>
      <c r="BK48" s="17">
        <f>BK47/Main!J3</f>
        <v>251.4015497486721</v>
      </c>
    </row>
    <row r="49" spans="2:60" x14ac:dyDescent="0.25">
      <c r="B49" s="1" t="s">
        <v>74</v>
      </c>
      <c r="E49" s="16">
        <f>+E34/E32</f>
        <v>0.86697668907911496</v>
      </c>
      <c r="F49" s="16">
        <f>+F34/F32</f>
        <v>0.82801654630863075</v>
      </c>
      <c r="G49" s="16">
        <f>+G34/G32</f>
        <v>0.82253155159613967</v>
      </c>
      <c r="H49" s="16">
        <f t="shared" ref="H49" si="116">+H34/H32</f>
        <v>0.83434234234234239</v>
      </c>
      <c r="I49" s="16">
        <f t="shared" ref="I49:J49" si="117">+I34/I32</f>
        <v>0.8158264061319227</v>
      </c>
      <c r="J49" s="16">
        <f t="shared" si="117"/>
        <v>0.7585677188105775</v>
      </c>
      <c r="K49" s="16">
        <f t="shared" ref="K49:O49" si="118">+K34/K32</f>
        <v>0.70222766411248916</v>
      </c>
      <c r="L49" s="16">
        <f t="shared" si="118"/>
        <v>0.8130624541346414</v>
      </c>
      <c r="M49" s="16">
        <f t="shared" si="118"/>
        <v>0.81283635638827989</v>
      </c>
      <c r="N49" s="16">
        <f t="shared" si="118"/>
        <v>0.77558962264150932</v>
      </c>
      <c r="O49" s="16">
        <f t="shared" si="118"/>
        <v>0.73089727974015428</v>
      </c>
      <c r="P49" s="16">
        <f t="shared" ref="P49:V49" si="119">+P34/P32</f>
        <v>0.75867263843648203</v>
      </c>
      <c r="Q49" s="16">
        <f t="shared" si="119"/>
        <v>0.73931944828676455</v>
      </c>
      <c r="R49" s="16">
        <f t="shared" si="119"/>
        <v>0.75409629971084946</v>
      </c>
      <c r="S49" s="16">
        <f t="shared" si="119"/>
        <v>0.78170705086225711</v>
      </c>
      <c r="T49" s="16">
        <f t="shared" si="119"/>
        <v>0.79565093918617391</v>
      </c>
      <c r="U49" s="16">
        <f t="shared" si="119"/>
        <v>0.75967231730067319</v>
      </c>
      <c r="V49" s="16">
        <f t="shared" si="119"/>
        <v>0.77981016010103066</v>
      </c>
      <c r="W49" s="16"/>
      <c r="X49" s="16"/>
      <c r="Y49" s="16"/>
      <c r="Z49" s="16"/>
      <c r="AA49" s="16"/>
      <c r="AB49" s="16"/>
      <c r="AH49" s="18">
        <f t="shared" ref="AH49:AL49" si="120">+AH34/AH32</f>
        <v>0.87931940679974852</v>
      </c>
      <c r="AI49" s="18">
        <f t="shared" si="120"/>
        <v>0.88476188706590619</v>
      </c>
      <c r="AJ49" s="18">
        <f t="shared" si="120"/>
        <v>0.87084235902452656</v>
      </c>
      <c r="AK49" s="18">
        <f t="shared" si="120"/>
        <v>0.86719787516600266</v>
      </c>
      <c r="AL49" s="18">
        <f t="shared" si="120"/>
        <v>0.86498821815370674</v>
      </c>
      <c r="AM49" s="18">
        <f t="shared" ref="AM49:AN49" si="121">+AM34/AM32</f>
        <v>0.86399961051335739</v>
      </c>
      <c r="AN49" s="18">
        <f t="shared" si="121"/>
        <v>0.86573047915148083</v>
      </c>
      <c r="AO49" s="18">
        <f>+AO34/AO32</f>
        <v>0.80789473684210533</v>
      </c>
      <c r="AP49" s="18">
        <f t="shared" ref="AP49:BH49" si="122">+AP34/AP32</f>
        <v>0.79359859397365506</v>
      </c>
      <c r="AQ49" s="18">
        <f t="shared" si="122"/>
        <v>0.82</v>
      </c>
      <c r="AR49" s="18">
        <f t="shared" si="122"/>
        <v>0.77916266187124716</v>
      </c>
      <c r="AS49" s="18">
        <f t="shared" si="122"/>
        <v>0.82</v>
      </c>
      <c r="AT49" s="18">
        <f t="shared" si="122"/>
        <v>0.82</v>
      </c>
      <c r="AU49" s="18">
        <f t="shared" si="122"/>
        <v>0.82</v>
      </c>
      <c r="AV49" s="18">
        <f t="shared" si="122"/>
        <v>0.82</v>
      </c>
      <c r="AW49" s="18">
        <f t="shared" si="122"/>
        <v>0.82</v>
      </c>
      <c r="AX49" s="18">
        <f t="shared" si="122"/>
        <v>0.82</v>
      </c>
      <c r="AY49" s="18">
        <f t="shared" si="122"/>
        <v>0.81999999999999984</v>
      </c>
      <c r="AZ49" s="18">
        <f t="shared" si="122"/>
        <v>0.81999999999999984</v>
      </c>
      <c r="BA49" s="18">
        <f t="shared" si="122"/>
        <v>0.82</v>
      </c>
      <c r="BB49" s="18">
        <f t="shared" si="122"/>
        <v>0.82</v>
      </c>
      <c r="BC49" s="18">
        <f t="shared" si="122"/>
        <v>0.82000000000000006</v>
      </c>
      <c r="BD49" s="18">
        <f t="shared" si="122"/>
        <v>0.82</v>
      </c>
      <c r="BE49" s="18">
        <f t="shared" si="122"/>
        <v>0.82</v>
      </c>
      <c r="BF49" s="18">
        <f t="shared" si="122"/>
        <v>0.82</v>
      </c>
      <c r="BG49" s="18">
        <f t="shared" si="122"/>
        <v>0.82</v>
      </c>
      <c r="BH49" s="18">
        <f t="shared" si="122"/>
        <v>0.82</v>
      </c>
    </row>
    <row r="51" spans="2:60" x14ac:dyDescent="0.25">
      <c r="B51" t="s">
        <v>107</v>
      </c>
      <c r="L51" s="12">
        <f>L52-L66</f>
        <v>124.39999999999964</v>
      </c>
      <c r="M51" s="12">
        <f>M52-M66</f>
        <v>1104.8000000000002</v>
      </c>
      <c r="N51" s="12">
        <f>N52-N66</f>
        <v>846.69999999999982</v>
      </c>
      <c r="O51" s="12">
        <f>O52-O66</f>
        <v>1117.5999999999995</v>
      </c>
    </row>
    <row r="52" spans="2:60" s="1" customFormat="1" x14ac:dyDescent="0.25">
      <c r="B52" s="1" t="s">
        <v>3</v>
      </c>
      <c r="C52" s="12"/>
      <c r="D52" s="12"/>
      <c r="E52" s="12"/>
      <c r="F52" s="12"/>
      <c r="G52" s="12"/>
      <c r="H52" s="12"/>
      <c r="I52" s="12"/>
      <c r="J52" s="12"/>
      <c r="K52" s="12"/>
      <c r="L52" s="12">
        <f>4797.9+1102.9+1500.8</f>
        <v>7401.5999999999995</v>
      </c>
      <c r="M52" s="12">
        <f>3675.6+1235.5+860.3+1612.6</f>
        <v>7384</v>
      </c>
      <c r="N52" s="12">
        <f>3419.3+1473.5+705.7+1529.2</f>
        <v>7127.7</v>
      </c>
      <c r="O52" s="12">
        <f>2898.2+2143.1+978.2+1380.8</f>
        <v>7400.2999999999993</v>
      </c>
      <c r="P52" s="12"/>
      <c r="Q52" s="12"/>
      <c r="T52" s="1">
        <f>1908.9+681.5</f>
        <v>2590.4</v>
      </c>
    </row>
    <row r="53" spans="2:60" s="1" customFormat="1" x14ac:dyDescent="0.25">
      <c r="B53" s="1" t="s">
        <v>97</v>
      </c>
      <c r="C53" s="12"/>
      <c r="D53" s="12"/>
      <c r="E53" s="12"/>
      <c r="F53" s="12"/>
      <c r="G53" s="12"/>
      <c r="H53" s="12"/>
      <c r="I53" s="12"/>
      <c r="J53" s="12"/>
      <c r="K53" s="12"/>
      <c r="L53" s="12">
        <v>1567.6</v>
      </c>
      <c r="M53" s="12">
        <v>1568.8</v>
      </c>
      <c r="N53" s="12">
        <v>1705</v>
      </c>
      <c r="O53" s="12">
        <v>1634.4</v>
      </c>
      <c r="P53" s="12"/>
      <c r="Q53" s="12"/>
      <c r="T53" s="1">
        <v>1627.1</v>
      </c>
    </row>
    <row r="54" spans="2:60" s="1" customFormat="1" x14ac:dyDescent="0.25">
      <c r="B54" s="1" t="s">
        <v>55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>
        <v>415.4</v>
      </c>
      <c r="N54" s="12">
        <v>431.4</v>
      </c>
      <c r="O54" s="12">
        <v>393.8</v>
      </c>
      <c r="P54" s="12"/>
      <c r="Q54" s="12"/>
      <c r="T54" s="1">
        <v>451.1</v>
      </c>
    </row>
    <row r="55" spans="2:60" s="1" customFormat="1" x14ac:dyDescent="0.25">
      <c r="B55" s="1" t="s">
        <v>98</v>
      </c>
      <c r="C55" s="12"/>
      <c r="D55" s="12"/>
      <c r="E55" s="12"/>
      <c r="F55" s="12"/>
      <c r="G55" s="12"/>
      <c r="H55" s="12"/>
      <c r="I55" s="12"/>
      <c r="J55" s="12"/>
      <c r="K55" s="12"/>
      <c r="L55" s="12">
        <v>1294.2</v>
      </c>
      <c r="M55" s="12">
        <v>1375</v>
      </c>
      <c r="N55" s="12">
        <v>1344.4</v>
      </c>
      <c r="O55" s="12">
        <v>1281</v>
      </c>
      <c r="P55" s="12"/>
      <c r="Q55" s="12"/>
      <c r="T55" s="1">
        <v>2506.1</v>
      </c>
    </row>
    <row r="56" spans="2:60" s="1" customFormat="1" x14ac:dyDescent="0.25">
      <c r="B56" s="1" t="s">
        <v>99</v>
      </c>
      <c r="C56" s="12"/>
      <c r="D56" s="12"/>
      <c r="E56" s="12"/>
      <c r="F56" s="12"/>
      <c r="G56" s="12"/>
      <c r="H56" s="12"/>
      <c r="I56" s="12"/>
      <c r="J56" s="12"/>
      <c r="K56" s="12"/>
      <c r="L56" s="12">
        <v>2081.1999999999998</v>
      </c>
      <c r="M56" s="12">
        <v>1495.5</v>
      </c>
      <c r="N56" s="12">
        <v>1417.6</v>
      </c>
      <c r="O56" s="12">
        <v>1412</v>
      </c>
      <c r="P56" s="12"/>
      <c r="Q56" s="12"/>
      <c r="T56" s="1">
        <v>615.29999999999995</v>
      </c>
    </row>
    <row r="57" spans="2:60" s="1" customFormat="1" x14ac:dyDescent="0.25">
      <c r="B57" s="1" t="s">
        <v>100</v>
      </c>
      <c r="C57" s="12"/>
      <c r="D57" s="12"/>
      <c r="E57" s="12"/>
      <c r="F57" s="12"/>
      <c r="G57" s="12"/>
      <c r="H57" s="12"/>
      <c r="I57" s="12"/>
      <c r="J57" s="12"/>
      <c r="K57" s="12"/>
      <c r="L57" s="12">
        <v>3355.1</v>
      </c>
      <c r="M57" s="12">
        <v>3266.4</v>
      </c>
      <c r="N57" s="12">
        <v>3298.6</v>
      </c>
      <c r="O57" s="12">
        <v>3300.9</v>
      </c>
      <c r="P57" s="12"/>
      <c r="Q57" s="12"/>
      <c r="T57" s="1">
        <v>3249.3</v>
      </c>
    </row>
    <row r="58" spans="2:60" s="1" customFormat="1" x14ac:dyDescent="0.25">
      <c r="B58" s="1" t="s">
        <v>101</v>
      </c>
      <c r="C58" s="12"/>
      <c r="D58" s="12"/>
      <c r="E58" s="12"/>
      <c r="F58" s="12"/>
      <c r="G58" s="12"/>
      <c r="H58" s="12"/>
      <c r="I58" s="12"/>
      <c r="J58" s="12"/>
      <c r="K58" s="12"/>
      <c r="L58" s="12">
        <v>321.10000000000002</v>
      </c>
      <c r="M58" s="12">
        <v>424.5</v>
      </c>
      <c r="N58" s="12">
        <v>403.9</v>
      </c>
      <c r="O58" s="12">
        <v>399.1</v>
      </c>
      <c r="P58" s="12"/>
      <c r="Q58" s="12"/>
      <c r="T58" s="1">
        <v>389.4</v>
      </c>
    </row>
    <row r="59" spans="2:60" s="1" customFormat="1" x14ac:dyDescent="0.25">
      <c r="B59" s="1" t="s">
        <v>102</v>
      </c>
      <c r="C59" s="12"/>
      <c r="D59" s="12"/>
      <c r="E59" s="12"/>
      <c r="F59" s="12"/>
      <c r="G59" s="12"/>
      <c r="H59" s="12"/>
      <c r="I59" s="12"/>
      <c r="J59" s="12"/>
      <c r="K59" s="12"/>
      <c r="L59" s="12">
        <f>2075.3+5749.6</f>
        <v>7824.9000000000005</v>
      </c>
      <c r="M59" s="12">
        <f>5741.2+2008.9</f>
        <v>7750.1</v>
      </c>
      <c r="N59" s="12">
        <f>1850.1+5749</f>
        <v>7599.1</v>
      </c>
      <c r="O59" s="12">
        <f>1813.3+5751.8</f>
        <v>7565.1</v>
      </c>
      <c r="P59" s="12"/>
      <c r="Q59" s="12"/>
      <c r="T59" s="1">
        <f>8232.9+6227.4</f>
        <v>14460.3</v>
      </c>
    </row>
    <row r="60" spans="2:60" s="1" customFormat="1" x14ac:dyDescent="0.25">
      <c r="B60" s="1" t="s">
        <v>103</v>
      </c>
      <c r="C60" s="12"/>
      <c r="D60" s="12"/>
      <c r="E60" s="12"/>
      <c r="F60" s="12"/>
      <c r="G60" s="12"/>
      <c r="H60" s="12"/>
      <c r="I60" s="12"/>
      <c r="J60" s="12"/>
      <c r="K60" s="12"/>
      <c r="L60" s="12">
        <v>1235.7</v>
      </c>
      <c r="M60" s="12">
        <v>1174.5</v>
      </c>
      <c r="N60" s="12">
        <v>1226.4000000000001</v>
      </c>
      <c r="O60" s="12">
        <v>1211.8</v>
      </c>
      <c r="P60" s="12"/>
      <c r="Q60" s="12"/>
      <c r="T60" s="1">
        <v>915.1</v>
      </c>
    </row>
    <row r="61" spans="2:60" x14ac:dyDescent="0.25">
      <c r="B61" s="1" t="s">
        <v>104</v>
      </c>
      <c r="L61" s="12">
        <f>SUM(L52:L60)</f>
        <v>25081.4</v>
      </c>
      <c r="M61" s="12">
        <f>SUM(M52:M60)</f>
        <v>24854.199999999997</v>
      </c>
      <c r="N61" s="12">
        <f>SUM(N52:N60)</f>
        <v>24554.100000000002</v>
      </c>
      <c r="O61" s="12">
        <f>SUM(O52:O60)</f>
        <v>24598.399999999998</v>
      </c>
      <c r="P61" s="12">
        <f t="shared" ref="P61:T61" si="123">SUM(P52:P60)</f>
        <v>0</v>
      </c>
      <c r="Q61" s="12">
        <f t="shared" si="123"/>
        <v>0</v>
      </c>
      <c r="R61" s="12">
        <f t="shared" si="123"/>
        <v>0</v>
      </c>
      <c r="S61" s="12">
        <f t="shared" si="123"/>
        <v>0</v>
      </c>
      <c r="T61" s="12">
        <f t="shared" si="123"/>
        <v>26804.1</v>
      </c>
    </row>
    <row r="63" spans="2:60" s="1" customFormat="1" x14ac:dyDescent="0.25">
      <c r="B63" s="1" t="s">
        <v>65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>
        <f>237.3+328.9</f>
        <v>566.20000000000005</v>
      </c>
      <c r="N63" s="12">
        <v>259.89999999999998</v>
      </c>
      <c r="O63" s="12">
        <v>235.5</v>
      </c>
      <c r="P63" s="12"/>
      <c r="Q63" s="12"/>
      <c r="T63" s="1">
        <v>281.60000000000002</v>
      </c>
    </row>
    <row r="64" spans="2:60" s="1" customFormat="1" x14ac:dyDescent="0.25">
      <c r="B64" s="1" t="s">
        <v>105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>
        <v>383.2</v>
      </c>
      <c r="N64" s="12">
        <v>491.5</v>
      </c>
      <c r="O64" s="12">
        <v>491.2</v>
      </c>
      <c r="P64" s="12"/>
      <c r="Q64" s="12"/>
      <c r="T64" s="1">
        <v>354.5</v>
      </c>
    </row>
    <row r="65" spans="2:21" s="1" customFormat="1" x14ac:dyDescent="0.25">
      <c r="B65" s="1" t="s">
        <v>106</v>
      </c>
      <c r="C65" s="12"/>
      <c r="D65" s="12"/>
      <c r="E65" s="12"/>
      <c r="F65" s="12"/>
      <c r="G65" s="12"/>
      <c r="H65" s="12"/>
      <c r="I65" s="12"/>
      <c r="J65" s="12"/>
      <c r="K65" s="12"/>
      <c r="L65" s="12">
        <v>4018.2</v>
      </c>
      <c r="M65" s="12">
        <v>3305.9</v>
      </c>
      <c r="N65" s="12">
        <v>2521.4</v>
      </c>
      <c r="O65" s="12">
        <v>2288.1999999999998</v>
      </c>
      <c r="P65" s="12"/>
      <c r="Q65" s="12"/>
      <c r="T65" s="1">
        <v>2472.1</v>
      </c>
    </row>
    <row r="66" spans="2:21" s="1" customFormat="1" x14ac:dyDescent="0.25">
      <c r="B66" s="1" t="s">
        <v>4</v>
      </c>
      <c r="C66" s="12"/>
      <c r="D66" s="12"/>
      <c r="E66" s="12"/>
      <c r="F66" s="12"/>
      <c r="G66" s="12"/>
      <c r="H66" s="12"/>
      <c r="I66" s="12"/>
      <c r="J66" s="12"/>
      <c r="K66" s="12"/>
      <c r="L66" s="12">
        <f>999.8+6277.4</f>
        <v>7277.2</v>
      </c>
      <c r="M66" s="12">
        <v>6279.2</v>
      </c>
      <c r="N66" s="12">
        <v>6281</v>
      </c>
      <c r="O66" s="12">
        <v>6282.7</v>
      </c>
      <c r="P66" s="12"/>
      <c r="Q66" s="12"/>
      <c r="T66" s="1">
        <v>6292</v>
      </c>
    </row>
    <row r="67" spans="2:21" s="1" customFormat="1" x14ac:dyDescent="0.25">
      <c r="B67" s="1" t="s">
        <v>103</v>
      </c>
      <c r="C67" s="12"/>
      <c r="D67" s="12"/>
      <c r="E67" s="12"/>
      <c r="F67" s="12"/>
      <c r="G67" s="12"/>
      <c r="H67" s="12"/>
      <c r="I67" s="12"/>
      <c r="J67" s="12"/>
      <c r="K67" s="12"/>
      <c r="L67" s="12">
        <v>480.6</v>
      </c>
      <c r="M67" s="12">
        <v>354.8</v>
      </c>
      <c r="N67" s="12">
        <v>334.7</v>
      </c>
      <c r="O67" s="12">
        <v>251.3</v>
      </c>
      <c r="P67" s="12"/>
      <c r="Q67" s="12"/>
      <c r="T67" s="1">
        <v>590.6</v>
      </c>
    </row>
    <row r="68" spans="2:21" s="1" customFormat="1" x14ac:dyDescent="0.25">
      <c r="B68" s="1" t="s">
        <v>101</v>
      </c>
      <c r="C68" s="12"/>
      <c r="D68" s="12"/>
      <c r="E68" s="12"/>
      <c r="F68" s="12"/>
      <c r="G68" s="12"/>
      <c r="H68" s="12"/>
      <c r="I68" s="12"/>
      <c r="J68" s="12"/>
      <c r="K68" s="12"/>
      <c r="L68" s="12">
        <v>274.2</v>
      </c>
      <c r="M68" s="12">
        <v>1198.0999999999999</v>
      </c>
      <c r="N68" s="12">
        <v>333</v>
      </c>
      <c r="O68" s="12">
        <v>327</v>
      </c>
      <c r="P68" s="12"/>
      <c r="Q68" s="12"/>
      <c r="T68" s="1">
        <v>367.5</v>
      </c>
    </row>
    <row r="69" spans="2:21" s="1" customFormat="1" x14ac:dyDescent="0.25">
      <c r="B69" s="1" t="s">
        <v>114</v>
      </c>
      <c r="C69" s="12"/>
      <c r="D69" s="12"/>
      <c r="E69" s="12"/>
      <c r="F69" s="12"/>
      <c r="G69" s="12"/>
      <c r="H69" s="12"/>
      <c r="I69" s="12"/>
      <c r="J69" s="12"/>
      <c r="K69" s="12"/>
      <c r="L69" s="12">
        <v>1167.8</v>
      </c>
      <c r="M69" s="12"/>
      <c r="N69" s="12">
        <v>944.2</v>
      </c>
      <c r="O69" s="12">
        <v>935.5</v>
      </c>
      <c r="P69" s="12"/>
      <c r="Q69" s="12"/>
      <c r="T69" s="1">
        <v>556.70000000000005</v>
      </c>
    </row>
    <row r="70" spans="2:21" s="1" customFormat="1" x14ac:dyDescent="0.25">
      <c r="B70" s="1" t="s">
        <v>96</v>
      </c>
      <c r="C70" s="12"/>
      <c r="D70" s="12"/>
      <c r="E70" s="12"/>
      <c r="F70" s="12"/>
      <c r="G70" s="12"/>
      <c r="H70" s="12"/>
      <c r="I70" s="12"/>
      <c r="J70" s="12"/>
      <c r="K70" s="12"/>
      <c r="L70" s="12">
        <v>11863.4</v>
      </c>
      <c r="M70" s="12">
        <v>12766.8</v>
      </c>
      <c r="N70" s="12">
        <v>13388.4</v>
      </c>
      <c r="O70" s="12">
        <v>13787</v>
      </c>
      <c r="P70" s="12"/>
      <c r="Q70" s="12"/>
      <c r="T70" s="1">
        <v>15889.1</v>
      </c>
    </row>
    <row r="71" spans="2:21" s="1" customFormat="1" x14ac:dyDescent="0.25">
      <c r="B71" s="1" t="s">
        <v>95</v>
      </c>
      <c r="C71" s="12"/>
      <c r="D71" s="12"/>
      <c r="E71" s="12"/>
      <c r="F71" s="12"/>
      <c r="G71" s="12"/>
      <c r="H71" s="12"/>
      <c r="I71" s="12"/>
      <c r="J71" s="12"/>
      <c r="K71" s="12"/>
      <c r="L71" s="12">
        <f>SUM(L63:L70)</f>
        <v>25081.4</v>
      </c>
      <c r="M71" s="12">
        <f>SUM(M63:M70)</f>
        <v>24854.199999999997</v>
      </c>
      <c r="N71" s="12">
        <f>SUM(N63:N70)</f>
        <v>24554.1</v>
      </c>
      <c r="O71" s="12">
        <f>SUM(O63:O70)</f>
        <v>24598.399999999998</v>
      </c>
      <c r="P71" s="12">
        <f t="shared" ref="P71:T71" si="124">SUM(P63:P70)</f>
        <v>0</v>
      </c>
      <c r="Q71" s="12">
        <f t="shared" si="124"/>
        <v>0</v>
      </c>
      <c r="R71" s="12">
        <f t="shared" si="124"/>
        <v>0</v>
      </c>
      <c r="S71" s="12">
        <f t="shared" si="124"/>
        <v>0</v>
      </c>
      <c r="T71" s="12">
        <f t="shared" si="124"/>
        <v>26804.100000000002</v>
      </c>
      <c r="U71" s="12"/>
    </row>
  </sheetData>
  <hyperlinks>
    <hyperlink ref="A1" location="Main!A1" display="Main" xr:uid="{B820F574-645F-4D74-9059-6520877C6957}"/>
  </hyperlink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4B8F-8814-4227-BE08-2B6255B47A3D}">
  <dimension ref="A1:I35"/>
  <sheetViews>
    <sheetView zoomScale="160" zoomScaleNormal="160" workbookViewId="0"/>
  </sheetViews>
  <sheetFormatPr defaultRowHeight="12.5" x14ac:dyDescent="0.25"/>
  <cols>
    <col min="1" max="1" width="5" bestFit="1" customWidth="1"/>
    <col min="2" max="2" width="12.26953125" customWidth="1"/>
  </cols>
  <sheetData>
    <row r="1" spans="1:9" x14ac:dyDescent="0.25">
      <c r="A1" s="11" t="s">
        <v>30</v>
      </c>
    </row>
    <row r="2" spans="1:9" x14ac:dyDescent="0.25">
      <c r="B2" t="s">
        <v>6</v>
      </c>
      <c r="C2" t="s">
        <v>136</v>
      </c>
    </row>
    <row r="3" spans="1:9" x14ac:dyDescent="0.25">
      <c r="B3" t="s">
        <v>137</v>
      </c>
      <c r="C3" t="s">
        <v>138</v>
      </c>
    </row>
    <row r="4" spans="1:9" x14ac:dyDescent="0.25">
      <c r="B4" t="s">
        <v>13</v>
      </c>
      <c r="C4" t="s">
        <v>149</v>
      </c>
    </row>
    <row r="5" spans="1:9" x14ac:dyDescent="0.25">
      <c r="B5" t="s">
        <v>11</v>
      </c>
      <c r="C5" t="s">
        <v>139</v>
      </c>
    </row>
    <row r="6" spans="1:9" x14ac:dyDescent="0.25">
      <c r="B6" t="s">
        <v>140</v>
      </c>
    </row>
    <row r="7" spans="1:9" ht="13" x14ac:dyDescent="0.3">
      <c r="C7" s="27" t="s">
        <v>141</v>
      </c>
    </row>
    <row r="8" spans="1:9" x14ac:dyDescent="0.25">
      <c r="C8" t="s">
        <v>142</v>
      </c>
    </row>
    <row r="9" spans="1:9" x14ac:dyDescent="0.25">
      <c r="C9" t="s">
        <v>143</v>
      </c>
      <c r="G9" s="17">
        <f>0.45/0.27</f>
        <v>1.6666666666666665</v>
      </c>
      <c r="H9" s="17">
        <f>+G9-0.45</f>
        <v>1.2166666666666666</v>
      </c>
      <c r="I9" t="s">
        <v>144</v>
      </c>
    </row>
    <row r="10" spans="1:9" x14ac:dyDescent="0.25">
      <c r="C10" t="s">
        <v>145</v>
      </c>
      <c r="I10" t="s">
        <v>146</v>
      </c>
    </row>
    <row r="11" spans="1:9" x14ac:dyDescent="0.25">
      <c r="C11" s="28" t="s">
        <v>150</v>
      </c>
    </row>
    <row r="12" spans="1:9" x14ac:dyDescent="0.25">
      <c r="C12" s="28"/>
    </row>
    <row r="13" spans="1:9" x14ac:dyDescent="0.25">
      <c r="C13" s="28" t="s">
        <v>151</v>
      </c>
    </row>
    <row r="14" spans="1:9" x14ac:dyDescent="0.25">
      <c r="C14" s="28" t="s">
        <v>152</v>
      </c>
    </row>
    <row r="15" spans="1:9" x14ac:dyDescent="0.25">
      <c r="C15" s="28"/>
    </row>
    <row r="16" spans="1:9" ht="13" x14ac:dyDescent="0.3">
      <c r="C16" s="27" t="s">
        <v>147</v>
      </c>
    </row>
    <row r="17" spans="3:3" x14ac:dyDescent="0.25">
      <c r="C17" t="s">
        <v>148</v>
      </c>
    </row>
    <row r="18" spans="3:3" x14ac:dyDescent="0.25">
      <c r="C18" t="s">
        <v>165</v>
      </c>
    </row>
    <row r="19" spans="3:3" x14ac:dyDescent="0.25">
      <c r="C19" t="s">
        <v>181</v>
      </c>
    </row>
    <row r="21" spans="3:3" ht="13" x14ac:dyDescent="0.3">
      <c r="C21" s="27" t="s">
        <v>154</v>
      </c>
    </row>
    <row r="22" spans="3:3" x14ac:dyDescent="0.25">
      <c r="C22" s="28" t="s">
        <v>153</v>
      </c>
    </row>
    <row r="23" spans="3:3" x14ac:dyDescent="0.25">
      <c r="C23" t="s">
        <v>159</v>
      </c>
    </row>
    <row r="25" spans="3:3" x14ac:dyDescent="0.25">
      <c r="C25" t="s">
        <v>155</v>
      </c>
    </row>
    <row r="26" spans="3:3" x14ac:dyDescent="0.25">
      <c r="C26" t="s">
        <v>161</v>
      </c>
    </row>
    <row r="27" spans="3:3" x14ac:dyDescent="0.25">
      <c r="C27" t="s">
        <v>156</v>
      </c>
    </row>
    <row r="28" spans="3:3" x14ac:dyDescent="0.25">
      <c r="C28" t="s">
        <v>157</v>
      </c>
    </row>
    <row r="29" spans="3:3" x14ac:dyDescent="0.25">
      <c r="C29" t="s">
        <v>158</v>
      </c>
    </row>
    <row r="30" spans="3:3" x14ac:dyDescent="0.25">
      <c r="C30" t="s">
        <v>162</v>
      </c>
    </row>
    <row r="31" spans="3:3" x14ac:dyDescent="0.25">
      <c r="C31" t="s">
        <v>160</v>
      </c>
    </row>
    <row r="34" spans="3:3" ht="13" x14ac:dyDescent="0.3">
      <c r="C34" s="27" t="s">
        <v>163</v>
      </c>
    </row>
    <row r="35" spans="3:3" x14ac:dyDescent="0.25">
      <c r="C35" s="28" t="s">
        <v>164</v>
      </c>
    </row>
  </sheetData>
  <hyperlinks>
    <hyperlink ref="A1" location="Main!A1" display="Main" xr:uid="{E1E6991D-9889-4EF1-B64F-B96796731587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AE8CD-712A-47C2-AF34-10F33E02A652}">
  <dimension ref="A1:C13"/>
  <sheetViews>
    <sheetView zoomScale="190" zoomScaleNormal="190" workbookViewId="0">
      <selection activeCell="C14" sqref="C14"/>
    </sheetView>
  </sheetViews>
  <sheetFormatPr defaultRowHeight="12.5" x14ac:dyDescent="0.25"/>
  <cols>
    <col min="1" max="1" width="4.6328125" bestFit="1" customWidth="1"/>
    <col min="2" max="2" width="12.453125" bestFit="1" customWidth="1"/>
  </cols>
  <sheetData>
    <row r="1" spans="1:3" x14ac:dyDescent="0.25">
      <c r="A1" s="11" t="s">
        <v>30</v>
      </c>
    </row>
    <row r="2" spans="1:3" x14ac:dyDescent="0.25">
      <c r="B2" t="s">
        <v>6</v>
      </c>
    </row>
    <row r="3" spans="1:3" x14ac:dyDescent="0.25">
      <c r="B3" t="s">
        <v>137</v>
      </c>
      <c r="C3" t="s">
        <v>182</v>
      </c>
    </row>
    <row r="4" spans="1:3" x14ac:dyDescent="0.25">
      <c r="B4" t="s">
        <v>11</v>
      </c>
      <c r="C4" t="s">
        <v>197</v>
      </c>
    </row>
    <row r="5" spans="1:3" x14ac:dyDescent="0.25">
      <c r="B5" t="s">
        <v>10</v>
      </c>
      <c r="C5" t="s">
        <v>183</v>
      </c>
    </row>
    <row r="6" spans="1:3" x14ac:dyDescent="0.25">
      <c r="B6" t="s">
        <v>13</v>
      </c>
      <c r="C6" t="s">
        <v>198</v>
      </c>
    </row>
    <row r="7" spans="1:3" x14ac:dyDescent="0.25">
      <c r="B7" t="s">
        <v>199</v>
      </c>
      <c r="C7" t="s">
        <v>200</v>
      </c>
    </row>
    <row r="8" spans="1:3" x14ac:dyDescent="0.25">
      <c r="B8" t="s">
        <v>140</v>
      </c>
    </row>
    <row r="9" spans="1:3" ht="13" x14ac:dyDescent="0.3">
      <c r="C9" s="27" t="s">
        <v>196</v>
      </c>
    </row>
    <row r="10" spans="1:3" x14ac:dyDescent="0.25">
      <c r="C10" t="s">
        <v>201</v>
      </c>
    </row>
    <row r="13" spans="1:3" ht="13" x14ac:dyDescent="0.3">
      <c r="C13" s="27" t="s">
        <v>202</v>
      </c>
    </row>
  </sheetData>
  <hyperlinks>
    <hyperlink ref="A1" location="Main!A1" display="Main" xr:uid="{F3DF4EE1-1D09-4198-BEAC-180843FE70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Leqembi</vt:lpstr>
      <vt:lpstr>dapirolizumab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2022-10-12T00:37:40Z</dcterms:created>
  <dcterms:modified xsi:type="dcterms:W3CDTF">2025-03-05T20:56:27Z</dcterms:modified>
</cp:coreProperties>
</file>