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7F815AA7-D5A9-4D0D-ACD8-24A1C0A7AAA5}" xr6:coauthVersionLast="47" xr6:coauthVersionMax="47" xr10:uidLastSave="{00000000-0000-0000-0000-000000000000}"/>
  <bookViews>
    <workbookView xWindow="19360" yWindow="420" windowWidth="18920" windowHeight="20330" activeTab="1" xr2:uid="{C43C4538-8087-43AC-B8CB-5C78F41AC5B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2" l="1"/>
  <c r="R4" i="2"/>
  <c r="Q4" i="2"/>
  <c r="P4" i="2"/>
  <c r="Q3" i="2"/>
  <c r="R3" i="2"/>
  <c r="S3" i="2"/>
  <c r="R27" i="2"/>
  <c r="Q27" i="2"/>
  <c r="P27" i="2"/>
  <c r="P23" i="2"/>
  <c r="S23" i="2"/>
  <c r="R23" i="2"/>
  <c r="Q23" i="2"/>
  <c r="Q20" i="2"/>
  <c r="R20" i="2"/>
  <c r="S20" i="2"/>
  <c r="P8" i="2"/>
  <c r="P10" i="2" s="1"/>
  <c r="P12" i="2" s="1"/>
  <c r="P14" i="2" s="1"/>
  <c r="P16" i="2" s="1"/>
  <c r="P17" i="2" s="1"/>
  <c r="Q8" i="2"/>
  <c r="Q10" i="2" s="1"/>
  <c r="Q12" i="2" s="1"/>
  <c r="Q14" i="2" s="1"/>
  <c r="Q16" i="2" s="1"/>
  <c r="Q17" i="2" s="1"/>
  <c r="R15" i="2"/>
  <c r="R13" i="2"/>
  <c r="R11" i="2"/>
  <c r="R9" i="2"/>
  <c r="R7" i="2"/>
  <c r="R6" i="2"/>
  <c r="R8" i="2" s="1"/>
  <c r="R10" i="2" s="1"/>
  <c r="R12" i="2" s="1"/>
  <c r="R14" i="2" s="1"/>
  <c r="R16" i="2" s="1"/>
  <c r="R17" i="2" s="1"/>
  <c r="M3" i="2"/>
  <c r="M21" i="2" s="1"/>
  <c r="N13" i="2"/>
  <c r="M13" i="2"/>
  <c r="N11" i="2"/>
  <c r="M11" i="2"/>
  <c r="S11" i="2" s="1"/>
  <c r="M18" i="2"/>
  <c r="N18" i="2" s="1"/>
  <c r="S18" i="2" s="1"/>
  <c r="S13" i="2"/>
  <c r="M7" i="2"/>
  <c r="M6" i="2"/>
  <c r="I21" i="2"/>
  <c r="E8" i="2"/>
  <c r="E4" i="2" s="1"/>
  <c r="I8" i="2"/>
  <c r="I4" i="2" s="1"/>
  <c r="I22" i="2" s="1"/>
  <c r="J21" i="2"/>
  <c r="F8" i="2"/>
  <c r="F10" i="2" s="1"/>
  <c r="F12" i="2" s="1"/>
  <c r="F14" i="2" s="1"/>
  <c r="F16" i="2" s="1"/>
  <c r="F17" i="2" s="1"/>
  <c r="J10" i="2"/>
  <c r="J23" i="2" s="1"/>
  <c r="J8" i="2"/>
  <c r="J20" i="2" s="1"/>
  <c r="K27" i="2"/>
  <c r="G27" i="2"/>
  <c r="K21" i="2"/>
  <c r="G8" i="2"/>
  <c r="G10" i="2" s="1"/>
  <c r="G12" i="2" s="1"/>
  <c r="G14" i="2" s="1"/>
  <c r="G16" i="2" s="1"/>
  <c r="G17" i="2" s="1"/>
  <c r="K8" i="2"/>
  <c r="K10" i="2" s="1"/>
  <c r="K12" i="2" s="1"/>
  <c r="K14" i="2" s="1"/>
  <c r="K16" i="2" s="1"/>
  <c r="K17" i="2" s="1"/>
  <c r="E12" i="1"/>
  <c r="C12" i="1"/>
  <c r="D5" i="1" s="1"/>
  <c r="E9" i="1"/>
  <c r="E8" i="1"/>
  <c r="L21" i="2"/>
  <c r="J3" i="1"/>
  <c r="J4" i="1" s="1"/>
  <c r="J7" i="1" s="1"/>
  <c r="L27" i="2"/>
  <c r="H27" i="2"/>
  <c r="L8" i="2"/>
  <c r="L10" i="2" s="1"/>
  <c r="L12" i="2" s="1"/>
  <c r="L14" i="2" s="1"/>
  <c r="L16" i="2" s="1"/>
  <c r="L17" i="2" s="1"/>
  <c r="H8" i="2"/>
  <c r="H10" i="2" s="1"/>
  <c r="H12" i="2" s="1"/>
  <c r="H14" i="2" s="1"/>
  <c r="H16" i="2" s="1"/>
  <c r="H17" i="2" s="1"/>
  <c r="J4" i="2" l="1"/>
  <c r="N3" i="2"/>
  <c r="N21" i="2" s="1"/>
  <c r="N6" i="2"/>
  <c r="S6" i="2" s="1"/>
  <c r="K23" i="2"/>
  <c r="J12" i="2"/>
  <c r="J14" i="2" s="1"/>
  <c r="J16" i="2" s="1"/>
  <c r="J17" i="2" s="1"/>
  <c r="F4" i="2"/>
  <c r="I10" i="2"/>
  <c r="I23" i="2" s="1"/>
  <c r="L23" i="2"/>
  <c r="H23" i="2"/>
  <c r="G23" i="2"/>
  <c r="F23" i="2"/>
  <c r="I20" i="2"/>
  <c r="N7" i="2"/>
  <c r="S7" i="2" s="1"/>
  <c r="M8" i="2"/>
  <c r="N8" i="2"/>
  <c r="E10" i="2"/>
  <c r="I12" i="2"/>
  <c r="I14" i="2" s="1"/>
  <c r="I16" i="2" s="1"/>
  <c r="I17" i="2" s="1"/>
  <c r="J22" i="2"/>
  <c r="H4" i="2"/>
  <c r="L4" i="2"/>
  <c r="L22" i="2" s="1"/>
  <c r="K20" i="2"/>
  <c r="G4" i="2"/>
  <c r="K4" i="2"/>
  <c r="D3" i="1"/>
  <c r="D4" i="1"/>
  <c r="L20" i="2"/>
  <c r="E12" i="2" l="1"/>
  <c r="E14" i="2" s="1"/>
  <c r="E16" i="2" s="1"/>
  <c r="E17" i="2" s="1"/>
  <c r="E23" i="2"/>
  <c r="M20" i="2"/>
  <c r="M9" i="2"/>
  <c r="N4" i="2"/>
  <c r="N22" i="2" s="1"/>
  <c r="N20" i="2"/>
  <c r="N9" i="2"/>
  <c r="N10" i="2"/>
  <c r="S8" i="2"/>
  <c r="K22" i="2"/>
  <c r="M4" i="2"/>
  <c r="M22" i="2" s="1"/>
  <c r="N23" i="2" l="1"/>
  <c r="N12" i="2"/>
  <c r="N14" i="2" s="1"/>
  <c r="M10" i="2"/>
  <c r="S9" i="2"/>
  <c r="S10" i="2" s="1"/>
  <c r="S12" i="2" s="1"/>
  <c r="S14" i="2" s="1"/>
  <c r="N15" i="2" l="1"/>
  <c r="N16" i="2" s="1"/>
  <c r="N17" i="2" s="1"/>
  <c r="M23" i="2"/>
  <c r="M12" i="2"/>
  <c r="M14" i="2" s="1"/>
  <c r="M15" i="2" l="1"/>
  <c r="S15" i="2" s="1"/>
  <c r="S16" i="2" s="1"/>
  <c r="S17" i="2" s="1"/>
  <c r="M16" i="2" l="1"/>
  <c r="M1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tc={2F9F344B-1E5A-49A1-ACD9-B604CC04CA1A}</author>
  </authors>
  <commentList>
    <comment ref="S8" authorId="0" shapeId="0" xr:uid="{2F9F344B-1E5A-49A1-ACD9-B604CC04CA1A}">
      <text>
        <t>[Threaded comment]
Your version of Excel allows you to read this threaded comment; however, any edits to it will get removed if the file is opened in a newer version of Excel. Learn more: https://go.microsoft.com/fwlink/?linkid=870924
Comment:
    1.215-1.230B guidance</t>
      </text>
    </comment>
  </commentList>
</comments>
</file>

<file path=xl/sharedStrings.xml><?xml version="1.0" encoding="utf-8"?>
<sst xmlns="http://schemas.openxmlformats.org/spreadsheetml/2006/main" count="55" uniqueCount="51">
  <si>
    <t>Price</t>
  </si>
  <si>
    <t>Shares</t>
  </si>
  <si>
    <t>MC</t>
  </si>
  <si>
    <t>Cash</t>
  </si>
  <si>
    <t>Debt</t>
  </si>
  <si>
    <t>EV</t>
  </si>
  <si>
    <t>Q224</t>
  </si>
  <si>
    <t>Main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</si>
  <si>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</si>
  <si>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</si>
  <si>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</si>
  <si>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</si>
  <si>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</si>
  <si>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</si>
  <si>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</si>
  <si>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</si>
  <si>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</si>
  <si>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</si>
  <si>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Q324</t>
  </si>
  <si>
    <t>Q424</t>
  </si>
  <si>
    <t>Company</t>
  </si>
  <si>
    <t>Franchise</t>
  </si>
  <si>
    <t>Revenue y/y</t>
  </si>
  <si>
    <t>Operating Income</t>
  </si>
  <si>
    <t>COGS</t>
  </si>
  <si>
    <t>Gross Margin</t>
  </si>
  <si>
    <t>SG&amp;A</t>
  </si>
  <si>
    <t>Pretax Income</t>
  </si>
  <si>
    <t>Interest Expense</t>
  </si>
  <si>
    <t>Taxes</t>
  </si>
  <si>
    <t>Net Income</t>
  </si>
  <si>
    <t>S/O</t>
  </si>
  <si>
    <t>EPS</t>
  </si>
  <si>
    <t>CFFO</t>
  </si>
  <si>
    <t>FCF</t>
  </si>
  <si>
    <t>CapEx</t>
  </si>
  <si>
    <t>Shops</t>
  </si>
  <si>
    <t>Revenue/Shop</t>
  </si>
  <si>
    <t>Shops y/y</t>
  </si>
  <si>
    <t>Rev/Shop y/y</t>
  </si>
  <si>
    <t>Dutch</t>
  </si>
  <si>
    <t>Starbucks</t>
  </si>
  <si>
    <t>WW</t>
  </si>
  <si>
    <t>US</t>
  </si>
  <si>
    <t>Dunkin</t>
  </si>
  <si>
    <t>Total</t>
  </si>
  <si>
    <t>Tim Horton's</t>
  </si>
  <si>
    <t>Caribou</t>
  </si>
  <si>
    <t>Peet's</t>
  </si>
  <si>
    <t>Blue Bottle</t>
  </si>
  <si>
    <t>Total?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</si>
</sst>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/>
    <xf numFmtId="10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7F7A9C8A-804C-4BFD-A118-784B4A6DFB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30079</xdr:colOff>
      <xdr:row>0</xdr:row>
      <xdr:rowOff>30079</xdr:rowOff>
    </xdr:from>
    <xdr:to>
      <xdr:col>12</xdr:col>
      <xdr:colOff>30079</xdr:colOff>
      <xdr:row>62</xdr:row>
      <xdr:rowOff>53730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27D3D15-4277-3B6B-452C-4E9C6F3BB005}"/>
            </a:ext>
          </a:extLst>
        </xdr:cNvPr>
        <xdr:cNvCxnSpPr/>
      </xdr:nvCxnSpPr>
      <xdr:spPr>
        <a:xfrm>
          <a:off x="7899194" y="30079"/>
          <a:ext cx="0" cy="109896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861A009E-A7DE-4BA2-896E-5E9A37CFB3C8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8" dT="2024-10-15T22:25:45.08" personId="{861A009E-A7DE-4BA2-896E-5E9A37CFB3C8}" id="{2F9F344B-1E5A-49A1-ACD9-B604CC04CA1A}">
    <text>1.215-1.230B guidance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08FF-ACA1-4D62-BBAB-7F8F2DBE3F25}">
  <dimension ref="B2:K13"/>
  <sheetViews>
    <sheetView zoomScale="160" zoomScaleNormal="160" workbookViewId="0">
      <selection activeCell="B14" sqref="B14"/>
    </sheetView>
  </sheetViews>
  <sheetFormatPr defaultRowHeight="12.5" x14ac:dyDescent="0.25"/>
  <cols>
    <col min="1" max="1" width="5.26953125" customWidth="1"/>
    <col min="2" max="2" width="14.7265625" customWidth="1"/>
  </cols>
  <sheetData>
    <row r="2" spans="2:11" x14ac:dyDescent="0.25">
      <c r="C2" s="3" t="s">
        <v>43</v>
      </c>
      <c r="D2" s="3"/>
      <c r="E2" s="3" t="s">
        <v>42</v>
      </c>
      <c r="I2" t="s">
        <v>0</v>
      </c>
      <c r="J2" s="1">
        <v>34</v>
      </c>
    </row>
    <row r="3" spans="2:11" x14ac:dyDescent="0.25">
      <c r="B3" t="s">
        <v>40</v>
      </c>
      <c r="C3" s="2">
        <v>912</v>
      </c>
      <c r="D3" s="10">
        <f>+C3/C12</f>
        <v>3.3323589593686059E-2</v>
      </c>
      <c r="E3" s="2">
        <v>912</v>
      </c>
      <c r="I3" t="s">
        <v>1</v>
      </c>
      <c r="J3" s="2">
        <f>113.819371+5.14205</f>
        <v>118.961421</v>
      </c>
      <c r="K3" s="3" t="s">
        <v>6</v>
      </c>
    </row>
    <row r="4" spans="2:11" x14ac:dyDescent="0.25">
      <c r="B4" t="s">
        <v>41</v>
      </c>
      <c r="C4" s="2">
        <v>15270</v>
      </c>
      <c r="D4" s="9">
        <f>+C4/C12</f>
        <v>0.5579508915521777</v>
      </c>
      <c r="E4" s="2">
        <v>38000</v>
      </c>
      <c r="I4" t="s">
        <v>2</v>
      </c>
      <c r="J4" s="2">
        <f>+J2*J3</f>
        <v>4044.688314</v>
      </c>
    </row>
    <row r="5" spans="2:11" x14ac:dyDescent="0.25">
      <c r="B5" t="s">
        <v>44</v>
      </c>
      <c r="C5" s="2">
        <v>9689</v>
      </c>
      <c r="D5" s="9">
        <f>+C5/C12</f>
        <v>0.35402660040923706</v>
      </c>
      <c r="E5" s="2">
        <v>12900</v>
      </c>
      <c r="I5" t="s">
        <v>3</v>
      </c>
      <c r="J5" s="2">
        <v>260.92200000000003</v>
      </c>
      <c r="K5" s="3" t="s">
        <v>6</v>
      </c>
    </row>
    <row r="6" spans="2:11" x14ac:dyDescent="0.25">
      <c r="B6" t="s">
        <v>46</v>
      </c>
      <c r="C6" s="2">
        <v>639</v>
      </c>
      <c r="E6" s="2">
        <v>5701</v>
      </c>
      <c r="I6" t="s">
        <v>4</v>
      </c>
      <c r="J6" s="2">
        <v>228.96600000000001</v>
      </c>
      <c r="K6" s="3" t="s">
        <v>6</v>
      </c>
    </row>
    <row r="7" spans="2:11" x14ac:dyDescent="0.25">
      <c r="B7" t="s">
        <v>47</v>
      </c>
      <c r="C7" s="2">
        <v>470</v>
      </c>
      <c r="E7" s="2">
        <v>750</v>
      </c>
      <c r="I7" t="s">
        <v>5</v>
      </c>
      <c r="J7" s="2">
        <f>+J4-J5+J6</f>
        <v>4012.7323139999999</v>
      </c>
    </row>
    <row r="8" spans="2:11" x14ac:dyDescent="0.25">
      <c r="B8" t="s">
        <v>48</v>
      </c>
      <c r="C8" s="2">
        <v>288</v>
      </c>
      <c r="E8" s="2">
        <f>+C8</f>
        <v>288</v>
      </c>
    </row>
    <row r="9" spans="2:11" x14ac:dyDescent="0.25">
      <c r="B9" t="s">
        <v>49</v>
      </c>
      <c r="C9" s="2">
        <v>100</v>
      </c>
      <c r="E9" s="2">
        <f>+C9</f>
        <v>100</v>
      </c>
    </row>
    <row r="12" spans="2:11" ht="13" x14ac:dyDescent="0.3">
      <c r="B12" t="s">
        <v>45</v>
      </c>
      <c r="C12" s="6">
        <f>SUM(C2:C9)</f>
        <v>27368</v>
      </c>
      <c r="D12" s="6"/>
      <c r="E12" s="6">
        <f>SUM(E2:E9)</f>
        <v>58651</v>
      </c>
    </row>
    <row r="13" spans="2:11" ht="13" x14ac:dyDescent="0.3">
      <c r="B13" t="s">
        <v>50</v>
      </c>
      <c r="C13" s="6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4EDB-BDB1-43F8-8338-51D62C7AD12E}">
  <dimension ref="A1:S27"/>
  <sheetViews>
    <sheetView tabSelected="1" zoomScale="190" zoomScaleNormal="190" workbookViewId="0">
      <pane xSplit="2" ySplit="2" topLeftCell="P3" activePane="bottomRight" state="frozen"/>
      <selection pane="topRight" activeCell="C1" sqref="C1"/>
      <selection pane="bottomLeft" activeCell="A3" sqref="A3"/>
      <selection pane="bottomRight" activeCell="V23" sqref="V23"/>
    </sheetView>
  </sheetViews>
  <sheetFormatPr defaultRowHeight="12.5" x14ac:dyDescent="0.25"/>
  <cols>
    <col min="1" max="1" width="5" bestFit="1" customWidth="1"/>
    <col min="2" max="2" width="16" bestFit="1" customWidth="1"/>
    <col min="3" max="14" width="9.1796875" style="3"/>
  </cols>
  <sheetData>
    <row r="1" spans="1:19" x14ac:dyDescent="0.25">
      <c r="A1" s="11" t="s">
        <v>7</v>
      </c>
    </row>
    <row r="2" spans="1:19" x14ac:dyDescent="0.25"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6</v>
      </c>
      <c r="M2" s="3" t="s">
        <v>18</v>
      </c>
      <c r="N2" s="3" t="s">
        <v>19</v>
      </c>
      <c r="P2">
        <v>2021</v>
      </c>
      <c r="Q2">
        <v>2022</v>
      </c>
      <c r="R2">
        <v>2023</v>
      </c>
      <c r="S2">
        <v>2024</v>
      </c>
    </row>
    <row r="3" spans="1:19" x14ac:dyDescent="0.25">
      <c r="B3" t="s">
        <v>36</v>
      </c>
      <c r="E3" s="3">
        <v>671</v>
      </c>
      <c r="F3" s="3">
        <v>671</v>
      </c>
      <c r="G3" s="3">
        <v>716</v>
      </c>
      <c r="H3" s="3">
        <v>754</v>
      </c>
      <c r="I3" s="3">
        <v>831</v>
      </c>
      <c r="J3" s="3">
        <v>831</v>
      </c>
      <c r="K3" s="3">
        <v>876</v>
      </c>
      <c r="L3" s="3">
        <v>912</v>
      </c>
      <c r="M3" s="3">
        <f>+L3+5</f>
        <v>917</v>
      </c>
      <c r="N3" s="3">
        <f>+M3+5</f>
        <v>922</v>
      </c>
      <c r="P3">
        <v>538</v>
      </c>
      <c r="Q3">
        <f>+F3</f>
        <v>671</v>
      </c>
      <c r="R3">
        <f>+J3</f>
        <v>831</v>
      </c>
      <c r="S3">
        <f>+N3</f>
        <v>922</v>
      </c>
    </row>
    <row r="4" spans="1:19" x14ac:dyDescent="0.25">
      <c r="B4" t="s">
        <v>37</v>
      </c>
      <c r="E4" s="8">
        <f>+E8/E3</f>
        <v>0.29604769001490311</v>
      </c>
      <c r="F4" s="8">
        <f>+F8/F3</f>
        <v>0.30078539493293593</v>
      </c>
      <c r="G4" s="8">
        <f>+G8/G3</f>
        <v>0.27551256983240224</v>
      </c>
      <c r="H4" s="8">
        <f>+H8/H3</f>
        <v>0.33140450928381959</v>
      </c>
      <c r="I4" s="8">
        <f>+I8/I3</f>
        <v>0.31829963898916969</v>
      </c>
      <c r="J4" s="8">
        <f>+J8/J3</f>
        <v>0.30580385078219013</v>
      </c>
      <c r="K4" s="8">
        <f>+K8/K3</f>
        <v>0.31403995433789955</v>
      </c>
      <c r="L4" s="8">
        <f>+L8/L3</f>
        <v>0.35626973684210522</v>
      </c>
      <c r="M4" s="8">
        <f>+M8/M3</f>
        <v>0.35541766630316241</v>
      </c>
      <c r="N4" s="8">
        <f>+N8/N3</f>
        <v>0.35457483731019518</v>
      </c>
      <c r="P4" s="8">
        <f>+P8/P3</f>
        <v>0.92542007434944229</v>
      </c>
      <c r="Q4" s="8">
        <f>+Q8/Q3</f>
        <v>1.1013591654247392</v>
      </c>
      <c r="R4" s="8">
        <f>+R8/R3</f>
        <v>1.1621853188929001</v>
      </c>
      <c r="S4" s="8">
        <f>+S8/S3</f>
        <v>1.3588427331887201</v>
      </c>
    </row>
    <row r="6" spans="1:19" s="2" customFormat="1" x14ac:dyDescent="0.25">
      <c r="B6" s="2" t="s">
        <v>20</v>
      </c>
      <c r="C6" s="5"/>
      <c r="D6" s="5"/>
      <c r="E6" s="5">
        <v>173.501</v>
      </c>
      <c r="F6" s="5">
        <v>175.51</v>
      </c>
      <c r="G6" s="5">
        <v>173.16399999999999</v>
      </c>
      <c r="H6" s="5">
        <v>220.952</v>
      </c>
      <c r="I6" s="5">
        <v>236.47200000000001</v>
      </c>
      <c r="J6" s="5">
        <v>227.351</v>
      </c>
      <c r="K6" s="5">
        <v>248.08500000000001</v>
      </c>
      <c r="L6" s="5">
        <v>295.26799999999997</v>
      </c>
      <c r="M6" s="5">
        <f>+L6+1</f>
        <v>296.26799999999997</v>
      </c>
      <c r="N6" s="5">
        <f>+M6+1</f>
        <v>297.26799999999997</v>
      </c>
      <c r="P6" s="2">
        <v>403.74599999999998</v>
      </c>
      <c r="Q6" s="2">
        <v>639.71</v>
      </c>
      <c r="R6" s="2">
        <f>SUM(G6:J6)</f>
        <v>857.93899999999996</v>
      </c>
      <c r="S6" s="2">
        <f>SUM(K6:N6)</f>
        <v>1136.8889999999999</v>
      </c>
    </row>
    <row r="7" spans="1:19" s="2" customFormat="1" x14ac:dyDescent="0.25">
      <c r="B7" s="2" t="s">
        <v>21</v>
      </c>
      <c r="C7" s="5"/>
      <c r="D7" s="5"/>
      <c r="E7" s="5">
        <v>25.146999999999998</v>
      </c>
      <c r="F7" s="5">
        <v>26.317</v>
      </c>
      <c r="G7" s="5">
        <v>24.103000000000002</v>
      </c>
      <c r="H7" s="5">
        <v>28.927</v>
      </c>
      <c r="I7" s="5">
        <v>28.035</v>
      </c>
      <c r="J7" s="5">
        <v>26.771999999999998</v>
      </c>
      <c r="K7" s="5">
        <v>27.013999999999999</v>
      </c>
      <c r="L7" s="5">
        <v>29.65</v>
      </c>
      <c r="M7" s="5">
        <f>+L7</f>
        <v>29.65</v>
      </c>
      <c r="N7" s="5">
        <f>+M7</f>
        <v>29.65</v>
      </c>
      <c r="P7" s="2">
        <v>94.13</v>
      </c>
      <c r="Q7" s="2">
        <v>99.302000000000007</v>
      </c>
      <c r="R7" s="2">
        <f>SUM(G7:J7)</f>
        <v>107.83699999999999</v>
      </c>
      <c r="S7" s="2">
        <f>SUM(K7:N7)</f>
        <v>115.964</v>
      </c>
    </row>
    <row r="8" spans="1:19" s="6" customFormat="1" ht="13" x14ac:dyDescent="0.3">
      <c r="B8" s="6" t="s">
        <v>8</v>
      </c>
      <c r="C8" s="7"/>
      <c r="D8" s="7"/>
      <c r="E8" s="7">
        <f>+E6+E7</f>
        <v>198.648</v>
      </c>
      <c r="F8" s="7">
        <f>+F6+F7</f>
        <v>201.827</v>
      </c>
      <c r="G8" s="7">
        <f>+G6+G7</f>
        <v>197.267</v>
      </c>
      <c r="H8" s="7">
        <f>+H6+H7</f>
        <v>249.87899999999999</v>
      </c>
      <c r="I8" s="7">
        <f>+I6+I7</f>
        <v>264.50700000000001</v>
      </c>
      <c r="J8" s="7">
        <f>+J6+J7</f>
        <v>254.12299999999999</v>
      </c>
      <c r="K8" s="7">
        <f>+K6+K7</f>
        <v>275.09899999999999</v>
      </c>
      <c r="L8" s="7">
        <f>+L6+L7</f>
        <v>324.91799999999995</v>
      </c>
      <c r="M8" s="7">
        <f>+M6+M7</f>
        <v>325.91799999999995</v>
      </c>
      <c r="N8" s="7">
        <f>+N6+N7</f>
        <v>326.91799999999995</v>
      </c>
      <c r="P8" s="6">
        <f>+P6+P7</f>
        <v>497.87599999999998</v>
      </c>
      <c r="Q8" s="6">
        <f>+Q6+Q7</f>
        <v>739.01200000000006</v>
      </c>
      <c r="R8" s="6">
        <f>+R6+R7</f>
        <v>965.77599999999995</v>
      </c>
      <c r="S8" s="6">
        <f>SUM(K8:N8)</f>
        <v>1252.8529999999998</v>
      </c>
    </row>
    <row r="9" spans="1:19" s="2" customFormat="1" x14ac:dyDescent="0.25">
      <c r="B9" s="2" t="s">
        <v>24</v>
      </c>
      <c r="C9" s="5"/>
      <c r="D9" s="5"/>
      <c r="E9" s="5">
        <v>148.09200000000001</v>
      </c>
      <c r="F9" s="5">
        <v>147.46700000000001</v>
      </c>
      <c r="G9" s="5">
        <v>151.523</v>
      </c>
      <c r="H9" s="5">
        <v>178.636</v>
      </c>
      <c r="I9" s="5">
        <v>189.32300000000001</v>
      </c>
      <c r="J9" s="5">
        <v>194.99799999999999</v>
      </c>
      <c r="K9" s="5">
        <v>203.32599999999999</v>
      </c>
      <c r="L9" s="5">
        <v>234.637</v>
      </c>
      <c r="M9" s="5">
        <f>+M8*0.77</f>
        <v>250.95685999999998</v>
      </c>
      <c r="N9" s="5">
        <f>+N8*0.77</f>
        <v>251.72685999999996</v>
      </c>
      <c r="P9" s="2">
        <v>344.57299999999998</v>
      </c>
      <c r="Q9" s="2">
        <v>558.096</v>
      </c>
      <c r="R9" s="2">
        <f>SUM(G9:J9)</f>
        <v>714.48</v>
      </c>
      <c r="S9" s="2">
        <f>SUM(K9:N9)</f>
        <v>940.64671999999996</v>
      </c>
    </row>
    <row r="10" spans="1:19" s="2" customFormat="1" x14ac:dyDescent="0.25">
      <c r="B10" s="2" t="s">
        <v>25</v>
      </c>
      <c r="C10" s="5"/>
      <c r="D10" s="5"/>
      <c r="E10" s="5">
        <f>+E8-E9</f>
        <v>50.555999999999983</v>
      </c>
      <c r="F10" s="5">
        <f>+F8-F9</f>
        <v>54.359999999999985</v>
      </c>
      <c r="G10" s="5">
        <f>+G8-G9</f>
        <v>45.744</v>
      </c>
      <c r="H10" s="5">
        <f>+H8-H9</f>
        <v>71.242999999999995</v>
      </c>
      <c r="I10" s="5">
        <f>+I8-I9</f>
        <v>75.183999999999997</v>
      </c>
      <c r="J10" s="5">
        <f>+J8-J9</f>
        <v>59.125</v>
      </c>
      <c r="K10" s="5">
        <f>+K8-K9</f>
        <v>71.772999999999996</v>
      </c>
      <c r="L10" s="5">
        <f>+L8-L9</f>
        <v>90.280999999999949</v>
      </c>
      <c r="M10" s="5">
        <f t="shared" ref="M10:N10" si="0">+M8-M9</f>
        <v>74.961139999999972</v>
      </c>
      <c r="N10" s="5">
        <f t="shared" si="0"/>
        <v>75.19113999999999</v>
      </c>
      <c r="P10" s="2">
        <f>+P8-P9</f>
        <v>153.303</v>
      </c>
      <c r="Q10" s="2">
        <f>+Q8-Q9</f>
        <v>180.91600000000005</v>
      </c>
      <c r="R10" s="2">
        <f>+R8-R9</f>
        <v>251.29599999999994</v>
      </c>
      <c r="S10" s="2">
        <f>+S8-S9</f>
        <v>312.20627999999988</v>
      </c>
    </row>
    <row r="11" spans="1:19" s="2" customFormat="1" x14ac:dyDescent="0.25">
      <c r="B11" s="2" t="s">
        <v>26</v>
      </c>
      <c r="C11" s="5"/>
      <c r="D11" s="5"/>
      <c r="E11" s="5">
        <v>45.378</v>
      </c>
      <c r="F11" s="5">
        <v>50.594000000000001</v>
      </c>
      <c r="G11" s="5">
        <v>45.975999999999999</v>
      </c>
      <c r="H11" s="5">
        <v>51.661999999999999</v>
      </c>
      <c r="I11" s="5">
        <v>50.49</v>
      </c>
      <c r="J11" s="5">
        <v>56.945999999999998</v>
      </c>
      <c r="K11" s="5">
        <v>46.194000000000003</v>
      </c>
      <c r="L11" s="5">
        <v>58.097000000000001</v>
      </c>
      <c r="M11" s="5">
        <f>+I11</f>
        <v>50.49</v>
      </c>
      <c r="N11" s="5">
        <f>+J11</f>
        <v>56.945999999999998</v>
      </c>
      <c r="P11" s="2">
        <v>264.529</v>
      </c>
      <c r="Q11" s="2">
        <v>183.52799999999999</v>
      </c>
      <c r="R11" s="2">
        <f>SUM(G11:J11)</f>
        <v>205.07400000000001</v>
      </c>
      <c r="S11" s="2">
        <f>SUM(K11:N11)</f>
        <v>211.727</v>
      </c>
    </row>
    <row r="12" spans="1:19" s="2" customFormat="1" x14ac:dyDescent="0.25">
      <c r="B12" s="2" t="s">
        <v>23</v>
      </c>
      <c r="C12" s="5"/>
      <c r="D12" s="5"/>
      <c r="E12" s="5">
        <f>+E10-E11</f>
        <v>5.1779999999999831</v>
      </c>
      <c r="F12" s="5">
        <f>+F10-F11</f>
        <v>3.765999999999984</v>
      </c>
      <c r="G12" s="5">
        <f>+G10-G11</f>
        <v>-0.23199999999999932</v>
      </c>
      <c r="H12" s="5">
        <f>+H10-H11</f>
        <v>19.580999999999996</v>
      </c>
      <c r="I12" s="5">
        <f>+I10-I11</f>
        <v>24.693999999999996</v>
      </c>
      <c r="J12" s="5">
        <f>+J10-J11</f>
        <v>2.179000000000002</v>
      </c>
      <c r="K12" s="5">
        <f>+K10-K11</f>
        <v>25.578999999999994</v>
      </c>
      <c r="L12" s="5">
        <f>+L10-L11</f>
        <v>32.183999999999948</v>
      </c>
      <c r="M12" s="5">
        <f t="shared" ref="M12:N12" si="1">+M10-M11</f>
        <v>24.47113999999997</v>
      </c>
      <c r="N12" s="5">
        <f t="shared" si="1"/>
        <v>18.245139999999992</v>
      </c>
      <c r="P12" s="2">
        <f>+P10-P11</f>
        <v>-111.226</v>
      </c>
      <c r="Q12" s="2">
        <f>+Q10-Q11</f>
        <v>-2.6119999999999379</v>
      </c>
      <c r="R12" s="2">
        <f>+R10-R11</f>
        <v>46.221999999999923</v>
      </c>
      <c r="S12" s="2">
        <f>+S10-S11</f>
        <v>100.47927999999987</v>
      </c>
    </row>
    <row r="13" spans="1:19" s="2" customFormat="1" x14ac:dyDescent="0.25">
      <c r="B13" s="2" t="s">
        <v>28</v>
      </c>
      <c r="C13" s="5"/>
      <c r="D13" s="5"/>
      <c r="E13" s="5">
        <v>-6.9550000000000001</v>
      </c>
      <c r="F13" s="5">
        <v>-1.284</v>
      </c>
      <c r="G13" s="5">
        <v>-6.5789999999999997</v>
      </c>
      <c r="H13" s="5">
        <v>-8.0190000000000001</v>
      </c>
      <c r="I13" s="5">
        <v>-9.4649999999999999</v>
      </c>
      <c r="J13" s="5">
        <v>-5.24</v>
      </c>
      <c r="K13" s="5">
        <v>-0.59199999999999997</v>
      </c>
      <c r="L13" s="5">
        <v>-6.1680000000000001</v>
      </c>
      <c r="M13" s="5">
        <f>+I13</f>
        <v>-9.4649999999999999</v>
      </c>
      <c r="N13" s="5">
        <f>+J13</f>
        <v>-5.24</v>
      </c>
      <c r="P13" s="2">
        <v>-8.3330000000000002</v>
      </c>
      <c r="Q13" s="2">
        <v>-14.042</v>
      </c>
      <c r="R13" s="2">
        <f>SUM(G13:J13)</f>
        <v>-29.302999999999997</v>
      </c>
      <c r="S13" s="2">
        <f>SUM(K13:N13)</f>
        <v>-21.465000000000003</v>
      </c>
    </row>
    <row r="14" spans="1:19" x14ac:dyDescent="0.25">
      <c r="B14" s="2" t="s">
        <v>27</v>
      </c>
      <c r="E14" s="5">
        <f>+E12+E13</f>
        <v>-1.777000000000017</v>
      </c>
      <c r="F14" s="5">
        <f>+F12+F13</f>
        <v>2.4819999999999842</v>
      </c>
      <c r="G14" s="5">
        <f>+G12+G13</f>
        <v>-6.8109999999999991</v>
      </c>
      <c r="H14" s="5">
        <f>+H12+H13</f>
        <v>11.561999999999996</v>
      </c>
      <c r="I14" s="5">
        <f>+I12+I13</f>
        <v>15.228999999999996</v>
      </c>
      <c r="J14" s="5">
        <f>+J12+J13</f>
        <v>-3.0609999999999982</v>
      </c>
      <c r="K14" s="5">
        <f>+K12+K13</f>
        <v>24.986999999999995</v>
      </c>
      <c r="L14" s="5">
        <f>+L12+L13</f>
        <v>26.015999999999948</v>
      </c>
      <c r="M14" s="5">
        <f t="shared" ref="M14:N14" si="2">+M12+M13</f>
        <v>15.00613999999997</v>
      </c>
      <c r="N14" s="5">
        <f t="shared" si="2"/>
        <v>13.005139999999992</v>
      </c>
      <c r="P14" s="2">
        <f>+P12+P13</f>
        <v>-119.559</v>
      </c>
      <c r="Q14" s="2">
        <f>+Q12+Q13</f>
        <v>-16.65399999999994</v>
      </c>
      <c r="R14" s="2">
        <f>+R12+R13</f>
        <v>16.918999999999926</v>
      </c>
      <c r="S14" s="2">
        <f>+S12+S13</f>
        <v>79.014279999999872</v>
      </c>
    </row>
    <row r="15" spans="1:19" x14ac:dyDescent="0.25">
      <c r="B15" s="2" t="s">
        <v>29</v>
      </c>
      <c r="E15" s="5">
        <v>-3.371</v>
      </c>
      <c r="F15" s="5">
        <v>5.2990000000000004</v>
      </c>
      <c r="G15" s="5">
        <v>2.58</v>
      </c>
      <c r="H15" s="5">
        <v>6.9589999999999996</v>
      </c>
      <c r="I15" s="5">
        <v>1.8280000000000001</v>
      </c>
      <c r="J15" s="5">
        <v>0.70799999999999996</v>
      </c>
      <c r="K15" s="5">
        <v>8.7720000000000002</v>
      </c>
      <c r="L15" s="5">
        <v>10.215999999999999</v>
      </c>
      <c r="M15" s="5">
        <f>+M14*0.1</f>
        <v>1.500613999999997</v>
      </c>
      <c r="N15" s="5">
        <f>+N14*0.1</f>
        <v>1.3005139999999993</v>
      </c>
      <c r="P15" s="2">
        <v>-1.6279999999999999</v>
      </c>
      <c r="Q15" s="2">
        <v>2.5990000000000002</v>
      </c>
      <c r="R15" s="2">
        <f>SUM(G15:J15)</f>
        <v>12.074999999999999</v>
      </c>
      <c r="S15" s="2">
        <f>SUM(K15:N15)</f>
        <v>21.789127999999998</v>
      </c>
    </row>
    <row r="16" spans="1:19" x14ac:dyDescent="0.25">
      <c r="B16" s="2" t="s">
        <v>30</v>
      </c>
      <c r="E16" s="5">
        <f>+E14-E15</f>
        <v>1.593999999999983</v>
      </c>
      <c r="F16" s="5">
        <f>+F14-F15</f>
        <v>-2.8170000000000162</v>
      </c>
      <c r="G16" s="5">
        <f>+G14-G15</f>
        <v>-9.3909999999999982</v>
      </c>
      <c r="H16" s="5">
        <f>+H14-H15</f>
        <v>4.6029999999999962</v>
      </c>
      <c r="I16" s="5">
        <f>+I14-I15</f>
        <v>13.400999999999996</v>
      </c>
      <c r="J16" s="5">
        <f>+J14-J15</f>
        <v>-3.7689999999999984</v>
      </c>
      <c r="K16" s="5">
        <f>+K14-K15</f>
        <v>16.214999999999996</v>
      </c>
      <c r="L16" s="5">
        <f>+L14-L15</f>
        <v>15.799999999999949</v>
      </c>
      <c r="M16" s="5">
        <f t="shared" ref="M16:N16" si="3">+M14-M15</f>
        <v>13.505525999999973</v>
      </c>
      <c r="N16" s="5">
        <f t="shared" si="3"/>
        <v>11.704625999999992</v>
      </c>
      <c r="P16" s="2">
        <f>+P14-P15</f>
        <v>-117.931</v>
      </c>
      <c r="Q16" s="2">
        <f>+Q14-Q15</f>
        <v>-19.25299999999994</v>
      </c>
      <c r="R16" s="2">
        <f>+R14-R15</f>
        <v>4.8439999999999266</v>
      </c>
      <c r="S16" s="2">
        <f>+S14-S15</f>
        <v>57.225151999999873</v>
      </c>
    </row>
    <row r="17" spans="2:19" x14ac:dyDescent="0.25">
      <c r="B17" s="2" t="s">
        <v>32</v>
      </c>
      <c r="E17" s="8">
        <f>+E16/E18</f>
        <v>2.9291778455657742E-2</v>
      </c>
      <c r="F17" s="8">
        <f>+F16/F18</f>
        <v>-5.0953225047932857E-2</v>
      </c>
      <c r="G17" s="8">
        <f>+G16/G18</f>
        <v>-0.1657313285331074</v>
      </c>
      <c r="H17" s="8">
        <f>+H16/H18</f>
        <v>8.0152538831232092E-2</v>
      </c>
      <c r="I17" s="8">
        <f>+I16/I18</f>
        <v>0.22255621616235421</v>
      </c>
      <c r="J17" s="8">
        <f>+J16/J18</f>
        <v>-5.1253807658833743E-2</v>
      </c>
      <c r="K17" s="8">
        <f>+K16/K18</f>
        <v>0.19440115094113411</v>
      </c>
      <c r="L17" s="8">
        <f>+L16/L18</f>
        <v>0.15436320293876227</v>
      </c>
      <c r="M17" s="8">
        <f t="shared" ref="M17:N17" si="4">+M16/M18</f>
        <v>0.13194659814764131</v>
      </c>
      <c r="N17" s="8">
        <f t="shared" si="4"/>
        <v>0.11435212395951379</v>
      </c>
      <c r="P17" s="8">
        <f>+P16/P18</f>
        <v>-2.5713195534624109</v>
      </c>
      <c r="Q17" s="8">
        <f>+Q16/Q18</f>
        <v>-0.37117078907289119</v>
      </c>
      <c r="R17" s="8">
        <f>+R16/R18</f>
        <v>7.8035892644262111E-2</v>
      </c>
      <c r="S17" s="8">
        <f>+S16/S18</f>
        <v>0.58620615758121974</v>
      </c>
    </row>
    <row r="18" spans="2:19" s="2" customFormat="1" x14ac:dyDescent="0.25">
      <c r="B18" s="2" t="s">
        <v>31</v>
      </c>
      <c r="C18" s="5"/>
      <c r="D18" s="5"/>
      <c r="E18" s="5">
        <v>54.417999999999999</v>
      </c>
      <c r="F18" s="5">
        <v>55.286000000000001</v>
      </c>
      <c r="G18" s="5">
        <v>56.664000000000001</v>
      </c>
      <c r="H18" s="5">
        <v>57.427999999999997</v>
      </c>
      <c r="I18" s="5">
        <v>60.213999999999999</v>
      </c>
      <c r="J18" s="5">
        <v>73.536000000000001</v>
      </c>
      <c r="K18" s="5">
        <v>83.41</v>
      </c>
      <c r="L18" s="5">
        <v>102.35599999999999</v>
      </c>
      <c r="M18" s="5">
        <f>+L18</f>
        <v>102.35599999999999</v>
      </c>
      <c r="N18" s="5">
        <f>+M18</f>
        <v>102.35599999999999</v>
      </c>
      <c r="P18" s="2">
        <v>45.863999999999997</v>
      </c>
      <c r="Q18" s="2">
        <v>51.871000000000002</v>
      </c>
      <c r="R18" s="2">
        <v>62.073999999999998</v>
      </c>
      <c r="S18" s="2">
        <f>AVERAGE(K18:N18)</f>
        <v>97.619499999999988</v>
      </c>
    </row>
    <row r="20" spans="2:19" x14ac:dyDescent="0.25">
      <c r="B20" t="s">
        <v>22</v>
      </c>
      <c r="I20" s="4">
        <f>+I8/E8-1</f>
        <v>0.33153618460794987</v>
      </c>
      <c r="J20" s="4">
        <f>+J8/F8-1</f>
        <v>0.25911300272015136</v>
      </c>
      <c r="K20" s="4">
        <f>+K8/G8-1</f>
        <v>0.39455154688822769</v>
      </c>
      <c r="L20" s="4">
        <f>+L8/H8-1</f>
        <v>0.3003013458513919</v>
      </c>
      <c r="M20" s="4">
        <f t="shared" ref="M20:N20" si="5">+M8/I8-1</f>
        <v>0.23217154933517814</v>
      </c>
      <c r="N20" s="4">
        <f t="shared" si="5"/>
        <v>0.28645577141777778</v>
      </c>
      <c r="Q20" s="9">
        <f>+Q8/P8-1</f>
        <v>0.4843294314246922</v>
      </c>
      <c r="R20" s="9">
        <f>+R8/Q8-1</f>
        <v>0.30684752074391208</v>
      </c>
      <c r="S20" s="9">
        <f>+S8/R8-1</f>
        <v>0.29725008697669009</v>
      </c>
    </row>
    <row r="21" spans="2:19" x14ac:dyDescent="0.25">
      <c r="B21" t="s">
        <v>38</v>
      </c>
      <c r="I21" s="4">
        <f>+I3/E3-1</f>
        <v>0.23845007451564837</v>
      </c>
      <c r="J21" s="4">
        <f>+J3/F3-1</f>
        <v>0.23845007451564837</v>
      </c>
      <c r="K21" s="4">
        <f>+K3/G3-1</f>
        <v>0.22346368715083798</v>
      </c>
      <c r="L21" s="4">
        <f>+L3/H3-1</f>
        <v>0.20954907161803704</v>
      </c>
      <c r="M21" s="4">
        <f>+M3/I3-1</f>
        <v>0.10348977135980753</v>
      </c>
      <c r="N21" s="4">
        <f>+N3/J3-1</f>
        <v>0.10950661853188937</v>
      </c>
    </row>
    <row r="22" spans="2:19" x14ac:dyDescent="0.25">
      <c r="B22" t="s">
        <v>39</v>
      </c>
      <c r="I22" s="4">
        <f>+I4/E4-1</f>
        <v>7.5163393347694729E-2</v>
      </c>
      <c r="J22" s="4">
        <f>+J4/F4-1</f>
        <v>1.6684506408208843E-2</v>
      </c>
      <c r="K22" s="4">
        <f>+K4/G4-1</f>
        <v>0.13983893558444183</v>
      </c>
      <c r="L22" s="4">
        <f>+L4/H4-1</f>
        <v>7.5029840758716659E-2</v>
      </c>
      <c r="M22" s="4">
        <f>+M4/I4-1</f>
        <v>0.11661347600603378</v>
      </c>
      <c r="N22" s="4">
        <f>+N4/J4-1</f>
        <v>0.15948454018240055</v>
      </c>
    </row>
    <row r="23" spans="2:19" x14ac:dyDescent="0.25">
      <c r="B23" t="s">
        <v>25</v>
      </c>
      <c r="E23" s="4">
        <f>+E10/E8</f>
        <v>0.25450042285852353</v>
      </c>
      <c r="F23" s="4">
        <f>+F10/F8</f>
        <v>0.269339582910116</v>
      </c>
      <c r="G23" s="4">
        <f>+G10/G8</f>
        <v>0.23188875990408939</v>
      </c>
      <c r="H23" s="4">
        <f>+H10/H8</f>
        <v>0.28510999323672659</v>
      </c>
      <c r="I23" s="4">
        <f>+I10/I8</f>
        <v>0.28424200493748747</v>
      </c>
      <c r="J23" s="4">
        <f>+J10/J8</f>
        <v>0.2326629230726853</v>
      </c>
      <c r="K23" s="4">
        <f>+K10/K8</f>
        <v>0.26089880370339402</v>
      </c>
      <c r="L23" s="4">
        <f>+L10/L8</f>
        <v>0.27785779796748705</v>
      </c>
      <c r="M23" s="4">
        <f>+M10/M8</f>
        <v>0.22999999999999995</v>
      </c>
      <c r="N23" s="4">
        <f>+N10/N8</f>
        <v>0.23</v>
      </c>
      <c r="P23" s="4">
        <f>+P10/P8</f>
        <v>0.30791401875165703</v>
      </c>
      <c r="Q23" s="4">
        <f>+Q10/Q8</f>
        <v>0.24480793275346008</v>
      </c>
      <c r="R23" s="4">
        <f>+R10/R8</f>
        <v>0.26020112324182826</v>
      </c>
      <c r="S23" s="4">
        <f>+S10/S8</f>
        <v>0.24919625845969154</v>
      </c>
    </row>
    <row r="25" spans="2:19" s="2" customFormat="1" x14ac:dyDescent="0.25">
      <c r="B25" s="2" t="s">
        <v>33</v>
      </c>
      <c r="C25" s="5"/>
      <c r="D25" s="5"/>
      <c r="E25" s="5"/>
      <c r="F25" s="5"/>
      <c r="G25" s="5">
        <v>3.077</v>
      </c>
      <c r="H25" s="5">
        <v>45.843000000000004</v>
      </c>
      <c r="I25" s="5"/>
      <c r="J25" s="5"/>
      <c r="K25" s="5">
        <v>41.192999999999998</v>
      </c>
      <c r="L25" s="5">
        <v>100.729</v>
      </c>
      <c r="M25" s="5"/>
      <c r="N25" s="5"/>
      <c r="P25" s="2">
        <v>80.375</v>
      </c>
      <c r="Q25" s="2">
        <v>59.883000000000003</v>
      </c>
      <c r="R25" s="2">
        <v>139.91499999999999</v>
      </c>
    </row>
    <row r="26" spans="2:19" s="2" customFormat="1" x14ac:dyDescent="0.25">
      <c r="B26" s="2" t="s">
        <v>35</v>
      </c>
      <c r="C26" s="5"/>
      <c r="D26" s="5"/>
      <c r="E26" s="5"/>
      <c r="F26" s="5"/>
      <c r="G26" s="5">
        <v>43.283000000000001</v>
      </c>
      <c r="H26" s="5">
        <v>102.307</v>
      </c>
      <c r="I26" s="5"/>
      <c r="J26" s="5"/>
      <c r="K26" s="5">
        <v>57.462000000000003</v>
      </c>
      <c r="L26" s="5">
        <v>121.91</v>
      </c>
      <c r="M26" s="5"/>
      <c r="N26" s="5"/>
      <c r="P26" s="2">
        <v>118.444</v>
      </c>
      <c r="Q26" s="2">
        <v>187.88</v>
      </c>
      <c r="R26" s="2">
        <v>228.45699999999999</v>
      </c>
    </row>
    <row r="27" spans="2:19" s="2" customFormat="1" x14ac:dyDescent="0.25">
      <c r="B27" s="2" t="s">
        <v>34</v>
      </c>
      <c r="C27" s="5"/>
      <c r="D27" s="5"/>
      <c r="E27" s="5"/>
      <c r="F27" s="5"/>
      <c r="G27" s="5">
        <f>+G25-G26</f>
        <v>-40.206000000000003</v>
      </c>
      <c r="H27" s="5">
        <f>+H25-H26</f>
        <v>-56.463999999999999</v>
      </c>
      <c r="I27" s="5"/>
      <c r="J27" s="5"/>
      <c r="K27" s="5">
        <f>+K25-K26</f>
        <v>-16.269000000000005</v>
      </c>
      <c r="L27" s="5">
        <f>+L25-L26</f>
        <v>-21.180999999999997</v>
      </c>
      <c r="M27" s="5"/>
      <c r="N27" s="5"/>
      <c r="P27" s="2">
        <f>+P25-P26</f>
        <v>-38.069000000000003</v>
      </c>
      <c r="Q27" s="2">
        <f>+Q25-Q26</f>
        <v>-127.99699999999999</v>
      </c>
      <c r="R27" s="2">
        <f>+R25-R26</f>
        <v>-88.542000000000002</v>
      </c>
    </row>
  </sheetData>
  <hyperlinks>
    <hyperlink ref="A1" location="Main!A1" display="Main" xr:uid="{41D1E94F-D9F3-4A44-AD31-71CC0D6DCCEE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2024-10-14T18:03:09Z</dcterms:created>
  <dcterms:modified xsi:type="dcterms:W3CDTF">2024-10-15T22:54:52Z</dcterms:modified>
</cp:coreProperties>
</file>