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9462812-AB94-4B2B-B8F9-9B27A227DDF8}" xr6:coauthVersionLast="47" xr6:coauthVersionMax="47" xr10:uidLastSave="{00000000-0000-0000-0000-000000000000}"/>
  <bookViews>
    <workbookView xWindow="-26820" yWindow="780" windowWidth="26220" windowHeight="14910" activeTab="1" xr2:uid="{FA5389C5-A966-484C-B9A8-032DB52A420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2" l="1"/>
  <c r="L24" i="2"/>
  <c r="M23" i="2"/>
  <c r="L23" i="2"/>
  <c r="M20" i="2"/>
  <c r="L20" i="2"/>
  <c r="M21" i="2"/>
  <c r="L21" i="2"/>
  <c r="M18" i="2"/>
  <c r="L18" i="2"/>
  <c r="M16" i="2"/>
  <c r="L16" i="2"/>
  <c r="M14" i="2"/>
  <c r="L14" i="2"/>
  <c r="M13" i="2"/>
  <c r="M15" i="2" s="1"/>
  <c r="L13" i="2"/>
  <c r="L15" i="2" s="1"/>
  <c r="L17" i="2" s="1"/>
  <c r="L19" i="2" s="1"/>
  <c r="K24" i="2"/>
  <c r="J24" i="2"/>
  <c r="I24" i="2"/>
  <c r="H24" i="2"/>
  <c r="G24" i="2"/>
  <c r="F24" i="2"/>
  <c r="E24" i="2"/>
  <c r="D24" i="2"/>
  <c r="C24" i="2"/>
  <c r="M7" i="2"/>
  <c r="L7" i="2"/>
  <c r="G23" i="2"/>
  <c r="C16" i="2"/>
  <c r="C12" i="2"/>
  <c r="C13" i="2" s="1"/>
  <c r="C15" i="2" s="1"/>
  <c r="H23" i="2"/>
  <c r="D16" i="2"/>
  <c r="D12" i="2"/>
  <c r="D13" i="2" s="1"/>
  <c r="D15" i="2" s="1"/>
  <c r="H16" i="2"/>
  <c r="H12" i="2"/>
  <c r="H13" i="2" s="1"/>
  <c r="H15" i="2" s="1"/>
  <c r="I23" i="2"/>
  <c r="E16" i="2"/>
  <c r="I16" i="2"/>
  <c r="I12" i="2"/>
  <c r="I13" i="2" s="1"/>
  <c r="I15" i="2" s="1"/>
  <c r="E12" i="2"/>
  <c r="E13" i="2" s="1"/>
  <c r="E15" i="2" s="1"/>
  <c r="R4" i="2"/>
  <c r="S4" i="2" s="1"/>
  <c r="T4" i="2" s="1"/>
  <c r="U4" i="2" s="1"/>
  <c r="V4" i="2" s="1"/>
  <c r="W4" i="2" s="1"/>
  <c r="X4" i="2" s="1"/>
  <c r="Y4" i="2" s="1"/>
  <c r="Z4" i="2" s="1"/>
  <c r="R14" i="2"/>
  <c r="S14" i="2" s="1"/>
  <c r="T14" i="2" s="1"/>
  <c r="U14" i="2" s="1"/>
  <c r="V14" i="2" s="1"/>
  <c r="W14" i="2" s="1"/>
  <c r="X14" i="2" s="1"/>
  <c r="Y14" i="2" s="1"/>
  <c r="Z14" i="2" s="1"/>
  <c r="P5" i="2"/>
  <c r="Q5" i="2"/>
  <c r="P30" i="2"/>
  <c r="O30" i="2"/>
  <c r="Q30" i="2"/>
  <c r="P23" i="2"/>
  <c r="O12" i="2"/>
  <c r="O13" i="2" s="1"/>
  <c r="P12" i="2"/>
  <c r="P13" i="2" s="1"/>
  <c r="P15" i="2" s="1"/>
  <c r="Q23" i="2"/>
  <c r="Q12" i="2"/>
  <c r="Q13" i="2" s="1"/>
  <c r="Q15" i="2" s="1"/>
  <c r="S3" i="2"/>
  <c r="T3" i="2" s="1"/>
  <c r="U3" i="2" s="1"/>
  <c r="V3" i="2" s="1"/>
  <c r="W3" i="2" s="1"/>
  <c r="X3" i="2" s="1"/>
  <c r="Y3" i="2" s="1"/>
  <c r="Z3" i="2" s="1"/>
  <c r="F30" i="2"/>
  <c r="J30" i="2"/>
  <c r="F16" i="2"/>
  <c r="F12" i="2"/>
  <c r="F13" i="2" s="1"/>
  <c r="F15" i="2" s="1"/>
  <c r="J23" i="2"/>
  <c r="J16" i="2"/>
  <c r="J12" i="2"/>
  <c r="J13" i="2" s="1"/>
  <c r="J15" i="2" s="1"/>
  <c r="K30" i="2"/>
  <c r="G30" i="2"/>
  <c r="K23" i="2"/>
  <c r="G16" i="2"/>
  <c r="K16" i="2"/>
  <c r="G12" i="2"/>
  <c r="G13" i="2" s="1"/>
  <c r="G15" i="2" s="1"/>
  <c r="K12" i="2"/>
  <c r="K13" i="2" s="1"/>
  <c r="K15" i="2" s="1"/>
  <c r="K4" i="1"/>
  <c r="K7" i="1" s="1"/>
  <c r="M17" i="2" l="1"/>
  <c r="M19" i="2" s="1"/>
  <c r="C17" i="2"/>
  <c r="C19" i="2" s="1"/>
  <c r="C20" i="2" s="1"/>
  <c r="D17" i="2"/>
  <c r="D19" i="2" s="1"/>
  <c r="D20" i="2" s="1"/>
  <c r="I17" i="2"/>
  <c r="I19" i="2" s="1"/>
  <c r="I20" i="2" s="1"/>
  <c r="H17" i="2"/>
  <c r="H19" i="2" s="1"/>
  <c r="H20" i="2" s="1"/>
  <c r="E17" i="2"/>
  <c r="E19" i="2" s="1"/>
  <c r="E20" i="2" s="1"/>
  <c r="Q24" i="2"/>
  <c r="P24" i="2"/>
  <c r="P17" i="2"/>
  <c r="P19" i="2" s="1"/>
  <c r="P25" i="2"/>
  <c r="Q25" i="2"/>
  <c r="Q17" i="2"/>
  <c r="Q19" i="2" s="1"/>
  <c r="O15" i="2"/>
  <c r="O24" i="2"/>
  <c r="S7" i="2"/>
  <c r="R7" i="2"/>
  <c r="F17" i="2"/>
  <c r="F19" i="2" s="1"/>
  <c r="F20" i="2" s="1"/>
  <c r="J17" i="2"/>
  <c r="J19" i="2" s="1"/>
  <c r="J20" i="2" s="1"/>
  <c r="K17" i="2"/>
  <c r="K19" i="2" s="1"/>
  <c r="K20" i="2" s="1"/>
  <c r="G17" i="2"/>
  <c r="G19" i="2" s="1"/>
  <c r="G20" i="2" s="1"/>
  <c r="O17" i="2" l="1"/>
  <c r="O19" i="2" s="1"/>
  <c r="O25" i="2"/>
  <c r="R13" i="2"/>
  <c r="R23" i="2"/>
  <c r="S13" i="2"/>
  <c r="S23" i="2"/>
  <c r="T7" i="2"/>
  <c r="U7" i="2" l="1"/>
  <c r="T13" i="2"/>
  <c r="T23" i="2"/>
  <c r="S24" i="2"/>
  <c r="S15" i="2"/>
  <c r="R15" i="2"/>
  <c r="R24" i="2"/>
  <c r="R25" i="2" l="1"/>
  <c r="R17" i="2"/>
  <c r="S25" i="2"/>
  <c r="S17" i="2"/>
  <c r="T15" i="2"/>
  <c r="T24" i="2"/>
  <c r="V7" i="2"/>
  <c r="U13" i="2"/>
  <c r="U23" i="2"/>
  <c r="W7" i="2" l="1"/>
  <c r="T25" i="2"/>
  <c r="T17" i="2"/>
  <c r="T18" i="2" s="1"/>
  <c r="T19" i="2" s="1"/>
  <c r="R18" i="2"/>
  <c r="R19" i="2" s="1"/>
  <c r="U24" i="2"/>
  <c r="U15" i="2"/>
  <c r="V13" i="2"/>
  <c r="V23" i="2"/>
  <c r="S18" i="2"/>
  <c r="S19" i="2" s="1"/>
  <c r="V15" i="2" l="1"/>
  <c r="V24" i="2"/>
  <c r="U25" i="2"/>
  <c r="U17" i="2"/>
  <c r="U18" i="2" s="1"/>
  <c r="U19" i="2" s="1"/>
  <c r="X7" i="2"/>
  <c r="W13" i="2"/>
  <c r="W23" i="2"/>
  <c r="W15" i="2" l="1"/>
  <c r="W24" i="2"/>
  <c r="X13" i="2"/>
  <c r="X23" i="2"/>
  <c r="Y7" i="2"/>
  <c r="Z7" i="2"/>
  <c r="V25" i="2"/>
  <c r="V17" i="2"/>
  <c r="V18" i="2" s="1"/>
  <c r="V19" i="2" s="1"/>
  <c r="Z13" i="2" l="1"/>
  <c r="Z23" i="2"/>
  <c r="Y13" i="2"/>
  <c r="Y23" i="2"/>
  <c r="X15" i="2"/>
  <c r="X24" i="2"/>
  <c r="W25" i="2"/>
  <c r="W17" i="2"/>
  <c r="W18" i="2" s="1"/>
  <c r="W19" i="2" s="1"/>
  <c r="X17" i="2" l="1"/>
  <c r="X25" i="2"/>
  <c r="Y15" i="2"/>
  <c r="Y24" i="2"/>
  <c r="Z15" i="2"/>
  <c r="Z24" i="2"/>
  <c r="Z17" i="2" l="1"/>
  <c r="Z25" i="2"/>
  <c r="Y25" i="2"/>
  <c r="Y17" i="2"/>
  <c r="Y18" i="2" s="1"/>
  <c r="Y19" i="2" s="1"/>
  <c r="X18" i="2"/>
  <c r="X19" i="2" s="1"/>
  <c r="Z18" i="2" l="1"/>
  <c r="Z19" i="2"/>
</calcChain>
</file>

<file path=xl/sharedStrings.xml><?xml version="1.0" encoding="utf-8"?>
<sst xmlns="http://schemas.openxmlformats.org/spreadsheetml/2006/main" count="44" uniqueCount="40">
  <si>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</si>
  <si>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</si>
  <si>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</si>
  <si>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</si>
  <si>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</si>
  <si>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</si>
  <si>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</si>
  <si>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</si>
  <si>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</si>
  <si>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</si>
  <si>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</si>
  <si>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</si>
  <si>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</si>
  <si>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</si>
  <si>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</si>
  <si>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</si>
  <si>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Food</t>
  </si>
  <si>
    <t>Labor</t>
  </si>
  <si>
    <t>Rent</t>
  </si>
  <si>
    <t>Other</t>
  </si>
  <si>
    <t>COGS</t>
  </si>
  <si>
    <t>Gross Profit</t>
  </si>
  <si>
    <t>G&amp;A</t>
  </si>
  <si>
    <t>Operating Income</t>
  </si>
  <si>
    <t>Pretax Income</t>
  </si>
  <si>
    <t>Taxes</t>
  </si>
  <si>
    <t>Net Income</t>
  </si>
  <si>
    <t>Interest</t>
  </si>
  <si>
    <t>Revenue y/y</t>
  </si>
  <si>
    <t>FCF</t>
  </si>
  <si>
    <t>CapEx</t>
  </si>
  <si>
    <t>CFFO</t>
  </si>
  <si>
    <t>Founded</t>
  </si>
  <si>
    <t>Stores</t>
  </si>
  <si>
    <t>Gross Margin</t>
  </si>
  <si>
    <t>Operating Margin</t>
  </si>
  <si>
    <t>Q422</t>
  </si>
  <si>
    <t>EPS</t>
  </si>
  <si>
    <t>Q322</t>
  </si>
  <si>
    <t>Q2222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</si>
</sst>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9" fontId="0" fillId="0" borderId="0" xfId="0" applyNumberFormat="1"/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363BB26-C4E3-4FB9-8926-E9BA68F75DE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13138</xdr:colOff>
      <xdr:row>0</xdr:row>
      <xdr:rowOff>32845</xdr:rowOff>
    </xdr:from>
    <xdr:to>
      <xdr:col>17</xdr:col>
      <xdr:colOff>13138</xdr:colOff>
      <xdr:row>49</xdr:row>
      <xdr:rowOff>65690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67BE514-264F-F736-095B-1A80CBA75E51}"/>
            </a:ext>
          </a:extLst>
        </xdr:cNvPr>
        <xdr:cNvCxnSpPr/>
      </xdr:nvCxnSpPr>
      <xdr:spPr>
        <a:xfrm>
          <a:off x="9216259" y="32845"/>
          <a:ext cx="0" cy="77513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45983</xdr:colOff>
      <xdr:row>0</xdr:row>
      <xdr:rowOff>59121</xdr:rowOff>
    </xdr:from>
    <xdr:to>
      <xdr:col>11</xdr:col>
      <xdr:colOff>45983</xdr:colOff>
      <xdr:row>38</xdr:row>
      <xdr:rowOff>85397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4F657C9-EC9F-D5E4-EE5F-2D4130BD17A0}"/>
            </a:ext>
          </a:extLst>
        </xdr:cNvPr>
        <xdr:cNvCxnSpPr/>
      </xdr:nvCxnSpPr>
      <xdr:spPr>
        <a:xfrm>
          <a:off x="6168259" y="59121"/>
          <a:ext cx="0" cy="626679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C1448-B432-421D-B3BF-39C2763C368B}">
  <dimension ref="J2:L10"/>
  <sheetViews>
    <sheetView zoomScale="145" zoomScaleNormal="145" workbookViewId="0">
      <selection activeCell="K3" sqref="K3"/>
    </sheetView>
  </sheetViews>
  <sheetFormatPr defaultRowHeight="12.75" x14ac:dyDescent="0.2"/>
  <sheetData>
    <row r="2" spans="10:12" x14ac:dyDescent="0.2">
      <c r="J2" t="s">
        <v>0</v>
      </c>
      <c r="K2" s="1">
        <v>145</v>
      </c>
    </row>
    <row r="3" spans="10:12" x14ac:dyDescent="0.2">
      <c r="J3" t="s">
        <v>1</v>
      </c>
      <c r="K3" s="3">
        <v>114.320581</v>
      </c>
      <c r="L3" s="2" t="s">
        <v>6</v>
      </c>
    </row>
    <row r="4" spans="10:12" x14ac:dyDescent="0.2">
      <c r="J4" t="s">
        <v>2</v>
      </c>
      <c r="K4" s="3">
        <f>+K2*K3</f>
        <v>16576.484245</v>
      </c>
      <c r="L4" s="2"/>
    </row>
    <row r="5" spans="10:12" x14ac:dyDescent="0.2">
      <c r="J5" t="s">
        <v>3</v>
      </c>
      <c r="K5" s="3">
        <v>343.74799999999999</v>
      </c>
      <c r="L5" s="2" t="s">
        <v>6</v>
      </c>
    </row>
    <row r="6" spans="10:12" x14ac:dyDescent="0.2">
      <c r="J6" t="s">
        <v>4</v>
      </c>
      <c r="K6" s="3">
        <v>0</v>
      </c>
      <c r="L6" s="2" t="s">
        <v>6</v>
      </c>
    </row>
    <row r="7" spans="10:12" x14ac:dyDescent="0.2">
      <c r="J7" t="s">
        <v>5</v>
      </c>
      <c r="K7" s="3">
        <f>+K4-K5+K6</f>
        <v>16232.736245</v>
      </c>
    </row>
    <row r="10" spans="10:12" x14ac:dyDescent="0.2">
      <c r="J10" t="s">
        <v>32</v>
      </c>
      <c r="K10">
        <v>2011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82FB-43F2-43B6-AB4A-E916E9DA41F1}">
  <dimension ref="A1:Z30"/>
  <sheetViews>
    <sheetView tabSelected="1" zoomScale="145" zoomScaleNormal="145" workbookViewId="0">
      <pane xSplit="2" ySplit="3" topLeftCell="K4" activePane="bottomRight" state="frozen"/>
      <selection pane="topRight" activeCell="C1" sqref="C1"/>
      <selection pane="bottomLeft" activeCell="A3" sqref="A3"/>
      <selection pane="bottomRight" activeCell="Y7" sqref="Y7"/>
    </sheetView>
  </sheetViews>
  <sheetFormatPr defaultRowHeight="12.75" x14ac:dyDescent="0.2"/>
  <cols>
    <col min="1" max="1" width="5" bestFit="1" customWidth="1"/>
    <col min="2" max="2" width="15.7109375" bestFit="1" customWidth="1"/>
    <col min="3" max="13" width="10.140625" style="2" customWidth="1"/>
    <col min="17" max="17" width="8.5703125" customWidth="1"/>
  </cols>
  <sheetData>
    <row r="1" spans="1:26" x14ac:dyDescent="0.2">
      <c r="A1" t="s">
        <v>7</v>
      </c>
    </row>
    <row r="2" spans="1:26" s="8" customFormat="1" x14ac:dyDescent="0.2">
      <c r="C2" s="10">
        <v>44752</v>
      </c>
      <c r="D2" s="10">
        <v>44836</v>
      </c>
      <c r="E2" s="10">
        <v>44920</v>
      </c>
      <c r="F2" s="10">
        <v>45032</v>
      </c>
      <c r="G2" s="10">
        <v>45116</v>
      </c>
      <c r="H2" s="10">
        <v>45200</v>
      </c>
      <c r="I2" s="10">
        <v>45291</v>
      </c>
      <c r="J2" s="10">
        <v>45403</v>
      </c>
      <c r="K2" s="10">
        <v>45487</v>
      </c>
      <c r="L2" s="10"/>
      <c r="M2" s="10"/>
      <c r="O2" s="8">
        <v>44561</v>
      </c>
      <c r="P2" s="8">
        <v>44926</v>
      </c>
      <c r="Q2" s="8">
        <v>45291</v>
      </c>
    </row>
    <row r="3" spans="1:26" x14ac:dyDescent="0.2">
      <c r="C3" s="2" t="s">
        <v>39</v>
      </c>
      <c r="D3" s="2" t="s">
        <v>38</v>
      </c>
      <c r="E3" s="2" t="s">
        <v>36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6</v>
      </c>
      <c r="L3" s="2" t="s">
        <v>14</v>
      </c>
      <c r="M3" s="2" t="s">
        <v>15</v>
      </c>
      <c r="O3">
        <v>2021</v>
      </c>
      <c r="P3">
        <v>2022</v>
      </c>
      <c r="Q3">
        <v>2023</v>
      </c>
      <c r="R3">
        <v>2024</v>
      </c>
      <c r="S3">
        <f t="shared" ref="S3:Z3" si="0">+R3+1</f>
        <v>2025</v>
      </c>
      <c r="T3">
        <f t="shared" si="0"/>
        <v>2026</v>
      </c>
      <c r="U3">
        <f t="shared" si="0"/>
        <v>2027</v>
      </c>
      <c r="V3">
        <f t="shared" si="0"/>
        <v>2028</v>
      </c>
      <c r="W3">
        <f t="shared" si="0"/>
        <v>2029</v>
      </c>
      <c r="X3">
        <f t="shared" si="0"/>
        <v>2030</v>
      </c>
      <c r="Y3">
        <f t="shared" si="0"/>
        <v>2031</v>
      </c>
      <c r="Z3">
        <f t="shared" si="0"/>
        <v>2032</v>
      </c>
    </row>
    <row r="4" spans="1:26" s="3" customFormat="1" x14ac:dyDescent="0.2">
      <c r="B4" s="3" t="s">
        <v>33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P4" s="3">
        <v>237</v>
      </c>
      <c r="Q4" s="3">
        <v>309</v>
      </c>
      <c r="R4" s="3">
        <f>+Q4+100</f>
        <v>409</v>
      </c>
      <c r="S4" s="3">
        <f>+R4+150</f>
        <v>559</v>
      </c>
      <c r="T4" s="3">
        <f t="shared" ref="T4:Z4" si="1">+S4+200</f>
        <v>759</v>
      </c>
      <c r="U4" s="3">
        <f t="shared" si="1"/>
        <v>959</v>
      </c>
      <c r="V4" s="3">
        <f t="shared" si="1"/>
        <v>1159</v>
      </c>
      <c r="W4" s="3">
        <f t="shared" si="1"/>
        <v>1359</v>
      </c>
      <c r="X4" s="3">
        <f t="shared" si="1"/>
        <v>1559</v>
      </c>
      <c r="Y4" s="3">
        <f t="shared" si="1"/>
        <v>1759</v>
      </c>
      <c r="Z4" s="3">
        <f t="shared" si="1"/>
        <v>1959</v>
      </c>
    </row>
    <row r="5" spans="1:26" x14ac:dyDescent="0.2">
      <c r="P5" s="1">
        <f>+P7/P4</f>
        <v>2.3802489451476796</v>
      </c>
      <c r="Q5" s="1">
        <f>+Q7/Q4</f>
        <v>2.3582524271844663</v>
      </c>
    </row>
    <row r="7" spans="1:26" s="5" customFormat="1" x14ac:dyDescent="0.2">
      <c r="B7" s="5" t="s">
        <v>8</v>
      </c>
      <c r="C7" s="6">
        <v>135.91499999999999</v>
      </c>
      <c r="D7" s="6">
        <v>139.25800000000001</v>
      </c>
      <c r="E7" s="6">
        <v>129.935</v>
      </c>
      <c r="F7" s="6">
        <v>203.083</v>
      </c>
      <c r="G7" s="6">
        <v>172.89400000000001</v>
      </c>
      <c r="H7" s="6">
        <v>175.553</v>
      </c>
      <c r="I7" s="6">
        <v>177.17</v>
      </c>
      <c r="J7" s="6">
        <v>259.00599999999997</v>
      </c>
      <c r="K7" s="6">
        <v>233.495</v>
      </c>
      <c r="L7" s="6">
        <f>+H7*1.3</f>
        <v>228.21889999999999</v>
      </c>
      <c r="M7" s="6">
        <f>+I7*1.3</f>
        <v>230.321</v>
      </c>
      <c r="O7" s="5">
        <v>500.072</v>
      </c>
      <c r="P7" s="5">
        <v>564.11900000000003</v>
      </c>
      <c r="Q7" s="5">
        <v>728.7</v>
      </c>
      <c r="R7" s="5">
        <f>+R4*2.36</f>
        <v>965.2399999999999</v>
      </c>
      <c r="S7" s="5">
        <f t="shared" ref="S7:Z7" si="2">+S4*2.36</f>
        <v>1319.24</v>
      </c>
      <c r="T7" s="5">
        <f t="shared" si="2"/>
        <v>1791.24</v>
      </c>
      <c r="U7" s="5">
        <f t="shared" si="2"/>
        <v>2263.2399999999998</v>
      </c>
      <c r="V7" s="5">
        <f t="shared" si="2"/>
        <v>2735.24</v>
      </c>
      <c r="W7" s="5">
        <f t="shared" si="2"/>
        <v>3207.24</v>
      </c>
      <c r="X7" s="5">
        <f t="shared" si="2"/>
        <v>3679.24</v>
      </c>
      <c r="Y7" s="5">
        <f t="shared" si="2"/>
        <v>4151.24</v>
      </c>
      <c r="Z7" s="5">
        <f t="shared" si="2"/>
        <v>4623.24</v>
      </c>
    </row>
    <row r="8" spans="1:26" s="3" customFormat="1" x14ac:dyDescent="0.2">
      <c r="B8" s="3" t="s">
        <v>16</v>
      </c>
      <c r="C8" s="4">
        <v>43.741</v>
      </c>
      <c r="D8" s="4">
        <v>44.616999999999997</v>
      </c>
      <c r="E8" s="4">
        <v>40.725999999999999</v>
      </c>
      <c r="F8" s="4">
        <v>59.118000000000002</v>
      </c>
      <c r="G8" s="4">
        <v>51</v>
      </c>
      <c r="H8" s="4">
        <v>51.817999999999998</v>
      </c>
      <c r="I8" s="4">
        <v>51.521999999999998</v>
      </c>
      <c r="J8" s="4">
        <v>73.947000000000003</v>
      </c>
      <c r="K8" s="4">
        <v>68.838999999999999</v>
      </c>
      <c r="L8" s="4"/>
      <c r="M8" s="4"/>
      <c r="O8" s="3">
        <v>154.77199999999999</v>
      </c>
      <c r="P8" s="3">
        <v>179.988</v>
      </c>
      <c r="Q8" s="3">
        <v>213.458</v>
      </c>
    </row>
    <row r="9" spans="1:26" s="3" customFormat="1" x14ac:dyDescent="0.2">
      <c r="B9" s="3" t="s">
        <v>17</v>
      </c>
      <c r="C9" s="4">
        <v>37.731000000000002</v>
      </c>
      <c r="D9" s="4">
        <v>37.192999999999998</v>
      </c>
      <c r="E9" s="4">
        <v>35.945</v>
      </c>
      <c r="F9" s="4">
        <v>52.154000000000003</v>
      </c>
      <c r="G9" s="4">
        <v>42.417000000000002</v>
      </c>
      <c r="H9" s="4">
        <v>43.912999999999997</v>
      </c>
      <c r="I9" s="4">
        <v>48.841999999999999</v>
      </c>
      <c r="J9" s="4">
        <v>66.513000000000005</v>
      </c>
      <c r="K9" s="4">
        <v>58.387999999999998</v>
      </c>
      <c r="L9" s="4"/>
      <c r="M9" s="4"/>
      <c r="O9" s="3">
        <v>143.39500000000001</v>
      </c>
      <c r="P9" s="3">
        <v>157.89099999999999</v>
      </c>
      <c r="Q9" s="3">
        <v>187.32599999999999</v>
      </c>
    </row>
    <row r="10" spans="1:26" s="3" customFormat="1" x14ac:dyDescent="0.2">
      <c r="B10" s="3" t="s">
        <v>18</v>
      </c>
      <c r="C10" s="4">
        <v>12.214</v>
      </c>
      <c r="D10" s="4">
        <v>12.302</v>
      </c>
      <c r="E10" s="4">
        <v>12.413</v>
      </c>
      <c r="F10" s="4">
        <v>16.599</v>
      </c>
      <c r="G10" s="4">
        <v>13.4</v>
      </c>
      <c r="H10" s="4">
        <v>13.782</v>
      </c>
      <c r="I10" s="4">
        <v>14.538</v>
      </c>
      <c r="J10" s="4">
        <v>20.422000000000001</v>
      </c>
      <c r="K10" s="4">
        <v>15.917</v>
      </c>
      <c r="L10" s="4"/>
      <c r="M10" s="4"/>
      <c r="O10" s="3">
        <v>49.298999999999999</v>
      </c>
      <c r="P10" s="3">
        <v>53.668999999999997</v>
      </c>
      <c r="Q10" s="3">
        <v>58.319000000000003</v>
      </c>
    </row>
    <row r="11" spans="1:26" s="3" customFormat="1" x14ac:dyDescent="0.2">
      <c r="B11" s="3" t="s">
        <v>19</v>
      </c>
      <c r="C11" s="4">
        <v>16.623999999999999</v>
      </c>
      <c r="D11" s="4">
        <v>18.738</v>
      </c>
      <c r="E11" s="4">
        <v>17.024000000000001</v>
      </c>
      <c r="F11" s="4">
        <v>24.648</v>
      </c>
      <c r="G11" s="4">
        <v>20.646000000000001</v>
      </c>
      <c r="H11" s="4">
        <v>21.553000000000001</v>
      </c>
      <c r="I11" s="4">
        <v>22.404</v>
      </c>
      <c r="J11" s="4">
        <v>32.758000000000003</v>
      </c>
      <c r="K11" s="4">
        <v>27.991</v>
      </c>
      <c r="L11" s="4"/>
      <c r="M11" s="4"/>
      <c r="O11" s="3">
        <v>70.453000000000003</v>
      </c>
      <c r="P11" s="3">
        <v>74.587000000000003</v>
      </c>
      <c r="Q11" s="3">
        <v>89.251000000000005</v>
      </c>
    </row>
    <row r="12" spans="1:26" s="3" customFormat="1" x14ac:dyDescent="0.2">
      <c r="B12" s="3" t="s">
        <v>20</v>
      </c>
      <c r="C12" s="4">
        <f>SUM(C8:C11)</f>
        <v>110.31</v>
      </c>
      <c r="D12" s="4">
        <f>SUM(D8:D11)</f>
        <v>112.85</v>
      </c>
      <c r="E12" s="4">
        <f>SUM(E8:E11)</f>
        <v>106.10799999999999</v>
      </c>
      <c r="F12" s="4">
        <f>SUM(F8:F11)</f>
        <v>152.51900000000001</v>
      </c>
      <c r="G12" s="4">
        <f>SUM(G8:G11)</f>
        <v>127.46300000000001</v>
      </c>
      <c r="H12" s="4">
        <f>SUM(H8:H11)</f>
        <v>131.066</v>
      </c>
      <c r="I12" s="4">
        <f>SUM(I8:I11)</f>
        <v>137.30600000000001</v>
      </c>
      <c r="J12" s="4">
        <f>SUM(J8:J11)</f>
        <v>193.64000000000001</v>
      </c>
      <c r="K12" s="4">
        <f>SUM(K8:K11)</f>
        <v>171.13499999999999</v>
      </c>
      <c r="L12" s="4"/>
      <c r="M12" s="4"/>
      <c r="O12" s="4">
        <f>SUM(O8:O11)</f>
        <v>417.91899999999998</v>
      </c>
      <c r="P12" s="4">
        <f>SUM(P8:P11)</f>
        <v>466.13499999999999</v>
      </c>
      <c r="Q12" s="4">
        <f>SUM(Q8:Q11)</f>
        <v>548.35400000000004</v>
      </c>
    </row>
    <row r="13" spans="1:26" s="3" customFormat="1" x14ac:dyDescent="0.2">
      <c r="B13" s="3" t="s">
        <v>21</v>
      </c>
      <c r="C13" s="4">
        <f>+C7-C12</f>
        <v>25.60499999999999</v>
      </c>
      <c r="D13" s="4">
        <f>+D7-D12</f>
        <v>26.408000000000015</v>
      </c>
      <c r="E13" s="4">
        <f>+E7-E12</f>
        <v>23.827000000000012</v>
      </c>
      <c r="F13" s="4">
        <f>+F7-F12</f>
        <v>50.563999999999993</v>
      </c>
      <c r="G13" s="4">
        <f>+G7-G12</f>
        <v>45.430999999999997</v>
      </c>
      <c r="H13" s="4">
        <f>+H7-H12</f>
        <v>44.486999999999995</v>
      </c>
      <c r="I13" s="4">
        <f>+I7-I12</f>
        <v>39.863999999999976</v>
      </c>
      <c r="J13" s="4">
        <f>+J7-J12</f>
        <v>65.365999999999957</v>
      </c>
      <c r="K13" s="4">
        <f>+K7-K12</f>
        <v>62.360000000000014</v>
      </c>
      <c r="L13" s="4">
        <f>+L7*0.28</f>
        <v>63.901292000000005</v>
      </c>
      <c r="M13" s="4">
        <f>+M7*0.28</f>
        <v>64.489879999999999</v>
      </c>
      <c r="O13" s="4">
        <f>+O7-O12</f>
        <v>82.15300000000002</v>
      </c>
      <c r="P13" s="4">
        <f>+P7-P12</f>
        <v>97.984000000000037</v>
      </c>
      <c r="Q13" s="4">
        <f>+Q7-Q12</f>
        <v>180.346</v>
      </c>
      <c r="R13" s="3">
        <f>+R7*0.26</f>
        <v>250.96239999999997</v>
      </c>
      <c r="S13" s="3">
        <f>+S7*0.28</f>
        <v>369.38720000000006</v>
      </c>
      <c r="T13" s="3">
        <f>+T7*0.3</f>
        <v>537.37199999999996</v>
      </c>
      <c r="U13" s="3">
        <f>+U7*0.32</f>
        <v>724.2367999999999</v>
      </c>
      <c r="V13" s="3">
        <f>+V7*0.34</f>
        <v>929.98159999999996</v>
      </c>
      <c r="W13" s="3">
        <f>+W7*0.36</f>
        <v>1154.6063999999999</v>
      </c>
      <c r="X13" s="3">
        <f>+X7*0.38</f>
        <v>1398.1111999999998</v>
      </c>
      <c r="Y13" s="3">
        <f>+Y7*0.4</f>
        <v>1660.4960000000001</v>
      </c>
      <c r="Z13" s="3">
        <f>+Z7*0.42</f>
        <v>1941.7607999999998</v>
      </c>
    </row>
    <row r="14" spans="1:26" s="3" customFormat="1" x14ac:dyDescent="0.2">
      <c r="B14" s="3" t="s">
        <v>22</v>
      </c>
      <c r="C14" s="4">
        <v>16.283999999999999</v>
      </c>
      <c r="D14" s="4">
        <v>16.547000000000001</v>
      </c>
      <c r="E14" s="4">
        <v>16.268999999999998</v>
      </c>
      <c r="F14" s="4">
        <v>29.024000000000001</v>
      </c>
      <c r="G14" s="4">
        <v>23.321000000000002</v>
      </c>
      <c r="H14" s="4">
        <v>24.472000000000001</v>
      </c>
      <c r="I14" s="4">
        <v>24.673999999999999</v>
      </c>
      <c r="J14" s="4">
        <v>33.840000000000003</v>
      </c>
      <c r="K14" s="4">
        <v>28.280999999999999</v>
      </c>
      <c r="L14" s="4">
        <f>+H14</f>
        <v>24.472000000000001</v>
      </c>
      <c r="M14" s="4">
        <f>+I14</f>
        <v>24.673999999999999</v>
      </c>
      <c r="O14" s="3">
        <v>64.792000000000002</v>
      </c>
      <c r="P14" s="3">
        <v>70.037000000000006</v>
      </c>
      <c r="Q14" s="3">
        <v>101.491</v>
      </c>
      <c r="R14" s="3">
        <f>+Q14*1.05</f>
        <v>106.56555</v>
      </c>
      <c r="S14" s="3">
        <f t="shared" ref="S14:Z14" si="3">+R14*1.05</f>
        <v>111.8938275</v>
      </c>
      <c r="T14" s="3">
        <f t="shared" si="3"/>
        <v>117.48851887500001</v>
      </c>
      <c r="U14" s="3">
        <f t="shared" si="3"/>
        <v>123.36294481875002</v>
      </c>
      <c r="V14" s="3">
        <f t="shared" si="3"/>
        <v>129.53109205968752</v>
      </c>
      <c r="W14" s="3">
        <f t="shared" si="3"/>
        <v>136.0076466626719</v>
      </c>
      <c r="X14" s="3">
        <f t="shared" si="3"/>
        <v>142.8080289958055</v>
      </c>
      <c r="Y14" s="3">
        <f t="shared" si="3"/>
        <v>149.94843044559579</v>
      </c>
      <c r="Z14" s="3">
        <f t="shared" si="3"/>
        <v>157.4458519678756</v>
      </c>
    </row>
    <row r="15" spans="1:26" s="3" customFormat="1" x14ac:dyDescent="0.2">
      <c r="B15" s="3" t="s">
        <v>23</v>
      </c>
      <c r="C15" s="4">
        <f>+C13-C14</f>
        <v>9.3209999999999908</v>
      </c>
      <c r="D15" s="4">
        <f>+D13-D14</f>
        <v>9.8610000000000149</v>
      </c>
      <c r="E15" s="4">
        <f>+E13-E14</f>
        <v>7.558000000000014</v>
      </c>
      <c r="F15" s="4">
        <f>+F13-F14</f>
        <v>21.539999999999992</v>
      </c>
      <c r="G15" s="4">
        <f>+G13-G14</f>
        <v>22.109999999999996</v>
      </c>
      <c r="H15" s="4">
        <f>+H13-H14</f>
        <v>20.014999999999993</v>
      </c>
      <c r="I15" s="4">
        <f>+I13-I14</f>
        <v>15.189999999999976</v>
      </c>
      <c r="J15" s="4">
        <f>+J13-J14</f>
        <v>31.525999999999954</v>
      </c>
      <c r="K15" s="4">
        <f>+K13-K14</f>
        <v>34.079000000000015</v>
      </c>
      <c r="L15" s="4">
        <f>+L13-L14</f>
        <v>39.429292000000004</v>
      </c>
      <c r="M15" s="4">
        <f>+M13-M14</f>
        <v>39.81588</v>
      </c>
      <c r="O15" s="4">
        <f>+O13-O14</f>
        <v>17.361000000000018</v>
      </c>
      <c r="P15" s="4">
        <f>+P13-P14</f>
        <v>27.947000000000031</v>
      </c>
      <c r="Q15" s="4">
        <f>+Q13-Q14</f>
        <v>78.855000000000004</v>
      </c>
      <c r="R15" s="4">
        <f t="shared" ref="R15:Z15" si="4">+R13-R14</f>
        <v>144.39684999999997</v>
      </c>
      <c r="S15" s="4">
        <f t="shared" si="4"/>
        <v>257.49337250000008</v>
      </c>
      <c r="T15" s="4">
        <f t="shared" si="4"/>
        <v>419.88348112499995</v>
      </c>
      <c r="U15" s="4">
        <f t="shared" si="4"/>
        <v>600.87385518124984</v>
      </c>
      <c r="V15" s="4">
        <f t="shared" si="4"/>
        <v>800.45050794031249</v>
      </c>
      <c r="W15" s="4">
        <f t="shared" si="4"/>
        <v>1018.5987533373279</v>
      </c>
      <c r="X15" s="4">
        <f t="shared" si="4"/>
        <v>1255.3031710041944</v>
      </c>
      <c r="Y15" s="4">
        <f t="shared" si="4"/>
        <v>1510.5475695544044</v>
      </c>
      <c r="Z15" s="4">
        <f t="shared" si="4"/>
        <v>1784.3149480321242</v>
      </c>
    </row>
    <row r="16" spans="1:26" s="3" customFormat="1" x14ac:dyDescent="0.2">
      <c r="B16" s="3" t="s">
        <v>27</v>
      </c>
      <c r="C16" s="4">
        <f>-0.034+0.198</f>
        <v>0.16400000000000001</v>
      </c>
      <c r="D16" s="4">
        <f>0.115+0.188</f>
        <v>0.30299999999999999</v>
      </c>
      <c r="E16" s="4">
        <f>0.215+0.275</f>
        <v>0.49</v>
      </c>
      <c r="F16" s="4">
        <f>0.174-0.025</f>
        <v>0.14899999999999999</v>
      </c>
      <c r="G16" s="4">
        <f>0.699+0.118</f>
        <v>0.81699999999999995</v>
      </c>
      <c r="H16" s="4">
        <f>3.956+0.12</f>
        <v>4.0759999999999996</v>
      </c>
      <c r="I16" s="4">
        <f>4.222+0.059</f>
        <v>4.2810000000000006</v>
      </c>
      <c r="J16" s="4">
        <f>4.914+0.078</f>
        <v>4.992</v>
      </c>
      <c r="K16" s="4">
        <f>3.824+0.06</f>
        <v>3.8839999999999999</v>
      </c>
      <c r="L16" s="4">
        <f>+K16</f>
        <v>3.8839999999999999</v>
      </c>
      <c r="M16" s="4">
        <f>+L16</f>
        <v>3.8839999999999999</v>
      </c>
      <c r="O16" s="3">
        <v>-4.8099999999999996</v>
      </c>
      <c r="P16" s="3">
        <v>-4.7E-2</v>
      </c>
      <c r="Q16" s="3">
        <v>8.8520000000000003</v>
      </c>
    </row>
    <row r="17" spans="2:26" s="3" customFormat="1" x14ac:dyDescent="0.2">
      <c r="B17" s="3" t="s">
        <v>24</v>
      </c>
      <c r="C17" s="4">
        <f t="shared" ref="C17:D17" si="5">+C15+C16</f>
        <v>9.4849999999999905</v>
      </c>
      <c r="D17" s="4">
        <f t="shared" si="5"/>
        <v>10.164000000000016</v>
      </c>
      <c r="E17" s="4">
        <f t="shared" ref="E17:I17" si="6">+E15+E16</f>
        <v>8.0480000000000143</v>
      </c>
      <c r="F17" s="4">
        <f t="shared" si="6"/>
        <v>21.688999999999993</v>
      </c>
      <c r="G17" s="4">
        <f t="shared" si="6"/>
        <v>22.926999999999996</v>
      </c>
      <c r="H17" s="4">
        <f t="shared" si="6"/>
        <v>24.090999999999994</v>
      </c>
      <c r="I17" s="4">
        <f t="shared" si="6"/>
        <v>19.470999999999975</v>
      </c>
      <c r="J17" s="4">
        <f>+J15+J16</f>
        <v>36.517999999999951</v>
      </c>
      <c r="K17" s="4">
        <f>+K15+K16</f>
        <v>37.963000000000015</v>
      </c>
      <c r="L17" s="4">
        <f>+L15+L16</f>
        <v>43.313292000000004</v>
      </c>
      <c r="M17" s="4">
        <f>+M15+M16</f>
        <v>43.69988</v>
      </c>
      <c r="O17" s="4">
        <f>+O15+O16</f>
        <v>12.55100000000002</v>
      </c>
      <c r="P17" s="4">
        <f>+P15+P16</f>
        <v>27.900000000000031</v>
      </c>
      <c r="Q17" s="4">
        <f>+Q15+Q16</f>
        <v>87.707000000000008</v>
      </c>
      <c r="R17" s="4">
        <f t="shared" ref="R17:Z17" si="7">+R15+R16</f>
        <v>144.39684999999997</v>
      </c>
      <c r="S17" s="4">
        <f t="shared" si="7"/>
        <v>257.49337250000008</v>
      </c>
      <c r="T17" s="4">
        <f t="shared" si="7"/>
        <v>419.88348112499995</v>
      </c>
      <c r="U17" s="4">
        <f t="shared" si="7"/>
        <v>600.87385518124984</v>
      </c>
      <c r="V17" s="4">
        <f t="shared" si="7"/>
        <v>800.45050794031249</v>
      </c>
      <c r="W17" s="4">
        <f t="shared" si="7"/>
        <v>1018.5987533373279</v>
      </c>
      <c r="X17" s="4">
        <f t="shared" si="7"/>
        <v>1255.3031710041944</v>
      </c>
      <c r="Y17" s="4">
        <f t="shared" si="7"/>
        <v>1510.5475695544044</v>
      </c>
      <c r="Z17" s="4">
        <f t="shared" si="7"/>
        <v>1784.3149480321242</v>
      </c>
    </row>
    <row r="18" spans="2:26" s="3" customFormat="1" x14ac:dyDescent="0.2">
      <c r="B18" s="3" t="s">
        <v>25</v>
      </c>
      <c r="C18" s="4">
        <v>5.6000000000000001E-2</v>
      </c>
      <c r="D18" s="4">
        <v>2.9000000000000001E-2</v>
      </c>
      <c r="E18" s="4">
        <v>2.5999999999999999E-2</v>
      </c>
      <c r="F18" s="4">
        <v>3.7999999999999999E-2</v>
      </c>
      <c r="G18" s="4">
        <v>0.04</v>
      </c>
      <c r="H18" s="4">
        <v>3.7999999999999999E-2</v>
      </c>
      <c r="I18" s="4">
        <v>0.65200000000000002</v>
      </c>
      <c r="J18" s="4">
        <v>0.252</v>
      </c>
      <c r="K18" s="4">
        <v>0.28699999999999998</v>
      </c>
      <c r="L18" s="4">
        <f>+L17*0.1</f>
        <v>4.3313292000000008</v>
      </c>
      <c r="M18" s="4">
        <f>+M17*0.1</f>
        <v>4.3699880000000002</v>
      </c>
      <c r="O18" s="3">
        <v>0.11700000000000001</v>
      </c>
      <c r="P18" s="3">
        <v>9.2999999999999999E-2</v>
      </c>
      <c r="Q18" s="3">
        <v>0.76800000000000002</v>
      </c>
      <c r="R18" s="3">
        <f>+R17*0.1</f>
        <v>14.439684999999997</v>
      </c>
      <c r="S18" s="3">
        <f>+S17*0.1</f>
        <v>25.749337250000011</v>
      </c>
      <c r="T18" s="3">
        <f>+T17*0.1</f>
        <v>41.988348112499999</v>
      </c>
      <c r="U18" s="3">
        <f>+U17*0.1</f>
        <v>60.087385518124989</v>
      </c>
      <c r="V18" s="3">
        <f>+V17*0.15</f>
        <v>120.06757619104687</v>
      </c>
      <c r="W18" s="3">
        <f>+W17*0.15</f>
        <v>152.7898130005992</v>
      </c>
      <c r="X18" s="3">
        <f>+X17*0.15</f>
        <v>188.29547565062916</v>
      </c>
      <c r="Y18" s="3">
        <f>+Y17*0.2</f>
        <v>302.10951391088088</v>
      </c>
      <c r="Z18" s="3">
        <f>+Z17*0.2</f>
        <v>356.86298960642489</v>
      </c>
    </row>
    <row r="19" spans="2:26" s="3" customFormat="1" x14ac:dyDescent="0.2">
      <c r="B19" s="3" t="s">
        <v>26</v>
      </c>
      <c r="C19" s="4">
        <f t="shared" ref="C19:D19" si="8">+C17-C18</f>
        <v>9.4289999999999914</v>
      </c>
      <c r="D19" s="4">
        <f t="shared" si="8"/>
        <v>10.135000000000016</v>
      </c>
      <c r="E19" s="4">
        <f t="shared" ref="E19:I19" si="9">+E17-E18</f>
        <v>8.0220000000000145</v>
      </c>
      <c r="F19" s="4">
        <f t="shared" si="9"/>
        <v>21.650999999999993</v>
      </c>
      <c r="G19" s="4">
        <f t="shared" si="9"/>
        <v>22.886999999999997</v>
      </c>
      <c r="H19" s="4">
        <f t="shared" si="9"/>
        <v>24.052999999999994</v>
      </c>
      <c r="I19" s="4">
        <f t="shared" si="9"/>
        <v>18.818999999999974</v>
      </c>
      <c r="J19" s="4">
        <f>+J17-J18</f>
        <v>36.265999999999948</v>
      </c>
      <c r="K19" s="4">
        <f>+K17-K18</f>
        <v>37.676000000000016</v>
      </c>
      <c r="L19" s="4">
        <f>+L17-L18</f>
        <v>38.981962800000005</v>
      </c>
      <c r="M19" s="4">
        <f>+M17-M18</f>
        <v>39.329892000000001</v>
      </c>
      <c r="O19" s="4">
        <f>+O17-O18</f>
        <v>12.434000000000019</v>
      </c>
      <c r="P19" s="4">
        <f>+P17-P18</f>
        <v>27.807000000000031</v>
      </c>
      <c r="Q19" s="4">
        <f>+Q17-Q18</f>
        <v>86.939000000000007</v>
      </c>
      <c r="R19" s="4">
        <f t="shared" ref="R19:Z19" si="10">+R17-R18</f>
        <v>129.95716499999997</v>
      </c>
      <c r="S19" s="4">
        <f t="shared" si="10"/>
        <v>231.74403525000008</v>
      </c>
      <c r="T19" s="4">
        <f t="shared" si="10"/>
        <v>377.89513301249997</v>
      </c>
      <c r="U19" s="4">
        <f t="shared" si="10"/>
        <v>540.78646966312488</v>
      </c>
      <c r="V19" s="4">
        <f t="shared" si="10"/>
        <v>680.38293174926559</v>
      </c>
      <c r="W19" s="4">
        <f t="shared" si="10"/>
        <v>865.80894033672871</v>
      </c>
      <c r="X19" s="4">
        <f t="shared" si="10"/>
        <v>1067.0076953535652</v>
      </c>
      <c r="Y19" s="4">
        <f t="shared" si="10"/>
        <v>1208.4380556435235</v>
      </c>
      <c r="Z19" s="4">
        <f t="shared" si="10"/>
        <v>1427.4519584256993</v>
      </c>
    </row>
    <row r="20" spans="2:26" s="3" customFormat="1" x14ac:dyDescent="0.2">
      <c r="B20" s="3" t="s">
        <v>37</v>
      </c>
      <c r="C20" s="11">
        <f>+C19/C21</f>
        <v>7.1323751891074059</v>
      </c>
      <c r="D20" s="11">
        <f>+D19/D21</f>
        <v>7.6375282592313614</v>
      </c>
      <c r="E20" s="11">
        <f>+E19/E21</f>
        <v>5.8384279475982632</v>
      </c>
      <c r="F20" s="11">
        <f>+F19/F21</f>
        <v>13.145719489981781</v>
      </c>
      <c r="G20" s="11">
        <f>+G19/G21</f>
        <v>0.73170497778061949</v>
      </c>
      <c r="H20" s="11">
        <f>+H19/H21</f>
        <v>0.20433596968898929</v>
      </c>
      <c r="I20" s="11">
        <f>+I19/I21</f>
        <v>0.16050319829424284</v>
      </c>
      <c r="J20" s="11">
        <f>+J19/J21</f>
        <v>0.30750576583909872</v>
      </c>
      <c r="K20" s="11">
        <f>+K19/K21</f>
        <v>0.31850267560507578</v>
      </c>
      <c r="L20" s="11">
        <f>+L19/L21</f>
        <v>0.32954293056952777</v>
      </c>
      <c r="M20" s="11">
        <f>+M19/M21</f>
        <v>0.33248422956945162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2:26" s="3" customFormat="1" x14ac:dyDescent="0.2">
      <c r="B21" s="3" t="s">
        <v>1</v>
      </c>
      <c r="C21" s="4">
        <v>1.3220000000000001</v>
      </c>
      <c r="D21" s="4">
        <v>1.327</v>
      </c>
      <c r="E21" s="4">
        <v>1.3740000000000001</v>
      </c>
      <c r="F21" s="4">
        <v>1.647</v>
      </c>
      <c r="G21" s="4">
        <v>31.279</v>
      </c>
      <c r="H21" s="4">
        <v>117.71299999999999</v>
      </c>
      <c r="I21" s="4">
        <v>117.25</v>
      </c>
      <c r="J21" s="4">
        <v>117.93600000000001</v>
      </c>
      <c r="K21" s="4">
        <v>118.291</v>
      </c>
      <c r="L21" s="4">
        <f>+K21</f>
        <v>118.291</v>
      </c>
      <c r="M21" s="4">
        <f>+L21</f>
        <v>118.291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3" spans="2:26" x14ac:dyDescent="0.2">
      <c r="B23" s="3" t="s">
        <v>28</v>
      </c>
      <c r="G23" s="7">
        <f>+G7/C7-1</f>
        <v>0.2720744583011443</v>
      </c>
      <c r="H23" s="7">
        <f>+H7/D7-1</f>
        <v>0.26063134613451289</v>
      </c>
      <c r="I23" s="7">
        <f>+I7/E7-1</f>
        <v>0.36352791780505633</v>
      </c>
      <c r="J23" s="7">
        <f>+J7/F7-1</f>
        <v>0.27537016884721988</v>
      </c>
      <c r="K23" s="7">
        <f>+K7/G7-1</f>
        <v>0.35050956077133955</v>
      </c>
      <c r="L23" s="7">
        <f>+L7/H7-1</f>
        <v>0.30000000000000004</v>
      </c>
      <c r="M23" s="7">
        <f>+M7/I7-1</f>
        <v>0.30000000000000004</v>
      </c>
      <c r="P23" s="9">
        <f>+P7/O7-1</f>
        <v>0.1280755571197747</v>
      </c>
      <c r="Q23" s="9">
        <f>+Q7/P7-1</f>
        <v>0.29174872677573349</v>
      </c>
      <c r="R23" s="9">
        <f t="shared" ref="R23:Z23" si="11">+R7/Q7-1</f>
        <v>0.32460546178125416</v>
      </c>
      <c r="S23" s="9">
        <f t="shared" si="11"/>
        <v>0.36674816625916895</v>
      </c>
      <c r="T23" s="9">
        <f t="shared" si="11"/>
        <v>0.35778175313059024</v>
      </c>
      <c r="U23" s="9">
        <f t="shared" si="11"/>
        <v>0.26350461133069825</v>
      </c>
      <c r="V23" s="9">
        <f t="shared" si="11"/>
        <v>0.20855057351407713</v>
      </c>
      <c r="W23" s="9">
        <f t="shared" si="11"/>
        <v>0.17256255392579822</v>
      </c>
      <c r="X23" s="9">
        <f t="shared" si="11"/>
        <v>0.14716703458425306</v>
      </c>
      <c r="Y23" s="9">
        <f t="shared" si="11"/>
        <v>0.12828736369467597</v>
      </c>
      <c r="Z23" s="9">
        <f t="shared" si="11"/>
        <v>0.11370096645821492</v>
      </c>
    </row>
    <row r="24" spans="2:26" x14ac:dyDescent="0.2">
      <c r="B24" s="3" t="s">
        <v>34</v>
      </c>
      <c r="C24" s="9">
        <f t="shared" ref="C24:M24" si="12">+C13/C7</f>
        <v>0.18838980245006062</v>
      </c>
      <c r="D24" s="9">
        <f t="shared" si="12"/>
        <v>0.18963362966580027</v>
      </c>
      <c r="E24" s="9">
        <f t="shared" si="12"/>
        <v>0.18337630353638368</v>
      </c>
      <c r="F24" s="9">
        <f t="shared" si="12"/>
        <v>0.24898194334336204</v>
      </c>
      <c r="G24" s="9">
        <f t="shared" si="12"/>
        <v>0.26276793873702958</v>
      </c>
      <c r="H24" s="9">
        <f t="shared" si="12"/>
        <v>0.25341065091453863</v>
      </c>
      <c r="I24" s="9">
        <f t="shared" si="12"/>
        <v>0.22500423322232871</v>
      </c>
      <c r="J24" s="9">
        <f t="shared" si="12"/>
        <v>0.25237253191045755</v>
      </c>
      <c r="K24" s="9">
        <f t="shared" si="12"/>
        <v>0.2670721000449689</v>
      </c>
      <c r="L24" s="9">
        <f t="shared" si="12"/>
        <v>0.28000000000000003</v>
      </c>
      <c r="M24" s="9">
        <f t="shared" si="12"/>
        <v>0.28000000000000003</v>
      </c>
      <c r="O24" s="9">
        <f>+O13/O7</f>
        <v>0.1642823433425587</v>
      </c>
      <c r="P24" s="9">
        <f>+P13/P7</f>
        <v>0.17369384828378415</v>
      </c>
      <c r="Q24" s="9">
        <f>+Q13/Q7</f>
        <v>0.24749005077535335</v>
      </c>
      <c r="R24" s="9">
        <f t="shared" ref="R24:Z24" si="13">+R13/R7</f>
        <v>0.26</v>
      </c>
      <c r="S24" s="9">
        <f t="shared" si="13"/>
        <v>0.28000000000000003</v>
      </c>
      <c r="T24" s="9">
        <f t="shared" si="13"/>
        <v>0.3</v>
      </c>
      <c r="U24" s="9">
        <f t="shared" si="13"/>
        <v>0.32</v>
      </c>
      <c r="V24" s="9">
        <f t="shared" si="13"/>
        <v>0.34</v>
      </c>
      <c r="W24" s="9">
        <f t="shared" si="13"/>
        <v>0.36</v>
      </c>
      <c r="X24" s="9">
        <f t="shared" si="13"/>
        <v>0.37999999999999995</v>
      </c>
      <c r="Y24" s="9">
        <f t="shared" si="13"/>
        <v>0.4</v>
      </c>
      <c r="Z24" s="9">
        <f t="shared" si="13"/>
        <v>0.42</v>
      </c>
    </row>
    <row r="25" spans="2:26" x14ac:dyDescent="0.2">
      <c r="B25" s="3" t="s">
        <v>35</v>
      </c>
      <c r="O25" s="9">
        <f>+O15/O7</f>
        <v>3.4717000751891762E-2</v>
      </c>
      <c r="P25" s="9">
        <f>+P15/P7</f>
        <v>4.9540965647319149E-2</v>
      </c>
      <c r="Q25" s="9">
        <f>+Q15/Q7</f>
        <v>0.10821325648414985</v>
      </c>
      <c r="R25" s="9">
        <f t="shared" ref="R25:Z25" si="14">+R15/R7</f>
        <v>0.14959683602005719</v>
      </c>
      <c r="S25" s="9">
        <f t="shared" si="14"/>
        <v>0.19518311489948764</v>
      </c>
      <c r="T25" s="9">
        <f t="shared" si="14"/>
        <v>0.23440939300428751</v>
      </c>
      <c r="U25" s="9">
        <f t="shared" si="14"/>
        <v>0.26549276929589877</v>
      </c>
      <c r="V25" s="9">
        <f t="shared" si="14"/>
        <v>0.29264361004530226</v>
      </c>
      <c r="W25" s="9">
        <f t="shared" si="14"/>
        <v>0.31759355499972813</v>
      </c>
      <c r="X25" s="9">
        <f t="shared" si="14"/>
        <v>0.34118545433410008</v>
      </c>
      <c r="Y25" s="9">
        <f t="shared" si="14"/>
        <v>0.36387864097339701</v>
      </c>
      <c r="Z25" s="9">
        <f t="shared" si="14"/>
        <v>0.38594469420409155</v>
      </c>
    </row>
    <row r="28" spans="2:26" s="3" customFormat="1" x14ac:dyDescent="0.2">
      <c r="B28" s="3" t="s">
        <v>31</v>
      </c>
      <c r="C28" s="4"/>
      <c r="D28" s="4"/>
      <c r="E28" s="4"/>
      <c r="F28" s="4">
        <v>25.678999999999998</v>
      </c>
      <c r="G28" s="4">
        <v>47.11</v>
      </c>
      <c r="H28" s="4"/>
      <c r="I28" s="4"/>
      <c r="J28" s="4">
        <v>38.386000000000003</v>
      </c>
      <c r="K28" s="4">
        <v>87.295000000000002</v>
      </c>
      <c r="L28" s="4"/>
      <c r="M28" s="4"/>
      <c r="O28" s="3">
        <v>3.3929999999999998</v>
      </c>
      <c r="P28" s="3">
        <v>6.0380000000000003</v>
      </c>
      <c r="Q28" s="3">
        <v>97.100999999999999</v>
      </c>
    </row>
    <row r="29" spans="2:26" s="3" customFormat="1" x14ac:dyDescent="0.2">
      <c r="B29" s="3" t="s">
        <v>30</v>
      </c>
      <c r="C29" s="4"/>
      <c r="D29" s="4"/>
      <c r="E29" s="4"/>
      <c r="F29" s="4">
        <v>39.097000000000001</v>
      </c>
      <c r="G29" s="4">
        <v>72.477999999999994</v>
      </c>
      <c r="H29" s="4"/>
      <c r="I29" s="4"/>
      <c r="J29" s="4">
        <v>33.686999999999998</v>
      </c>
      <c r="K29" s="4">
        <v>59.881999999999998</v>
      </c>
      <c r="L29" s="4"/>
      <c r="M29" s="4"/>
      <c r="O29" s="3">
        <v>56.308999999999997</v>
      </c>
      <c r="P29" s="3">
        <v>104.161</v>
      </c>
      <c r="Q29" s="3">
        <v>168.80600000000001</v>
      </c>
    </row>
    <row r="30" spans="2:26" s="3" customFormat="1" x14ac:dyDescent="0.2">
      <c r="B30" s="3" t="s">
        <v>29</v>
      </c>
      <c r="C30" s="4"/>
      <c r="D30" s="4"/>
      <c r="E30" s="4"/>
      <c r="F30" s="4">
        <f>+F28-F29</f>
        <v>-13.418000000000003</v>
      </c>
      <c r="G30" s="4">
        <f>+G28-G29</f>
        <v>-25.367999999999995</v>
      </c>
      <c r="H30" s="4"/>
      <c r="I30" s="4"/>
      <c r="J30" s="4">
        <f>+J28-J29</f>
        <v>4.6990000000000052</v>
      </c>
      <c r="K30" s="4">
        <f>+K28-K29</f>
        <v>27.413000000000004</v>
      </c>
      <c r="L30" s="4"/>
      <c r="M30" s="4"/>
      <c r="O30" s="3">
        <f t="shared" ref="O30:P30" si="15">+O28-O29</f>
        <v>-52.915999999999997</v>
      </c>
      <c r="P30" s="3">
        <f t="shared" si="15"/>
        <v>-98.123000000000005</v>
      </c>
      <c r="Q30" s="3">
        <f>+Q28-Q29</f>
        <v>-71.705000000000013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2024-10-13T15:03:28Z</dcterms:created>
  <dcterms:modified xsi:type="dcterms:W3CDTF">2024-11-12T20:01:57Z</dcterms:modified>
</cp:coreProperties>
</file>