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3543EC9-F9B0-4DA7-A572-843E0AF8D489}" xr6:coauthVersionLast="47" xr6:coauthVersionMax="47" xr10:uidLastSave="{00000000-0000-0000-0000-000000000000}"/>
  <bookViews>
    <workbookView xWindow="15360" yWindow="3580" windowWidth="22530" windowHeight="16580" activeTab="1" xr2:uid="{BB21EEDD-BBCA-4CB8-AABB-39B8E3791B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L32" i="2"/>
  <c r="M25" i="2"/>
  <c r="N25" i="2"/>
  <c r="L27" i="2"/>
  <c r="M27" i="2"/>
  <c r="M18" i="2"/>
  <c r="L18" i="2"/>
  <c r="M15" i="2"/>
  <c r="M17" i="2" s="1"/>
  <c r="M19" i="2" s="1"/>
  <c r="M21" i="2" s="1"/>
  <c r="M22" i="2" s="1"/>
  <c r="L15" i="2"/>
  <c r="L17" i="2" s="1"/>
  <c r="N32" i="2"/>
  <c r="N18" i="2"/>
  <c r="N15" i="2"/>
  <c r="N17" i="2" s="1"/>
  <c r="Q32" i="2"/>
  <c r="P32" i="2"/>
  <c r="O32" i="2"/>
  <c r="O18" i="2"/>
  <c r="P18" i="2"/>
  <c r="Q18" i="2"/>
  <c r="F14" i="2"/>
  <c r="Q9" i="2"/>
  <c r="Q13" i="2" s="1"/>
  <c r="F13" i="2" s="1"/>
  <c r="F15" i="2" s="1"/>
  <c r="F17" i="2" s="1"/>
  <c r="F19" i="2" s="1"/>
  <c r="F21" i="2" s="1"/>
  <c r="F22" i="2" s="1"/>
  <c r="P9" i="2"/>
  <c r="P13" i="2" s="1"/>
  <c r="P15" i="2" s="1"/>
  <c r="P27" i="2" s="1"/>
  <c r="O9" i="2"/>
  <c r="O13" i="2" s="1"/>
  <c r="D31" i="2"/>
  <c r="E31" i="2" s="1"/>
  <c r="D30" i="2"/>
  <c r="E30" i="2" s="1"/>
  <c r="H31" i="2"/>
  <c r="I31" i="2" s="1"/>
  <c r="H30" i="2"/>
  <c r="I30" i="2" s="1"/>
  <c r="G32" i="2"/>
  <c r="C32" i="2"/>
  <c r="C18" i="2"/>
  <c r="C15" i="2"/>
  <c r="C17" i="2" s="1"/>
  <c r="G18" i="2"/>
  <c r="G25" i="2"/>
  <c r="G15" i="2"/>
  <c r="G27" i="2" s="1"/>
  <c r="D18" i="2"/>
  <c r="D15" i="2"/>
  <c r="D17" i="2" s="1"/>
  <c r="H25" i="2"/>
  <c r="H18" i="2"/>
  <c r="H15" i="2"/>
  <c r="H17" i="2" s="1"/>
  <c r="E18" i="2"/>
  <c r="I25" i="2"/>
  <c r="I18" i="2"/>
  <c r="E15" i="2"/>
  <c r="E17" i="2" s="1"/>
  <c r="I15" i="2"/>
  <c r="I17" i="2" s="1"/>
  <c r="P7" i="1"/>
  <c r="P6" i="1"/>
  <c r="P5" i="1"/>
  <c r="P4" i="1"/>
  <c r="L19" i="2" l="1"/>
  <c r="L21" i="2" s="1"/>
  <c r="L22" i="2" s="1"/>
  <c r="Q15" i="2"/>
  <c r="Q17" i="2" s="1"/>
  <c r="Q19" i="2" s="1"/>
  <c r="Q21" i="2" s="1"/>
  <c r="Q22" i="2" s="1"/>
  <c r="Q25" i="2"/>
  <c r="O25" i="2"/>
  <c r="P25" i="2"/>
  <c r="O15" i="2"/>
  <c r="P17" i="2"/>
  <c r="Q27" i="2"/>
  <c r="P19" i="2"/>
  <c r="P21" i="2" s="1"/>
  <c r="P22" i="2" s="1"/>
  <c r="N27" i="2"/>
  <c r="N19" i="2"/>
  <c r="N21" i="2" s="1"/>
  <c r="N22" i="2" s="1"/>
  <c r="D19" i="2"/>
  <c r="D21" i="2" s="1"/>
  <c r="D22" i="2" s="1"/>
  <c r="I19" i="2"/>
  <c r="I21" i="2" s="1"/>
  <c r="I22" i="2" s="1"/>
  <c r="E32" i="2"/>
  <c r="H32" i="2"/>
  <c r="I32" i="2"/>
  <c r="H27" i="2"/>
  <c r="D32" i="2"/>
  <c r="E19" i="2"/>
  <c r="E21" i="2" s="1"/>
  <c r="E22" i="2" s="1"/>
  <c r="C19" i="2"/>
  <c r="C21" i="2" s="1"/>
  <c r="C22" i="2" s="1"/>
  <c r="G17" i="2"/>
  <c r="G19" i="2" s="1"/>
  <c r="G21" i="2" s="1"/>
  <c r="G22" i="2" s="1"/>
  <c r="H19" i="2"/>
  <c r="H21" i="2" s="1"/>
  <c r="H22" i="2" s="1"/>
  <c r="I27" i="2"/>
  <c r="O17" i="2" l="1"/>
  <c r="O19" i="2" s="1"/>
  <c r="O21" i="2" s="1"/>
  <c r="O22" i="2" s="1"/>
  <c r="O27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<sst xmlns="http://schemas.openxmlformats.org/spreadsheetml/2006/main" count="44" uniqueCount="40">
  <si>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</si>
  <si>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</si>
  <si>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</si>
  <si>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</si>
  <si>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</si>
  <si>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</si>
  <si>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</si>
  <si>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</si>
  <si>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</si>
  <si>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</si>
  <si>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</si>
  <si>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</si>
  <si>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</si>
  <si>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</si>
  <si>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</si>
  <si>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</si>
  <si>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Gross Margin</t>
  </si>
  <si>
    <t>COGS</t>
  </si>
  <si>
    <t>Gross Profit</t>
  </si>
  <si>
    <t>SG&amp;A</t>
  </si>
  <si>
    <t>Operating Income</t>
  </si>
  <si>
    <t>EPS</t>
  </si>
  <si>
    <t>Net Income</t>
  </si>
  <si>
    <t>Taxes</t>
  </si>
  <si>
    <t>Pretax Income</t>
  </si>
  <si>
    <t>Interest</t>
  </si>
  <si>
    <t>Revenue y/y</t>
  </si>
  <si>
    <t>CFFO</t>
  </si>
  <si>
    <t>CX</t>
  </si>
  <si>
    <t>FCF</t>
  </si>
  <si>
    <t>Notebooks/Mobile Devices</t>
  </si>
  <si>
    <t>Netcomm Products</t>
  </si>
  <si>
    <t>Collaboration</t>
  </si>
  <si>
    <t>Data Storage/Servers</t>
  </si>
  <si>
    <t>Desktops</t>
  </si>
  <si>
    <t>Other Hardware</t>
  </si>
  <si>
    <t>Hardware</t>
  </si>
  <si>
    <t>Software</t>
  </si>
  <si>
    <t>Services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</si>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</sst>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43E5-B0B6-4346-B66E-97A11EECC947}">
  <dimension ref="O2:Q7"/>
  <sheetViews>
    <sheetView zoomScale="115" zoomScaleNormal="115" workbookViewId="0"/>
  </sheetViews>
  <sheetFormatPr defaultRowHeight="14.5" x14ac:dyDescent="0.35"/>
  <sheetData>
    <row r="2" spans="15:17" x14ac:dyDescent="0.35">
      <c r="O2" t="s">
        <v>0</v>
      </c>
      <c r="P2" s="1">
        <v>192</v>
      </c>
    </row>
    <row r="3" spans="15:17" x14ac:dyDescent="0.35">
      <c r="O3" t="s">
        <v>1</v>
      </c>
      <c r="P3" s="2">
        <v>133.264062</v>
      </c>
      <c r="Q3" s="3" t="s">
        <v>6</v>
      </c>
    </row>
    <row r="4" spans="15:17" x14ac:dyDescent="0.35">
      <c r="O4" t="s">
        <v>2</v>
      </c>
      <c r="P4" s="2">
        <f>+P2*P3</f>
        <v>25586.699904000001</v>
      </c>
    </row>
    <row r="5" spans="15:17" x14ac:dyDescent="0.35">
      <c r="O5" t="s">
        <v>3</v>
      </c>
      <c r="P5" s="2">
        <f>946.7+211.7</f>
        <v>1158.4000000000001</v>
      </c>
      <c r="Q5" s="3" t="s">
        <v>6</v>
      </c>
    </row>
    <row r="6" spans="15:17" x14ac:dyDescent="0.35">
      <c r="O6" t="s">
        <v>4</v>
      </c>
      <c r="P6" s="2">
        <f>5607.5+423.2</f>
        <v>6030.7</v>
      </c>
      <c r="Q6" s="3" t="s">
        <v>6</v>
      </c>
    </row>
    <row r="7" spans="15:17" x14ac:dyDescent="0.35">
      <c r="O7" t="s">
        <v>5</v>
      </c>
      <c r="P7" s="2">
        <f>+P4-P5+P6</f>
        <v>30458.999904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A58B-A633-4A91-AF90-4D3D4658CF1F}">
  <dimension ref="A1:Q32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1" max="1" width="4.6328125" style="4" bestFit="1" customWidth="1"/>
    <col min="2" max="2" width="15.26953125" style="4" bestFit="1" customWidth="1"/>
    <col min="3" max="10" width="8.7265625" style="5"/>
    <col min="11" max="16384" width="8.7265625" style="4"/>
  </cols>
  <sheetData>
    <row r="1" spans="1:17" x14ac:dyDescent="0.25">
      <c r="A1" s="4" t="s">
        <v>7</v>
      </c>
    </row>
    <row r="2" spans="1:17" x14ac:dyDescent="0.25"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6</v>
      </c>
      <c r="J2" s="5" t="s">
        <v>15</v>
      </c>
      <c r="L2" s="4">
        <v>2018</v>
      </c>
      <c r="M2" s="4">
        <v>2019</v>
      </c>
      <c r="N2" s="4">
        <v>2020</v>
      </c>
      <c r="O2" s="4">
        <v>2021</v>
      </c>
      <c r="P2" s="4">
        <v>2022</v>
      </c>
      <c r="Q2" s="4">
        <v>2023</v>
      </c>
    </row>
    <row r="3" spans="1:17" s="7" customFormat="1" x14ac:dyDescent="0.25">
      <c r="B3" s="7" t="s">
        <v>30</v>
      </c>
      <c r="C3" s="8"/>
      <c r="D3" s="8"/>
      <c r="E3" s="8"/>
      <c r="F3" s="8"/>
      <c r="G3" s="8"/>
      <c r="H3" s="8"/>
      <c r="I3" s="8"/>
      <c r="J3" s="8"/>
      <c r="O3" s="7">
        <v>6659.4</v>
      </c>
      <c r="P3" s="7">
        <v>6179.7</v>
      </c>
      <c r="Q3" s="7">
        <v>4690.5</v>
      </c>
    </row>
    <row r="4" spans="1:17" s="7" customFormat="1" x14ac:dyDescent="0.25">
      <c r="B4" s="7" t="s">
        <v>31</v>
      </c>
      <c r="C4" s="8"/>
      <c r="D4" s="8"/>
      <c r="E4" s="8"/>
      <c r="F4" s="8"/>
      <c r="G4" s="8"/>
      <c r="H4" s="8"/>
      <c r="I4" s="8"/>
      <c r="J4" s="8"/>
      <c r="O4" s="7">
        <v>1950.9</v>
      </c>
      <c r="P4" s="7">
        <v>2729.7</v>
      </c>
      <c r="Q4" s="7">
        <v>3185.4</v>
      </c>
    </row>
    <row r="5" spans="1:17" s="7" customFormat="1" x14ac:dyDescent="0.25">
      <c r="B5" s="7" t="s">
        <v>32</v>
      </c>
      <c r="C5" s="8"/>
      <c r="D5" s="8"/>
      <c r="E5" s="8"/>
      <c r="F5" s="8"/>
      <c r="G5" s="8"/>
      <c r="H5" s="8"/>
      <c r="I5" s="8"/>
      <c r="J5" s="8"/>
      <c r="O5" s="7">
        <v>2218.8000000000002</v>
      </c>
      <c r="P5" s="7">
        <v>2394.8000000000002</v>
      </c>
      <c r="Q5" s="7">
        <v>1909.7</v>
      </c>
    </row>
    <row r="6" spans="1:17" s="7" customFormat="1" x14ac:dyDescent="0.25">
      <c r="B6" s="7" t="s">
        <v>33</v>
      </c>
      <c r="C6" s="8"/>
      <c r="D6" s="8"/>
      <c r="E6" s="8"/>
      <c r="F6" s="8"/>
      <c r="G6" s="8"/>
      <c r="H6" s="8"/>
      <c r="I6" s="8"/>
      <c r="J6" s="8"/>
      <c r="O6" s="7">
        <v>2044.9</v>
      </c>
      <c r="P6" s="7">
        <v>2479</v>
      </c>
      <c r="Q6" s="7">
        <v>2240.6999999999998</v>
      </c>
    </row>
    <row r="7" spans="1:17" s="7" customFormat="1" x14ac:dyDescent="0.25">
      <c r="B7" s="7" t="s">
        <v>34</v>
      </c>
      <c r="C7" s="8"/>
      <c r="D7" s="8"/>
      <c r="E7" s="8"/>
      <c r="F7" s="8"/>
      <c r="G7" s="8"/>
      <c r="H7" s="8"/>
      <c r="I7" s="8"/>
      <c r="J7" s="8"/>
      <c r="O7" s="7">
        <v>1203.5999999999999</v>
      </c>
      <c r="P7" s="7">
        <v>1284.9000000000001</v>
      </c>
      <c r="Q7" s="7">
        <v>1069.0999999999999</v>
      </c>
    </row>
    <row r="8" spans="1:17" s="7" customFormat="1" x14ac:dyDescent="0.25">
      <c r="B8" s="7" t="s">
        <v>35</v>
      </c>
      <c r="C8" s="8"/>
      <c r="D8" s="8"/>
      <c r="E8" s="8"/>
      <c r="F8" s="8"/>
      <c r="G8" s="8"/>
      <c r="H8" s="8"/>
      <c r="I8" s="8"/>
      <c r="J8" s="8"/>
      <c r="O8" s="7">
        <v>2692</v>
      </c>
      <c r="P8" s="7">
        <v>3022.9</v>
      </c>
      <c r="Q8" s="7">
        <v>2607.1999999999998</v>
      </c>
    </row>
    <row r="9" spans="1:17" s="7" customFormat="1" x14ac:dyDescent="0.25">
      <c r="B9" s="7" t="s">
        <v>36</v>
      </c>
      <c r="C9" s="8"/>
      <c r="D9" s="8"/>
      <c r="E9" s="8"/>
      <c r="F9" s="8"/>
      <c r="G9" s="8"/>
      <c r="H9" s="8"/>
      <c r="I9" s="8"/>
      <c r="J9" s="8"/>
      <c r="O9" s="7">
        <f>SUM(O3:O8)</f>
        <v>16769.599999999999</v>
      </c>
      <c r="P9" s="7">
        <f>SUM(P3:P8)</f>
        <v>18091</v>
      </c>
      <c r="Q9" s="7">
        <f>SUM(Q3:Q8)</f>
        <v>15702.599999999999</v>
      </c>
    </row>
    <row r="10" spans="1:17" s="7" customFormat="1" x14ac:dyDescent="0.25">
      <c r="B10" s="7" t="s">
        <v>37</v>
      </c>
      <c r="C10" s="8"/>
      <c r="D10" s="8"/>
      <c r="E10" s="8"/>
      <c r="F10" s="8"/>
      <c r="G10" s="8"/>
      <c r="H10" s="8"/>
      <c r="I10" s="8"/>
      <c r="J10" s="8"/>
      <c r="O10" s="7">
        <v>2802.4</v>
      </c>
      <c r="P10" s="7">
        <v>3684.9</v>
      </c>
      <c r="Q10" s="7">
        <v>3799.3</v>
      </c>
    </row>
    <row r="11" spans="1:17" s="7" customFormat="1" x14ac:dyDescent="0.25">
      <c r="B11" s="7" t="s">
        <v>38</v>
      </c>
      <c r="C11" s="8"/>
      <c r="D11" s="8"/>
      <c r="E11" s="8"/>
      <c r="F11" s="8"/>
      <c r="G11" s="8"/>
      <c r="H11" s="8"/>
      <c r="I11" s="8"/>
      <c r="J11" s="8"/>
      <c r="O11" s="7">
        <v>1126.0999999999999</v>
      </c>
      <c r="P11" s="7">
        <v>1842</v>
      </c>
      <c r="Q11" s="7">
        <v>1761.3</v>
      </c>
    </row>
    <row r="12" spans="1:17" s="7" customFormat="1" x14ac:dyDescent="0.25">
      <c r="B12" s="7" t="s">
        <v>39</v>
      </c>
      <c r="C12" s="8"/>
      <c r="D12" s="8"/>
      <c r="E12" s="8"/>
      <c r="F12" s="8"/>
      <c r="G12" s="8"/>
      <c r="H12" s="8"/>
      <c r="I12" s="8"/>
      <c r="J12" s="8"/>
      <c r="O12" s="7">
        <v>122.7</v>
      </c>
      <c r="P12" s="7">
        <v>130.80000000000001</v>
      </c>
      <c r="Q12" s="7">
        <v>112.8</v>
      </c>
    </row>
    <row r="13" spans="1:17" s="10" customFormat="1" ht="13" x14ac:dyDescent="0.3">
      <c r="B13" s="10" t="s">
        <v>8</v>
      </c>
      <c r="C13" s="11">
        <v>5103.1000000000004</v>
      </c>
      <c r="D13" s="11">
        <v>5626.1</v>
      </c>
      <c r="E13" s="11">
        <v>5628.3</v>
      </c>
      <c r="F13" s="11">
        <f>+Q13-E13-D13-C13</f>
        <v>5018.4999999999964</v>
      </c>
      <c r="G13" s="11">
        <v>4872.7</v>
      </c>
      <c r="H13" s="11">
        <v>5423.4</v>
      </c>
      <c r="I13" s="11">
        <v>5516.6</v>
      </c>
      <c r="J13" s="11"/>
      <c r="L13" s="10">
        <v>16240.5</v>
      </c>
      <c r="M13" s="10">
        <v>18032.400000000001</v>
      </c>
      <c r="N13" s="10">
        <v>18467.5</v>
      </c>
      <c r="O13" s="10">
        <f>SUM(O9:O12)</f>
        <v>20820.8</v>
      </c>
      <c r="P13" s="10">
        <f t="shared" ref="P13:Q13" si="0">SUM(P9:P12)</f>
        <v>23748.7</v>
      </c>
      <c r="Q13" s="10">
        <f t="shared" si="0"/>
        <v>21375.999999999996</v>
      </c>
    </row>
    <row r="14" spans="1:17" s="7" customFormat="1" x14ac:dyDescent="0.25">
      <c r="B14" s="7" t="s">
        <v>17</v>
      </c>
      <c r="C14" s="8">
        <v>4013.7</v>
      </c>
      <c r="D14" s="8">
        <v>4444.6000000000004</v>
      </c>
      <c r="E14" s="8">
        <v>4400.6000000000004</v>
      </c>
      <c r="F14" s="8">
        <f>+Q14-E14-D14-C14</f>
        <v>3864.699999999998</v>
      </c>
      <c r="G14" s="8">
        <v>3809.4</v>
      </c>
      <c r="H14" s="8">
        <v>4240.3</v>
      </c>
      <c r="I14" s="8">
        <v>4315.8999999999996</v>
      </c>
      <c r="J14" s="8"/>
      <c r="L14" s="7">
        <v>13533.6</v>
      </c>
      <c r="M14" s="7">
        <v>14992.5</v>
      </c>
      <c r="N14" s="7">
        <v>15257.4</v>
      </c>
      <c r="O14" s="7">
        <v>17252.3</v>
      </c>
      <c r="P14" s="7">
        <v>19062.099999999999</v>
      </c>
      <c r="Q14" s="7">
        <v>16723.599999999999</v>
      </c>
    </row>
    <row r="15" spans="1:17" s="7" customFormat="1" x14ac:dyDescent="0.25">
      <c r="B15" s="7" t="s">
        <v>18</v>
      </c>
      <c r="C15" s="8">
        <f>+C13-C14</f>
        <v>1089.4000000000005</v>
      </c>
      <c r="D15" s="8">
        <f>+D13-D14</f>
        <v>1181.5</v>
      </c>
      <c r="E15" s="8">
        <f>+E13-E14</f>
        <v>1227.6999999999998</v>
      </c>
      <c r="F15" s="8">
        <f>+F13-F14</f>
        <v>1153.7999999999984</v>
      </c>
      <c r="G15" s="8">
        <f>+G13-G14</f>
        <v>1063.2999999999997</v>
      </c>
      <c r="H15" s="8">
        <f>+H13-H14</f>
        <v>1183.0999999999995</v>
      </c>
      <c r="I15" s="8">
        <f>+I13-I14</f>
        <v>1200.7000000000007</v>
      </c>
      <c r="J15" s="8"/>
      <c r="L15" s="7">
        <f t="shared" ref="L15:M15" si="1">+L13-L14</f>
        <v>2706.8999999999996</v>
      </c>
      <c r="M15" s="7">
        <f t="shared" si="1"/>
        <v>3039.9000000000015</v>
      </c>
      <c r="N15" s="7">
        <f>+N13-N14</f>
        <v>3210.1000000000004</v>
      </c>
      <c r="O15" s="7">
        <f>+O13-O14</f>
        <v>3568.5</v>
      </c>
      <c r="P15" s="7">
        <f>+P13-P14</f>
        <v>4686.6000000000022</v>
      </c>
      <c r="Q15" s="7">
        <f>+Q13-Q14</f>
        <v>4652.3999999999978</v>
      </c>
    </row>
    <row r="16" spans="1:17" s="7" customFormat="1" x14ac:dyDescent="0.25">
      <c r="B16" s="7" t="s">
        <v>19</v>
      </c>
      <c r="C16" s="8">
        <v>734.1</v>
      </c>
      <c r="D16" s="8">
        <v>769.3</v>
      </c>
      <c r="E16" s="8">
        <v>749.3</v>
      </c>
      <c r="F16" s="8"/>
      <c r="G16" s="8">
        <v>735.3</v>
      </c>
      <c r="H16" s="8">
        <v>750</v>
      </c>
      <c r="I16" s="8">
        <v>719.1</v>
      </c>
      <c r="J16" s="8"/>
      <c r="L16" s="7">
        <v>1719.6</v>
      </c>
      <c r="M16" s="7">
        <v>1906.3</v>
      </c>
      <c r="N16" s="7">
        <v>2030.9</v>
      </c>
      <c r="O16" s="7">
        <v>2149.5</v>
      </c>
      <c r="P16" s="7">
        <v>2951.4</v>
      </c>
      <c r="Q16" s="7">
        <v>2971.5</v>
      </c>
    </row>
    <row r="17" spans="2:17" s="7" customFormat="1" x14ac:dyDescent="0.25">
      <c r="B17" s="7" t="s">
        <v>20</v>
      </c>
      <c r="C17" s="8">
        <f>+C15-C16</f>
        <v>355.30000000000052</v>
      </c>
      <c r="D17" s="8">
        <f>+D15-D16</f>
        <v>412.20000000000005</v>
      </c>
      <c r="E17" s="8">
        <f>+E15-E16</f>
        <v>478.39999999999986</v>
      </c>
      <c r="F17" s="8">
        <f>+F15-F16</f>
        <v>1153.7999999999984</v>
      </c>
      <c r="G17" s="8">
        <f>+G15-G16</f>
        <v>327.99999999999977</v>
      </c>
      <c r="H17" s="8">
        <f>+H15-H16</f>
        <v>433.09999999999945</v>
      </c>
      <c r="I17" s="8">
        <f>+I15-I16</f>
        <v>481.6000000000007</v>
      </c>
      <c r="J17" s="8"/>
      <c r="L17" s="7">
        <f t="shared" ref="L17:M17" si="2">+L15-L16</f>
        <v>987.29999999999973</v>
      </c>
      <c r="M17" s="7">
        <f t="shared" si="2"/>
        <v>1133.6000000000015</v>
      </c>
      <c r="N17" s="7">
        <f>+N15-N16</f>
        <v>1179.2000000000003</v>
      </c>
      <c r="O17" s="7">
        <f>+O15-O16</f>
        <v>1419</v>
      </c>
      <c r="P17" s="7">
        <f>+P15-P16</f>
        <v>1735.2000000000021</v>
      </c>
      <c r="Q17" s="8">
        <f>+Q15-Q16</f>
        <v>1680.8999999999978</v>
      </c>
    </row>
    <row r="18" spans="2:17" s="7" customFormat="1" x14ac:dyDescent="0.25">
      <c r="B18" s="7" t="s">
        <v>25</v>
      </c>
      <c r="C18" s="8">
        <f>-57.7-1.3</f>
        <v>-59</v>
      </c>
      <c r="D18" s="8">
        <f>-58.2-0.6</f>
        <v>-58.800000000000004</v>
      </c>
      <c r="E18" s="8">
        <f>-57.4-1.2</f>
        <v>-58.6</v>
      </c>
      <c r="F18" s="8"/>
      <c r="G18" s="8">
        <f>-51.3-0.1</f>
        <v>-51.4</v>
      </c>
      <c r="H18" s="8">
        <f>-52.3-1.1</f>
        <v>-53.4</v>
      </c>
      <c r="I18" s="8">
        <f>-54.4+0.4</f>
        <v>-54</v>
      </c>
      <c r="J18" s="8"/>
      <c r="L18" s="7">
        <f>-148.6+1.8</f>
        <v>-146.79999999999998</v>
      </c>
      <c r="M18" s="7">
        <f>-159.4-24.5</f>
        <v>-183.9</v>
      </c>
      <c r="N18" s="7">
        <f>-154.9-22</f>
        <v>-176.9</v>
      </c>
      <c r="O18" s="7">
        <f>-150.9+29.7</f>
        <v>-121.2</v>
      </c>
      <c r="P18" s="7">
        <f>-235.7-11.7</f>
        <v>-247.39999999999998</v>
      </c>
      <c r="Q18" s="7">
        <f>-226.6-4.1</f>
        <v>-230.7</v>
      </c>
    </row>
    <row r="19" spans="2:17" s="7" customFormat="1" x14ac:dyDescent="0.25">
      <c r="B19" s="7" t="s">
        <v>24</v>
      </c>
      <c r="C19" s="8">
        <f>+C17+C18</f>
        <v>296.30000000000052</v>
      </c>
      <c r="D19" s="8">
        <f>+D17+D18</f>
        <v>353.40000000000003</v>
      </c>
      <c r="E19" s="8">
        <f>+E17+E18</f>
        <v>419.79999999999984</v>
      </c>
      <c r="F19" s="8">
        <f>+F17+F18</f>
        <v>1153.7999999999984</v>
      </c>
      <c r="G19" s="8">
        <f>+G17+G18</f>
        <v>276.5999999999998</v>
      </c>
      <c r="H19" s="8">
        <f>+H17+H18</f>
        <v>379.69999999999948</v>
      </c>
      <c r="I19" s="8">
        <f>+I17+I18</f>
        <v>427.6000000000007</v>
      </c>
      <c r="J19" s="8"/>
      <c r="L19" s="7">
        <f t="shared" ref="L19:M19" si="3">+L17+L18</f>
        <v>840.49999999999977</v>
      </c>
      <c r="M19" s="7">
        <f t="shared" si="3"/>
        <v>949.70000000000152</v>
      </c>
      <c r="N19" s="7">
        <f>+N17+N18</f>
        <v>1002.3000000000003</v>
      </c>
      <c r="O19" s="7">
        <f>+O17+O18</f>
        <v>1297.8</v>
      </c>
      <c r="P19" s="7">
        <f>+P17+P18</f>
        <v>1487.800000000002</v>
      </c>
      <c r="Q19" s="8">
        <f>+Q17+Q18</f>
        <v>1450.1999999999978</v>
      </c>
    </row>
    <row r="20" spans="2:17" s="7" customFormat="1" x14ac:dyDescent="0.25">
      <c r="B20" s="7" t="s">
        <v>23</v>
      </c>
      <c r="C20" s="8">
        <v>66.2</v>
      </c>
      <c r="D20" s="8">
        <v>90.8</v>
      </c>
      <c r="E20" s="8">
        <v>104.3</v>
      </c>
      <c r="F20" s="8"/>
      <c r="G20" s="8">
        <v>60.5</v>
      </c>
      <c r="H20" s="8">
        <v>98.6</v>
      </c>
      <c r="I20" s="8">
        <v>111.2</v>
      </c>
      <c r="J20" s="8"/>
      <c r="L20" s="7">
        <v>197.5</v>
      </c>
      <c r="M20" s="7">
        <v>212.9</v>
      </c>
      <c r="N20" s="7">
        <v>213.8</v>
      </c>
      <c r="O20" s="7">
        <v>309.2</v>
      </c>
      <c r="P20" s="7">
        <v>373.3</v>
      </c>
      <c r="Q20" s="7">
        <v>345.9</v>
      </c>
    </row>
    <row r="21" spans="2:17" s="7" customFormat="1" x14ac:dyDescent="0.25">
      <c r="B21" s="7" t="s">
        <v>22</v>
      </c>
      <c r="C21" s="8">
        <f>+C19-C20</f>
        <v>230.10000000000053</v>
      </c>
      <c r="D21" s="8">
        <f>+D19-D20</f>
        <v>262.60000000000002</v>
      </c>
      <c r="E21" s="8">
        <f>+E19-E20</f>
        <v>315.49999999999983</v>
      </c>
      <c r="F21" s="8">
        <f>+F19-F20</f>
        <v>1153.7999999999984</v>
      </c>
      <c r="G21" s="8">
        <f>+G19-G20</f>
        <v>216.0999999999998</v>
      </c>
      <c r="H21" s="8">
        <f>+H19-H20</f>
        <v>281.09999999999945</v>
      </c>
      <c r="I21" s="8">
        <f>+I19-I20</f>
        <v>316.40000000000072</v>
      </c>
      <c r="J21" s="8"/>
      <c r="L21" s="7">
        <f t="shared" ref="L21:M21" si="4">+L19-L20</f>
        <v>642.99999999999977</v>
      </c>
      <c r="M21" s="7">
        <f t="shared" si="4"/>
        <v>736.80000000000155</v>
      </c>
      <c r="N21" s="7">
        <f>+N19-N20</f>
        <v>788.50000000000023</v>
      </c>
      <c r="O21" s="7">
        <f>+O19-O20</f>
        <v>988.59999999999991</v>
      </c>
      <c r="P21" s="7">
        <f>+P19-P20</f>
        <v>1114.500000000002</v>
      </c>
      <c r="Q21" s="7">
        <f>+Q19-Q20</f>
        <v>1104.2999999999979</v>
      </c>
    </row>
    <row r="22" spans="2:17" x14ac:dyDescent="0.25">
      <c r="B22" s="4" t="s">
        <v>21</v>
      </c>
      <c r="C22" s="9">
        <f>+C21/C23</f>
        <v>1.6758922068463258</v>
      </c>
      <c r="D22" s="9">
        <f>+D21/D23</f>
        <v>1.9294636296840562</v>
      </c>
      <c r="E22" s="9">
        <f>+E21/E23</f>
        <v>2.3215599705665917</v>
      </c>
      <c r="F22" s="9" t="e">
        <f>+F21/F23</f>
        <v>#DIV/0!</v>
      </c>
      <c r="G22" s="9">
        <f>+G21/G23</f>
        <v>1.5936578171091431</v>
      </c>
      <c r="H22" s="9">
        <f>+H21/H23</f>
        <v>2.0730088495575183</v>
      </c>
      <c r="I22" s="9">
        <f>+I21/I23</f>
        <v>2.3454410674573811</v>
      </c>
      <c r="L22" s="12">
        <f t="shared" ref="L22:M22" si="5">+L21/L23</f>
        <v>4.1861979166666652</v>
      </c>
      <c r="M22" s="12">
        <f t="shared" si="5"/>
        <v>4.9851150202977097</v>
      </c>
      <c r="N22" s="12">
        <f>+N21/N23</f>
        <v>5.445441988950277</v>
      </c>
      <c r="O22" s="12">
        <f>+O21/O23</f>
        <v>7.0362989323843408</v>
      </c>
      <c r="P22" s="12">
        <f>+P21/P23</f>
        <v>8.1350364963503807</v>
      </c>
      <c r="Q22" s="12">
        <f>+Q21/Q23</f>
        <v>8.1019809244313858</v>
      </c>
    </row>
    <row r="23" spans="2:17" s="7" customFormat="1" x14ac:dyDescent="0.25">
      <c r="B23" s="7" t="s">
        <v>1</v>
      </c>
      <c r="C23" s="8">
        <v>137.30000000000001</v>
      </c>
      <c r="D23" s="8">
        <v>136.1</v>
      </c>
      <c r="E23" s="8">
        <v>135.9</v>
      </c>
      <c r="F23" s="8"/>
      <c r="G23" s="8">
        <v>135.6</v>
      </c>
      <c r="H23" s="8">
        <v>135.6</v>
      </c>
      <c r="I23" s="8">
        <v>134.9</v>
      </c>
      <c r="J23" s="8"/>
      <c r="L23" s="7">
        <v>153.6</v>
      </c>
      <c r="M23" s="7">
        <v>147.80000000000001</v>
      </c>
      <c r="N23" s="7">
        <v>144.80000000000001</v>
      </c>
      <c r="O23" s="7">
        <v>140.5</v>
      </c>
      <c r="P23" s="7">
        <v>137</v>
      </c>
      <c r="Q23" s="7">
        <v>136.30000000000001</v>
      </c>
    </row>
    <row r="25" spans="2:17" x14ac:dyDescent="0.25">
      <c r="B25" s="4" t="s">
        <v>26</v>
      </c>
      <c r="G25" s="6">
        <f>+G13/C13-1</f>
        <v>-4.5149027061981983E-2</v>
      </c>
      <c r="H25" s="6">
        <f>+H13/D13-1</f>
        <v>-3.6028509980270629E-2</v>
      </c>
      <c r="I25" s="6">
        <f>+I13/E13-1</f>
        <v>-1.9846134712079966E-2</v>
      </c>
      <c r="M25" s="13">
        <f>+M13/L13-1</f>
        <v>0.1103352729287892</v>
      </c>
      <c r="N25" s="13">
        <f>+N13/M13-1</f>
        <v>2.4128790399503108E-2</v>
      </c>
      <c r="O25" s="13">
        <f>+O13/N13-1</f>
        <v>0.12742926763232698</v>
      </c>
      <c r="P25" s="13">
        <f>+P13/O13-1</f>
        <v>0.14062379927764557</v>
      </c>
      <c r="Q25" s="13">
        <f>+Q13/P13-1</f>
        <v>-9.9908626577454918E-2</v>
      </c>
    </row>
    <row r="27" spans="2:17" x14ac:dyDescent="0.25">
      <c r="B27" s="4" t="s">
        <v>16</v>
      </c>
      <c r="G27" s="6">
        <f>+G15/G13</f>
        <v>0.2182157735957477</v>
      </c>
      <c r="H27" s="6">
        <f>+H15/H13</f>
        <v>0.21814728767931546</v>
      </c>
      <c r="I27" s="6">
        <f>+I15/I13</f>
        <v>0.21765217706558398</v>
      </c>
      <c r="L27" s="6">
        <f t="shared" ref="L27:Q27" si="6">+L15/L13</f>
        <v>0.16667590283550382</v>
      </c>
      <c r="M27" s="6">
        <f t="shared" si="6"/>
        <v>0.16857988953217548</v>
      </c>
      <c r="N27" s="6">
        <f t="shared" si="6"/>
        <v>0.17382428590767568</v>
      </c>
      <c r="O27" s="6">
        <f t="shared" si="6"/>
        <v>0.1713911088911089</v>
      </c>
      <c r="P27" s="6">
        <f t="shared" si="6"/>
        <v>0.19734132815690972</v>
      </c>
      <c r="Q27" s="6">
        <f t="shared" si="6"/>
        <v>0.21764595808383227</v>
      </c>
    </row>
    <row r="30" spans="2:17" s="7" customFormat="1" x14ac:dyDescent="0.25">
      <c r="B30" s="7" t="s">
        <v>27</v>
      </c>
      <c r="C30" s="8">
        <v>365.4</v>
      </c>
      <c r="D30" s="8">
        <f>593.6-C30</f>
        <v>228.20000000000005</v>
      </c>
      <c r="E30" s="8">
        <f>1062.2-D30-C30</f>
        <v>468.6</v>
      </c>
      <c r="F30" s="8"/>
      <c r="G30" s="8">
        <v>440</v>
      </c>
      <c r="H30" s="8">
        <f>589.9-G30</f>
        <v>149.89999999999998</v>
      </c>
      <c r="I30" s="8">
        <f>932-H30-G30</f>
        <v>342.1</v>
      </c>
      <c r="J30" s="8"/>
      <c r="L30" s="7">
        <v>905.9</v>
      </c>
      <c r="M30" s="7">
        <v>1027.2</v>
      </c>
      <c r="N30" s="7">
        <v>1314.3</v>
      </c>
      <c r="O30" s="7">
        <v>784.6</v>
      </c>
      <c r="P30" s="7">
        <v>1335.9</v>
      </c>
      <c r="Q30" s="7">
        <v>1598.7</v>
      </c>
    </row>
    <row r="31" spans="2:17" s="7" customFormat="1" x14ac:dyDescent="0.25">
      <c r="B31" s="7" t="s">
        <v>28</v>
      </c>
      <c r="C31" s="8">
        <v>31.7</v>
      </c>
      <c r="D31" s="8">
        <f>71.3-C31</f>
        <v>39.599999999999994</v>
      </c>
      <c r="E31" s="8">
        <f>114.7-D31-C31</f>
        <v>43.400000000000006</v>
      </c>
      <c r="F31" s="8"/>
      <c r="G31" s="8">
        <v>29.5</v>
      </c>
      <c r="H31" s="8">
        <f>60.4-G31</f>
        <v>30.9</v>
      </c>
      <c r="I31" s="8">
        <f>94-H31-G31</f>
        <v>33.6</v>
      </c>
      <c r="J31" s="8"/>
      <c r="L31" s="7">
        <v>86.1</v>
      </c>
      <c r="M31" s="7">
        <v>236.3</v>
      </c>
      <c r="N31" s="7">
        <v>158</v>
      </c>
      <c r="O31" s="7">
        <v>100</v>
      </c>
      <c r="P31" s="7">
        <v>127.8</v>
      </c>
      <c r="Q31" s="7">
        <v>148.19999999999999</v>
      </c>
    </row>
    <row r="32" spans="2:17" s="7" customFormat="1" x14ac:dyDescent="0.25">
      <c r="B32" s="7" t="s">
        <v>29</v>
      </c>
      <c r="C32" s="8">
        <f>+C30-C31</f>
        <v>333.7</v>
      </c>
      <c r="D32" s="8">
        <f>+D30-D31</f>
        <v>188.60000000000005</v>
      </c>
      <c r="E32" s="8">
        <f>+E30-E31</f>
        <v>425.20000000000005</v>
      </c>
      <c r="F32" s="8"/>
      <c r="G32" s="8">
        <f>+G30-G31</f>
        <v>410.5</v>
      </c>
      <c r="H32" s="8">
        <f>+H30-H31</f>
        <v>118.99999999999997</v>
      </c>
      <c r="I32" s="8">
        <f>+I30-I31</f>
        <v>308.5</v>
      </c>
      <c r="J32" s="8"/>
      <c r="L32" s="7">
        <f>+L30-L31</f>
        <v>819.8</v>
      </c>
      <c r="M32" s="7">
        <f>+M30-M31</f>
        <v>790.90000000000009</v>
      </c>
      <c r="N32" s="7">
        <f>+N30-N31</f>
        <v>1156.3</v>
      </c>
      <c r="O32" s="7">
        <f>+O30-O31</f>
        <v>684.6</v>
      </c>
      <c r="P32" s="7">
        <f>+P30-P31</f>
        <v>1208.1000000000001</v>
      </c>
      <c r="Q32" s="7">
        <f>+Q30-Q31</f>
        <v>1450.5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2025-01-27T18:30:27Z</dcterms:created>
  <dcterms:modified xsi:type="dcterms:W3CDTF">2025-01-27T19:29:27Z</dcterms:modified>
</cp:coreProperties>
</file>