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A74B6B4-FE93-4664-987B-9A6C6601D887}" xr6:coauthVersionLast="47" xr6:coauthVersionMax="47" xr10:uidLastSave="{00000000-0000-0000-0000-000000000000}"/>
  <bookViews>
    <workbookView xWindow="18570" yWindow="1440" windowWidth="19450" windowHeight="14460" activeTab="1" xr2:uid="{33425595-47CE-46BC-A049-9580F112AE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M22" i="2"/>
  <c r="M21" i="2"/>
  <c r="M20" i="2"/>
  <c r="L22" i="2"/>
  <c r="L21" i="2"/>
  <c r="L20" i="2"/>
  <c r="K22" i="2"/>
  <c r="G22" i="2"/>
  <c r="H22" i="2"/>
  <c r="H21" i="2"/>
  <c r="H20" i="2"/>
  <c r="I22" i="2"/>
  <c r="I21" i="2"/>
  <c r="I20" i="2"/>
  <c r="G10" i="2"/>
  <c r="G5" i="2"/>
  <c r="G7" i="2" s="1"/>
  <c r="G9" i="2" s="1"/>
  <c r="G11" i="2" s="1"/>
  <c r="G13" i="2" s="1"/>
  <c r="G14" i="2" s="1"/>
  <c r="K10" i="2"/>
  <c r="K5" i="2"/>
  <c r="K7" i="2" s="1"/>
  <c r="K9" i="2" s="1"/>
  <c r="K11" i="2" s="1"/>
  <c r="K13" i="2" s="1"/>
  <c r="K14" i="2" s="1"/>
  <c r="H10" i="2"/>
  <c r="L10" i="2"/>
  <c r="H5" i="2"/>
  <c r="H7" i="2" s="1"/>
  <c r="H9" i="2" s="1"/>
  <c r="L5" i="2"/>
  <c r="L7" i="1"/>
  <c r="L6" i="1"/>
  <c r="M14" i="2"/>
  <c r="I14" i="2"/>
  <c r="M12" i="2"/>
  <c r="M13" i="2"/>
  <c r="I13" i="2"/>
  <c r="I11" i="2"/>
  <c r="I10" i="2"/>
  <c r="M11" i="2"/>
  <c r="M10" i="2"/>
  <c r="M17" i="2"/>
  <c r="I5" i="2"/>
  <c r="I7" i="2" s="1"/>
  <c r="I9" i="2" s="1"/>
  <c r="M9" i="2"/>
  <c r="M7" i="2"/>
  <c r="M5" i="2"/>
  <c r="H11" i="2" l="1"/>
  <c r="H13" i="2" s="1"/>
  <c r="H14" i="2" s="1"/>
  <c r="L17" i="2"/>
  <c r="L7" i="2"/>
  <c r="L9" i="2" s="1"/>
  <c r="L11" i="2" s="1"/>
  <c r="L13" i="2" s="1"/>
  <c r="L14" i="2" s="1"/>
  <c r="L4" i="1"/>
  <c r="L3" i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<sst xmlns="http://schemas.openxmlformats.org/spreadsheetml/2006/main" count="39" uniqueCount="35">
  <si>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</si>
  <si>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</si>
  <si>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</si>
  <si>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</si>
  <si>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</si>
  <si>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</si>
  <si>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</si>
  <si>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</si>
  <si>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</si>
  <si>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</si>
  <si>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</si>
  <si>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</si>
  <si>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</si>
  <si>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</si>
  <si>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</si>
  <si>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</si>
  <si>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</si>
  <si>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</si>
  <si>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</si>
  <si>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</si>
  <si>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</si>
  <si>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Retail</t>
  </si>
  <si>
    <t>Other</t>
  </si>
  <si>
    <t>COGS</t>
  </si>
  <si>
    <t>Gross Profit</t>
  </si>
  <si>
    <t>G&amp;A</t>
  </si>
  <si>
    <t>Revenue y/y</t>
  </si>
  <si>
    <t>Interest Income</t>
  </si>
  <si>
    <t>Pretax Income</t>
  </si>
  <si>
    <t>Taxes</t>
  </si>
  <si>
    <t>Net Income</t>
  </si>
  <si>
    <t>EPS</t>
  </si>
  <si>
    <t>FCF</t>
  </si>
  <si>
    <t>CX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</si>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</sst>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23813</xdr:colOff>
      <xdr:row>0</xdr:row>
      <xdr:rowOff>19844</xdr:rowOff>
    </xdr:from>
    <xdr:to>
      <xdr:col>13</xdr:col>
      <xdr:colOff>23813</xdr:colOff>
      <xdr:row>39</xdr:row>
      <xdr:rowOff>79375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5F21A3-EA35-394B-5C43-34EF596F15E4}"/>
            </a:ext>
          </a:extLst>
        </xdr:cNvPr>
        <xdr:cNvCxnSpPr/>
      </xdr:nvCxnSpPr>
      <xdr:spPr>
        <a:xfrm>
          <a:off x="8131969" y="19844"/>
          <a:ext cx="0" cy="6258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BA7-3F35-4B9E-BCB4-53A29EEE9FDD}">
  <dimension ref="K2:M7"/>
  <sheetViews>
    <sheetView zoomScale="130" zoomScaleNormal="130" workbookViewId="0"/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24.43</v>
      </c>
    </row>
    <row r="3" spans="11:13" x14ac:dyDescent="0.25">
      <c r="K3" s="1" t="s">
        <v>1</v>
      </c>
      <c r="L3" s="4">
        <f>1624.056504+174.80299</f>
        <v>1798.8594939999998</v>
      </c>
      <c r="M3" s="3" t="s">
        <v>6</v>
      </c>
    </row>
    <row r="4" spans="11:13" x14ac:dyDescent="0.25">
      <c r="K4" s="1" t="s">
        <v>2</v>
      </c>
      <c r="L4" s="5">
        <f>+L2*L3</f>
        <v>43946.137438419995</v>
      </c>
    </row>
    <row r="5" spans="11:13" x14ac:dyDescent="0.25">
      <c r="K5" s="1" t="s">
        <v>3</v>
      </c>
      <c r="L5" s="5">
        <v>5822</v>
      </c>
      <c r="M5" s="3" t="s">
        <v>6</v>
      </c>
    </row>
    <row r="6" spans="11:13" x14ac:dyDescent="0.25">
      <c r="K6" s="1" t="s">
        <v>4</v>
      </c>
      <c r="L6" s="5">
        <f>22+1194</f>
        <v>1216</v>
      </c>
      <c r="M6" s="3" t="s">
        <v>6</v>
      </c>
    </row>
    <row r="7" spans="11:13" x14ac:dyDescent="0.25">
      <c r="K7" s="1" t="s">
        <v>5</v>
      </c>
      <c r="L7" s="5">
        <f>+L4-L5+L6</f>
        <v>39340.137438419995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00A9-92E6-44F6-8710-6BBF39B99928}">
  <dimension ref="A1:N22"/>
  <sheetViews>
    <sheetView tabSelected="1" zoomScale="160" zoomScaleNormal="16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RowHeight="12.5" x14ac:dyDescent="0.25"/>
  <cols>
    <col min="1" max="1" width="4.6328125" style="1" bestFit="1" customWidth="1"/>
    <col min="2" max="2" width="15.1796875" style="1" bestFit="1" customWidth="1"/>
    <col min="3" max="14" width="8.7265625" style="3"/>
    <col min="15" max="16384" width="8.7265625" style="1"/>
  </cols>
  <sheetData>
    <row r="1" spans="1:14" ht="14.5" x14ac:dyDescent="0.35">
      <c r="A1" s="10" t="s">
        <v>7</v>
      </c>
    </row>
    <row r="2" spans="1:14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s="5" customFormat="1" x14ac:dyDescent="0.25">
      <c r="B3" s="5" t="s">
        <v>21</v>
      </c>
      <c r="C3" s="4"/>
      <c r="D3" s="4"/>
      <c r="E3" s="4"/>
      <c r="F3" s="4"/>
      <c r="G3" s="4">
        <v>5205</v>
      </c>
      <c r="H3" s="4">
        <v>5140</v>
      </c>
      <c r="I3" s="4">
        <v>5315</v>
      </c>
      <c r="J3" s="4"/>
      <c r="K3" s="4">
        <v>5895</v>
      </c>
      <c r="L3" s="4">
        <v>5779</v>
      </c>
      <c r="M3" s="4">
        <v>6140</v>
      </c>
      <c r="N3" s="4"/>
    </row>
    <row r="4" spans="1:14" s="5" customFormat="1" x14ac:dyDescent="0.25">
      <c r="B4" s="5" t="s">
        <v>22</v>
      </c>
      <c r="C4" s="4"/>
      <c r="D4" s="4"/>
      <c r="E4" s="4"/>
      <c r="F4" s="4"/>
      <c r="G4" s="4">
        <v>596</v>
      </c>
      <c r="H4" s="4">
        <v>698</v>
      </c>
      <c r="I4" s="4">
        <v>869</v>
      </c>
      <c r="J4" s="4"/>
      <c r="K4" s="4">
        <v>1219</v>
      </c>
      <c r="L4" s="4">
        <v>1544</v>
      </c>
      <c r="M4" s="4">
        <v>1726</v>
      </c>
      <c r="N4" s="4"/>
    </row>
    <row r="5" spans="1:14" s="6" customFormat="1" ht="13" x14ac:dyDescent="0.3">
      <c r="B5" s="6" t="s">
        <v>8</v>
      </c>
      <c r="C5" s="7"/>
      <c r="D5" s="7"/>
      <c r="E5" s="7"/>
      <c r="F5" s="7"/>
      <c r="G5" s="7">
        <f>+G3+G4</f>
        <v>5801</v>
      </c>
      <c r="H5" s="7">
        <f>+H3+H4</f>
        <v>5838</v>
      </c>
      <c r="I5" s="7">
        <f>+I3+I4</f>
        <v>6184</v>
      </c>
      <c r="J5" s="7"/>
      <c r="K5" s="7">
        <f>+K3+K4</f>
        <v>7114</v>
      </c>
      <c r="L5" s="7">
        <f>+L3+L4</f>
        <v>7323</v>
      </c>
      <c r="M5" s="7">
        <f>+M3+M4</f>
        <v>7866</v>
      </c>
      <c r="N5" s="7"/>
    </row>
    <row r="6" spans="1:14" s="5" customFormat="1" x14ac:dyDescent="0.25">
      <c r="B6" s="5" t="s">
        <v>23</v>
      </c>
      <c r="C6" s="4"/>
      <c r="D6" s="4"/>
      <c r="E6" s="4"/>
      <c r="F6" s="4"/>
      <c r="G6" s="4">
        <v>4381</v>
      </c>
      <c r="H6" s="4">
        <v>4314</v>
      </c>
      <c r="I6" s="4">
        <v>4618</v>
      </c>
      <c r="J6" s="4"/>
      <c r="K6" s="4">
        <v>5185</v>
      </c>
      <c r="L6" s="4">
        <v>5181</v>
      </c>
      <c r="M6" s="4">
        <v>5597</v>
      </c>
      <c r="N6" s="4"/>
    </row>
    <row r="7" spans="1:14" s="5" customFormat="1" x14ac:dyDescent="0.25">
      <c r="B7" s="5" t="s">
        <v>24</v>
      </c>
      <c r="C7" s="4"/>
      <c r="D7" s="4"/>
      <c r="E7" s="4"/>
      <c r="F7" s="4"/>
      <c r="G7" s="4">
        <f>+G5-G6</f>
        <v>1420</v>
      </c>
      <c r="H7" s="4">
        <f>+H5-H6</f>
        <v>1524</v>
      </c>
      <c r="I7" s="4">
        <f>+I5-I6</f>
        <v>1566</v>
      </c>
      <c r="J7" s="4"/>
      <c r="K7" s="4">
        <f>+K5-K6</f>
        <v>1929</v>
      </c>
      <c r="L7" s="4">
        <f>+L5-L6</f>
        <v>2142</v>
      </c>
      <c r="M7" s="4">
        <f>+M5-M6</f>
        <v>2269</v>
      </c>
      <c r="N7" s="4"/>
    </row>
    <row r="8" spans="1:14" s="5" customFormat="1" x14ac:dyDescent="0.25">
      <c r="B8" s="5" t="s">
        <v>25</v>
      </c>
      <c r="C8" s="4"/>
      <c r="D8" s="4"/>
      <c r="E8" s="4"/>
      <c r="F8" s="4"/>
      <c r="G8" s="4">
        <v>1313</v>
      </c>
      <c r="H8" s="4">
        <v>1376</v>
      </c>
      <c r="I8" s="4">
        <v>1478</v>
      </c>
      <c r="J8" s="4"/>
      <c r="K8" s="4">
        <v>1889</v>
      </c>
      <c r="L8" s="4">
        <v>2167</v>
      </c>
      <c r="M8" s="4">
        <v>2160</v>
      </c>
      <c r="N8" s="4"/>
    </row>
    <row r="9" spans="1:14" s="5" customFormat="1" x14ac:dyDescent="0.25">
      <c r="B9" s="5" t="s">
        <v>20</v>
      </c>
      <c r="C9" s="4"/>
      <c r="D9" s="4"/>
      <c r="E9" s="4"/>
      <c r="F9" s="4"/>
      <c r="G9" s="4">
        <f>+G7-G8</f>
        <v>107</v>
      </c>
      <c r="H9" s="4">
        <f>+H7-H8</f>
        <v>148</v>
      </c>
      <c r="I9" s="4">
        <f>+I7-I8</f>
        <v>88</v>
      </c>
      <c r="J9" s="4"/>
      <c r="K9" s="4">
        <f>+K7-K8</f>
        <v>40</v>
      </c>
      <c r="L9" s="4">
        <f>+L7-L8</f>
        <v>-25</v>
      </c>
      <c r="M9" s="4">
        <f>+M7-M8</f>
        <v>109</v>
      </c>
      <c r="N9" s="4"/>
    </row>
    <row r="10" spans="1:14" x14ac:dyDescent="0.25">
      <c r="B10" s="1" t="s">
        <v>27</v>
      </c>
      <c r="G10" s="3">
        <f>32-8-7</f>
        <v>17</v>
      </c>
      <c r="H10" s="3">
        <f>42-13-6</f>
        <v>23</v>
      </c>
      <c r="I10" s="3">
        <f>50-13-8</f>
        <v>29</v>
      </c>
      <c r="K10" s="3">
        <f>55-27-9</f>
        <v>19</v>
      </c>
      <c r="L10" s="3">
        <f>53-37+12</f>
        <v>28</v>
      </c>
      <c r="M10" s="3">
        <f>55-36+4</f>
        <v>23</v>
      </c>
    </row>
    <row r="11" spans="1:14" x14ac:dyDescent="0.25">
      <c r="B11" s="1" t="s">
        <v>28</v>
      </c>
      <c r="G11" s="4">
        <f>+G9+G10</f>
        <v>124</v>
      </c>
      <c r="H11" s="4">
        <f>+H9+H10</f>
        <v>171</v>
      </c>
      <c r="I11" s="4">
        <f>+I9+I10</f>
        <v>117</v>
      </c>
      <c r="K11" s="4">
        <f>+K9+K10</f>
        <v>59</v>
      </c>
      <c r="L11" s="4">
        <f>+L9+L10</f>
        <v>3</v>
      </c>
      <c r="M11" s="4">
        <f>+M9+M10</f>
        <v>132</v>
      </c>
    </row>
    <row r="12" spans="1:14" x14ac:dyDescent="0.25">
      <c r="B12" s="1" t="s">
        <v>29</v>
      </c>
      <c r="G12" s="3">
        <v>33</v>
      </c>
      <c r="H12" s="3">
        <v>26</v>
      </c>
      <c r="I12" s="3">
        <v>26</v>
      </c>
      <c r="K12" s="3">
        <v>83</v>
      </c>
      <c r="L12" s="3">
        <v>108</v>
      </c>
      <c r="M12" s="3">
        <f>68-6</f>
        <v>62</v>
      </c>
    </row>
    <row r="13" spans="1:14" x14ac:dyDescent="0.25">
      <c r="B13" s="1" t="s">
        <v>30</v>
      </c>
      <c r="G13" s="4">
        <f>+G11-G12</f>
        <v>91</v>
      </c>
      <c r="H13" s="4">
        <f>+H11-H12</f>
        <v>145</v>
      </c>
      <c r="I13" s="4">
        <f>+I11-I12</f>
        <v>91</v>
      </c>
      <c r="K13" s="4">
        <f>+K11-K12</f>
        <v>-24</v>
      </c>
      <c r="L13" s="4">
        <f>+L11-L12</f>
        <v>-105</v>
      </c>
      <c r="M13" s="4">
        <f>+M11-M12</f>
        <v>70</v>
      </c>
    </row>
    <row r="14" spans="1:14" x14ac:dyDescent="0.25">
      <c r="B14" s="1" t="s">
        <v>31</v>
      </c>
      <c r="G14" s="9">
        <f>+G13/G15</f>
        <v>5.0724637681159424E-2</v>
      </c>
      <c r="H14" s="9">
        <f>+H13/H15</f>
        <v>8.0555555555555561E-2</v>
      </c>
      <c r="I14" s="9">
        <f>+I13/I15</f>
        <v>5.0331858407079648E-2</v>
      </c>
      <c r="K14" s="9">
        <f>+K13/K15</f>
        <v>-1.3223140495867768E-2</v>
      </c>
      <c r="L14" s="9">
        <f>+L13/L15</f>
        <v>-5.8692006707657909E-2</v>
      </c>
      <c r="M14" s="9">
        <f>+M13/M15</f>
        <v>3.8272279934390377E-2</v>
      </c>
    </row>
    <row r="15" spans="1:14" s="5" customFormat="1" x14ac:dyDescent="0.25">
      <c r="B15" s="5" t="s">
        <v>1</v>
      </c>
      <c r="C15" s="4"/>
      <c r="D15" s="4"/>
      <c r="E15" s="4"/>
      <c r="F15" s="4"/>
      <c r="G15" s="4">
        <v>1794</v>
      </c>
      <c r="H15" s="4">
        <v>1800</v>
      </c>
      <c r="I15" s="4">
        <v>1808</v>
      </c>
      <c r="J15" s="4"/>
      <c r="K15" s="4">
        <v>1815</v>
      </c>
      <c r="L15" s="4">
        <v>1789</v>
      </c>
      <c r="M15" s="4">
        <v>1829</v>
      </c>
      <c r="N15" s="4"/>
    </row>
    <row r="17" spans="2:14" x14ac:dyDescent="0.25">
      <c r="B17" s="1" t="s">
        <v>26</v>
      </c>
      <c r="K17" s="8">
        <f>K5/G5-1</f>
        <v>0.22634028615755897</v>
      </c>
      <c r="L17" s="8">
        <f>L5/H5-1</f>
        <v>0.25436793422404924</v>
      </c>
      <c r="M17" s="8">
        <f>M5/I5-1</f>
        <v>0.27199223803363526</v>
      </c>
    </row>
    <row r="20" spans="2:14" s="5" customFormat="1" x14ac:dyDescent="0.25">
      <c r="B20" s="5" t="s">
        <v>34</v>
      </c>
      <c r="C20" s="4"/>
      <c r="D20" s="4"/>
      <c r="E20" s="4"/>
      <c r="F20" s="4"/>
      <c r="G20" s="4">
        <v>501</v>
      </c>
      <c r="H20" s="4">
        <f>1321-G20</f>
        <v>820</v>
      </c>
      <c r="I20" s="4">
        <f>2043-H20-G20</f>
        <v>722</v>
      </c>
      <c r="J20" s="4"/>
      <c r="K20" s="4">
        <v>212</v>
      </c>
      <c r="L20" s="4">
        <f>876-K20</f>
        <v>664</v>
      </c>
      <c r="M20" s="4">
        <f>1210-L20-K20</f>
        <v>334</v>
      </c>
      <c r="N20" s="4"/>
    </row>
    <row r="21" spans="2:14" s="5" customFormat="1" x14ac:dyDescent="0.25">
      <c r="B21" s="5" t="s">
        <v>33</v>
      </c>
      <c r="C21" s="4"/>
      <c r="D21" s="4"/>
      <c r="E21" s="4"/>
      <c r="F21" s="4"/>
      <c r="G21" s="4">
        <v>95</v>
      </c>
      <c r="H21" s="4">
        <f>472-G21</f>
        <v>377</v>
      </c>
      <c r="I21" s="4">
        <f>662-H21-G21</f>
        <v>190</v>
      </c>
      <c r="J21" s="4"/>
      <c r="K21" s="4">
        <v>107</v>
      </c>
      <c r="L21" s="4">
        <f>285-K21</f>
        <v>178</v>
      </c>
      <c r="M21" s="4">
        <f>665-L21-K21</f>
        <v>380</v>
      </c>
      <c r="N21" s="4"/>
    </row>
    <row r="22" spans="2:14" s="5" customFormat="1" x14ac:dyDescent="0.25">
      <c r="B22" s="5" t="s">
        <v>32</v>
      </c>
      <c r="C22" s="4"/>
      <c r="D22" s="4"/>
      <c r="E22" s="4"/>
      <c r="F22" s="4"/>
      <c r="G22" s="4">
        <f>+G20-G21</f>
        <v>406</v>
      </c>
      <c r="H22" s="4">
        <f>+H20-H21</f>
        <v>443</v>
      </c>
      <c r="I22" s="4">
        <f>+I20-I21</f>
        <v>532</v>
      </c>
      <c r="J22" s="4"/>
      <c r="K22" s="4">
        <f>+K20-K21</f>
        <v>105</v>
      </c>
      <c r="L22" s="4">
        <f>+L20-L21</f>
        <v>486</v>
      </c>
      <c r="M22" s="4">
        <f>+M20-M21</f>
        <v>-46</v>
      </c>
      <c r="N22" s="4"/>
    </row>
  </sheetData>
  <hyperlinks>
    <hyperlink ref="A1" location="Main!A1" display="Main" xr:uid="{0B4FBD8A-279D-4B91-845D-B6D8307E57E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2025-02-24T16:07:03Z</dcterms:created>
  <dcterms:modified xsi:type="dcterms:W3CDTF">2025-02-24T16:40:48Z</dcterms:modified>
</cp:coreProperties>
</file>