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A599B31-24BF-43E0-A0B3-41FEA01ACF9A}" xr6:coauthVersionLast="47" xr6:coauthVersionMax="47" xr10:uidLastSave="{00000000-0000-0000-0000-000000000000}"/>
  <bookViews>
    <workbookView xWindow="-21495" yWindow="5250" windowWidth="19665" windowHeight="14175" activeTab="1" xr2:uid="{1CAAA591-69FE-48DF-AEDB-515C2C73C10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2" l="1"/>
  <c r="V16" i="2"/>
  <c r="V12" i="2"/>
  <c r="V9" i="2"/>
  <c r="W16" i="2"/>
  <c r="W12" i="2"/>
  <c r="W9" i="2"/>
  <c r="Z16" i="2"/>
  <c r="Y16" i="2"/>
  <c r="Z12" i="2"/>
  <c r="Y12" i="2"/>
  <c r="X16" i="2"/>
  <c r="X12" i="2"/>
  <c r="X9" i="2"/>
  <c r="X23" i="2" s="1"/>
  <c r="Y9" i="2"/>
  <c r="Z9" i="2"/>
  <c r="Z23" i="2" s="1"/>
  <c r="Y2" i="2"/>
  <c r="X2" i="2" s="1"/>
  <c r="W2" i="2" s="1"/>
  <c r="AD24" i="2"/>
  <c r="I16" i="2"/>
  <c r="I12" i="2"/>
  <c r="I9" i="2"/>
  <c r="I23" i="2" s="1"/>
  <c r="M16" i="2"/>
  <c r="M12" i="2"/>
  <c r="R9" i="2"/>
  <c r="Q9" i="2"/>
  <c r="P9" i="2"/>
  <c r="O9" i="2"/>
  <c r="N9" i="2"/>
  <c r="M9" i="2"/>
  <c r="AC78" i="2"/>
  <c r="AB78" i="2"/>
  <c r="AA78" i="2"/>
  <c r="AC18" i="2"/>
  <c r="AB18" i="2"/>
  <c r="AA18" i="2"/>
  <c r="AA16" i="2"/>
  <c r="AB16" i="2"/>
  <c r="AC16" i="2"/>
  <c r="AA12" i="2"/>
  <c r="AB12" i="2"/>
  <c r="AC12" i="2"/>
  <c r="AA9" i="2"/>
  <c r="AB9" i="2"/>
  <c r="AC9" i="2"/>
  <c r="AD23" i="2" s="1"/>
  <c r="AA2" i="2"/>
  <c r="AB2" i="2" s="1"/>
  <c r="AC2" i="2" s="1"/>
  <c r="AD2" i="2" s="1"/>
  <c r="AE2" i="2" s="1"/>
  <c r="AF2" i="2" s="1"/>
  <c r="AG2" i="2" s="1"/>
  <c r="AH2" i="2" s="1"/>
  <c r="V13" i="2" l="1"/>
  <c r="V24" i="2"/>
  <c r="V15" i="2"/>
  <c r="V17" i="2" s="1"/>
  <c r="V19" i="2" s="1"/>
  <c r="V20" i="2" s="1"/>
  <c r="W13" i="2"/>
  <c r="M13" i="2"/>
  <c r="M15" i="2" s="1"/>
  <c r="M17" i="2" s="1"/>
  <c r="M19" i="2" s="1"/>
  <c r="Z13" i="2"/>
  <c r="AA23" i="2"/>
  <c r="X13" i="2"/>
  <c r="Y13" i="2"/>
  <c r="Y15" i="2"/>
  <c r="Y17" i="2" s="1"/>
  <c r="Y19" i="2" s="1"/>
  <c r="Y20" i="2" s="1"/>
  <c r="Y24" i="2"/>
  <c r="M20" i="2"/>
  <c r="Y23" i="2"/>
  <c r="M23" i="2"/>
  <c r="I13" i="2"/>
  <c r="I15" i="2" s="1"/>
  <c r="I17" i="2" s="1"/>
  <c r="I19" i="2" s="1"/>
  <c r="I20" i="2" s="1"/>
  <c r="AB13" i="2"/>
  <c r="AB15" i="2" s="1"/>
  <c r="AC23" i="2"/>
  <c r="AB24" i="2"/>
  <c r="AC13" i="2"/>
  <c r="AB23" i="2"/>
  <c r="AA13" i="2"/>
  <c r="AB17" i="2"/>
  <c r="AB19" i="2" s="1"/>
  <c r="AB20" i="2" s="1"/>
  <c r="L75" i="2"/>
  <c r="K69" i="2"/>
  <c r="L69" i="2" s="1"/>
  <c r="K66" i="2"/>
  <c r="L66" i="2" s="1"/>
  <c r="K61" i="2"/>
  <c r="L61" i="2" s="1"/>
  <c r="G18" i="2"/>
  <c r="G16" i="2"/>
  <c r="G12" i="2"/>
  <c r="G9" i="2"/>
  <c r="G13" i="2" s="1"/>
  <c r="G15" i="2" s="1"/>
  <c r="K18" i="2"/>
  <c r="K16" i="2"/>
  <c r="K12" i="2"/>
  <c r="K9" i="2"/>
  <c r="L73" i="2"/>
  <c r="L72" i="2"/>
  <c r="L71" i="2"/>
  <c r="L70" i="2"/>
  <c r="L65" i="2"/>
  <c r="L64" i="2"/>
  <c r="L60" i="2"/>
  <c r="L59" i="2"/>
  <c r="L58" i="2"/>
  <c r="L57" i="2"/>
  <c r="L56" i="2"/>
  <c r="L55" i="2"/>
  <c r="L54" i="2"/>
  <c r="L53" i="2"/>
  <c r="L52" i="2"/>
  <c r="L18" i="2"/>
  <c r="H18" i="2"/>
  <c r="H16" i="2"/>
  <c r="H12" i="2"/>
  <c r="H9" i="2"/>
  <c r="L48" i="2"/>
  <c r="L49" i="2" s="1"/>
  <c r="L34" i="2"/>
  <c r="L27" i="2"/>
  <c r="L16" i="2"/>
  <c r="L12" i="2"/>
  <c r="L9" i="2"/>
  <c r="L13" i="2" s="1"/>
  <c r="L15" i="2" s="1"/>
  <c r="L4" i="1"/>
  <c r="L7" i="1" s="1"/>
  <c r="L17" i="2" l="1"/>
  <c r="W15" i="2"/>
  <c r="W17" i="2" s="1"/>
  <c r="W19" i="2" s="1"/>
  <c r="W20" i="2" s="1"/>
  <c r="W24" i="2"/>
  <c r="X15" i="2"/>
  <c r="X17" i="2" s="1"/>
  <c r="X19" i="2" s="1"/>
  <c r="X20" i="2" s="1"/>
  <c r="X24" i="2"/>
  <c r="Z15" i="2"/>
  <c r="Z17" i="2" s="1"/>
  <c r="Z19" i="2" s="1"/>
  <c r="Z20" i="2" s="1"/>
  <c r="Z24" i="2"/>
  <c r="K74" i="2"/>
  <c r="AC15" i="2"/>
  <c r="AC17" i="2" s="1"/>
  <c r="AC19" i="2" s="1"/>
  <c r="AC20" i="2" s="1"/>
  <c r="AC24" i="2"/>
  <c r="AA15" i="2"/>
  <c r="AA17" i="2" s="1"/>
  <c r="AA19" i="2" s="1"/>
  <c r="AA20" i="2" s="1"/>
  <c r="AA24" i="2"/>
  <c r="K62" i="2"/>
  <c r="K67" i="2"/>
  <c r="L67" i="2"/>
  <c r="G17" i="2"/>
  <c r="G19" i="2" s="1"/>
  <c r="G20" i="2" s="1"/>
  <c r="K23" i="2"/>
  <c r="K13" i="2"/>
  <c r="K15" i="2" s="1"/>
  <c r="K17" i="2" s="1"/>
  <c r="K19" i="2" s="1"/>
  <c r="L62" i="2"/>
  <c r="L37" i="2"/>
  <c r="L19" i="2"/>
  <c r="L20" i="2" s="1"/>
  <c r="L74" i="2"/>
  <c r="L23" i="2"/>
  <c r="L26" i="2"/>
  <c r="H13" i="2"/>
  <c r="H15" i="2" s="1"/>
  <c r="H17" i="2" s="1"/>
  <c r="H19" i="2" s="1"/>
  <c r="H20" i="2" s="1"/>
  <c r="K76" i="2" l="1"/>
  <c r="L51" i="2"/>
  <c r="K20" i="2"/>
  <c r="K51" i="2"/>
  <c r="L76" i="2"/>
</calcChain>
</file>

<file path=xl/sharedStrings.xml><?xml version="1.0" encoding="utf-8"?>
<sst xmlns="http://schemas.openxmlformats.org/spreadsheetml/2006/main" count="101" uniqueCount="90">
  <si>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</si>
  <si>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</si>
  <si>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</si>
  <si>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</si>
  <si>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</si>
  <si>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</si>
  <si>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</si>
  <si>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</si>
  <si>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</si>
  <si>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</si>
  <si>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</si>
  <si>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</si>
  <si>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</si>
  <si>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</si>
  <si>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</si>
  <si>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</si>
  <si>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</si>
  <si>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</si>
  <si>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</si>
  <si>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</si>
  <si>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Service</t>
  </si>
  <si>
    <t>Product</t>
  </si>
  <si>
    <t>Operating Income</t>
  </si>
  <si>
    <t>Operating Expenses</t>
  </si>
  <si>
    <t>Gross Profit</t>
  </si>
  <si>
    <t>COGS</t>
  </si>
  <si>
    <t>CoS</t>
  </si>
  <si>
    <t>CoP</t>
  </si>
  <si>
    <t>Interest Income</t>
  </si>
  <si>
    <t>Pretax Income</t>
  </si>
  <si>
    <t>Taxes</t>
  </si>
  <si>
    <t>Net Income</t>
  </si>
  <si>
    <t>EPS</t>
  </si>
  <si>
    <t>AR</t>
  </si>
  <si>
    <t>Inventory</t>
  </si>
  <si>
    <t>Prepaids</t>
  </si>
  <si>
    <t>OCA</t>
  </si>
  <si>
    <t>PP&amp;E</t>
  </si>
  <si>
    <t>Assets</t>
  </si>
  <si>
    <t>OA</t>
  </si>
  <si>
    <t>DTA</t>
  </si>
  <si>
    <t>Goodwill</t>
  </si>
  <si>
    <t>Lease</t>
  </si>
  <si>
    <t>L+SE</t>
  </si>
  <si>
    <t>SE</t>
  </si>
  <si>
    <t>AP</t>
  </si>
  <si>
    <t>Accrued Compensation</t>
  </si>
  <si>
    <t>DR</t>
  </si>
  <si>
    <t>Accrued Liabilities</t>
  </si>
  <si>
    <t>OCL</t>
  </si>
  <si>
    <t>DT</t>
  </si>
  <si>
    <t>OLTL</t>
  </si>
  <si>
    <t>Net Cash</t>
  </si>
  <si>
    <t>Revenue y/y</t>
  </si>
  <si>
    <t>Model NI</t>
  </si>
  <si>
    <t>Reported NI</t>
  </si>
  <si>
    <t>D&amp;A</t>
  </si>
  <si>
    <t>SBC</t>
  </si>
  <si>
    <t>Impairments</t>
  </si>
  <si>
    <t>Investments</t>
  </si>
  <si>
    <t>Credit Losses</t>
  </si>
  <si>
    <t>Divestitures</t>
  </si>
  <si>
    <t>Other</t>
  </si>
  <si>
    <t>WC</t>
  </si>
  <si>
    <t>CFFO</t>
  </si>
  <si>
    <t>Acquisitions</t>
  </si>
  <si>
    <t>CapEx</t>
  </si>
  <si>
    <t>CFFI</t>
  </si>
  <si>
    <t>ESOP</t>
  </si>
  <si>
    <t>Buyback</t>
  </si>
  <si>
    <t>Purchases of Equity</t>
  </si>
  <si>
    <t>CFFF</t>
  </si>
  <si>
    <t>FX</t>
  </si>
  <si>
    <t>CIC</t>
  </si>
  <si>
    <t>RMS</t>
  </si>
  <si>
    <t>DSA</t>
  </si>
  <si>
    <t>Founded: 1947</t>
  </si>
  <si>
    <t>IPO: 2000</t>
  </si>
  <si>
    <t>HQ: Wilmington, MA</t>
  </si>
  <si>
    <t>140 rodents</t>
  </si>
  <si>
    <t>RMS - 19%</t>
  </si>
  <si>
    <t>DSA - 63%</t>
  </si>
  <si>
    <t>Toxicology?</t>
  </si>
  <si>
    <t>Manufacturing - 17%</t>
  </si>
  <si>
    <t>Manufacturing</t>
  </si>
  <si>
    <t>Gross Margin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</si>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</sst>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0A6687-DD71-46E6-A3F2-3FF7721052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53984</xdr:colOff>
      <xdr:row>0</xdr:row>
      <xdr:rowOff>3153</xdr:rowOff>
    </xdr:from>
    <xdr:to>
      <xdr:col>13</xdr:col>
      <xdr:colOff>53984</xdr:colOff>
      <xdr:row>79</xdr:row>
      <xdr:rowOff>81224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0E3034-3C24-0480-237C-D3530CCD60BB}"/>
            </a:ext>
          </a:extLst>
        </xdr:cNvPr>
        <xdr:cNvCxnSpPr/>
      </xdr:nvCxnSpPr>
      <xdr:spPr>
        <a:xfrm>
          <a:off x="8501926" y="3153"/>
          <a:ext cx="0" cy="128122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E10E-492B-42C3-A2B1-B5B22F9FA67B}">
  <dimension ref="E2:M12"/>
  <sheetViews>
    <sheetView zoomScale="160" zoomScaleNormal="160" workbookViewId="0">
      <selection activeCell="L3" sqref="L3"/>
    </sheetView>
  </sheetViews>
  <sheetFormatPr defaultRowHeight="12.75" x14ac:dyDescent="0.2"/>
  <sheetData>
    <row r="2" spans="5:13" x14ac:dyDescent="0.2">
      <c r="E2" s="9" t="s">
        <v>80</v>
      </c>
      <c r="K2" t="s">
        <v>0</v>
      </c>
      <c r="L2" s="1">
        <v>117</v>
      </c>
    </row>
    <row r="3" spans="5:13" x14ac:dyDescent="0.2">
      <c r="E3" t="s">
        <v>79</v>
      </c>
      <c r="K3" t="s">
        <v>1</v>
      </c>
      <c r="L3" s="2">
        <v>51.630726000000003</v>
      </c>
      <c r="M3" s="3" t="s">
        <v>6</v>
      </c>
    </row>
    <row r="4" spans="5:13" x14ac:dyDescent="0.2">
      <c r="K4" t="s">
        <v>2</v>
      </c>
      <c r="L4" s="2">
        <f>+L2*L3</f>
        <v>6040.7949420000004</v>
      </c>
    </row>
    <row r="5" spans="5:13" x14ac:dyDescent="0.2">
      <c r="E5" s="9" t="s">
        <v>81</v>
      </c>
      <c r="K5" t="s">
        <v>3</v>
      </c>
      <c r="L5" s="2">
        <v>411</v>
      </c>
      <c r="M5" s="3" t="s">
        <v>6</v>
      </c>
    </row>
    <row r="6" spans="5:13" x14ac:dyDescent="0.2">
      <c r="E6" t="s">
        <v>82</v>
      </c>
      <c r="K6" t="s">
        <v>4</v>
      </c>
      <c r="L6" s="2">
        <v>2409</v>
      </c>
      <c r="M6" s="3" t="s">
        <v>6</v>
      </c>
    </row>
    <row r="7" spans="5:13" x14ac:dyDescent="0.2">
      <c r="K7" t="s">
        <v>5</v>
      </c>
      <c r="L7" s="2">
        <f>+L4-L5+L6</f>
        <v>8038.7949420000004</v>
      </c>
    </row>
    <row r="8" spans="5:13" x14ac:dyDescent="0.2">
      <c r="E8" s="9" t="s">
        <v>83</v>
      </c>
    </row>
    <row r="10" spans="5:13" x14ac:dyDescent="0.2">
      <c r="K10" t="s">
        <v>76</v>
      </c>
    </row>
    <row r="11" spans="5:13" x14ac:dyDescent="0.2">
      <c r="K11" t="s">
        <v>77</v>
      </c>
    </row>
    <row r="12" spans="5:13" x14ac:dyDescent="0.2">
      <c r="K1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803A-3AF6-40B3-A49B-4B32D63A3671}">
  <dimension ref="A1:AH78"/>
  <sheetViews>
    <sheetView tabSelected="1" zoomScale="130" zoomScaleNormal="13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W23" sqref="W23"/>
    </sheetView>
  </sheetViews>
  <sheetFormatPr defaultRowHeight="12.75" x14ac:dyDescent="0.2"/>
  <cols>
    <col min="1" max="1" width="5" bestFit="1" customWidth="1"/>
    <col min="2" max="2" width="21.28515625" customWidth="1"/>
    <col min="3" max="18" width="9.140625" style="3"/>
  </cols>
  <sheetData>
    <row r="1" spans="1:34" x14ac:dyDescent="0.2">
      <c r="A1" t="s">
        <v>7</v>
      </c>
    </row>
    <row r="2" spans="1:3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86</v>
      </c>
      <c r="P2" s="3" t="s">
        <v>87</v>
      </c>
      <c r="Q2" s="3" t="s">
        <v>88</v>
      </c>
      <c r="R2" s="3" t="s">
        <v>89</v>
      </c>
      <c r="V2">
        <v>2016</v>
      </c>
      <c r="W2">
        <f>+X2-1</f>
        <v>2017</v>
      </c>
      <c r="X2">
        <f>+Y2-1</f>
        <v>2018</v>
      </c>
      <c r="Y2">
        <f>+Z2-1</f>
        <v>2019</v>
      </c>
      <c r="Z2">
        <v>2020</v>
      </c>
      <c r="AA2">
        <f>+Z2+1</f>
        <v>2021</v>
      </c>
      <c r="AB2">
        <f t="shared" ref="AB2:AH2" si="0">+AA2+1</f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</row>
    <row r="3" spans="1:34" s="2" customFormat="1" x14ac:dyDescent="0.2">
      <c r="B3" s="2" t="s">
        <v>74</v>
      </c>
      <c r="C3" s="4"/>
      <c r="D3" s="4"/>
      <c r="E3" s="4"/>
      <c r="F3" s="4"/>
      <c r="G3" s="4"/>
      <c r="H3" s="4">
        <v>209.94800000000001</v>
      </c>
      <c r="I3" s="4"/>
      <c r="J3" s="4"/>
      <c r="K3" s="4"/>
      <c r="L3" s="4">
        <v>206.38900000000001</v>
      </c>
      <c r="M3" s="4"/>
      <c r="N3" s="4"/>
      <c r="O3" s="4"/>
      <c r="P3" s="4"/>
      <c r="Q3" s="4"/>
      <c r="R3" s="4"/>
      <c r="AB3" s="2">
        <v>739.17499999999995</v>
      </c>
      <c r="AC3" s="2">
        <v>792.34299999999996</v>
      </c>
    </row>
    <row r="4" spans="1:34" s="2" customFormat="1" x14ac:dyDescent="0.2">
      <c r="B4" s="2" t="s">
        <v>75</v>
      </c>
      <c r="C4" s="4"/>
      <c r="D4" s="4"/>
      <c r="E4" s="4"/>
      <c r="F4" s="4"/>
      <c r="G4" s="4"/>
      <c r="H4" s="4">
        <v>663.45699999999999</v>
      </c>
      <c r="I4" s="4"/>
      <c r="J4" s="4"/>
      <c r="K4" s="4"/>
      <c r="L4" s="4">
        <v>627.41899999999998</v>
      </c>
      <c r="M4" s="4"/>
      <c r="N4" s="4"/>
      <c r="O4" s="4"/>
      <c r="P4" s="4"/>
      <c r="Q4" s="4"/>
      <c r="R4" s="4"/>
      <c r="AB4" s="2">
        <v>2447.3159999999998</v>
      </c>
      <c r="AC4" s="2">
        <v>2615.623</v>
      </c>
    </row>
    <row r="5" spans="1:34" s="2" customFormat="1" x14ac:dyDescent="0.2">
      <c r="B5" s="2" t="s">
        <v>84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AB5" s="2">
        <v>789.56899999999996</v>
      </c>
      <c r="AC5" s="2">
        <v>721.44299999999998</v>
      </c>
    </row>
    <row r="7" spans="1:34" s="2" customFormat="1" x14ac:dyDescent="0.2">
      <c r="B7" s="2" t="s">
        <v>20</v>
      </c>
      <c r="C7" s="4"/>
      <c r="D7" s="4"/>
      <c r="E7" s="4"/>
      <c r="F7" s="4"/>
      <c r="G7" s="4">
        <v>857.36599999999999</v>
      </c>
      <c r="H7" s="4">
        <v>874.89099999999996</v>
      </c>
      <c r="I7" s="4">
        <v>869.75900000000001</v>
      </c>
      <c r="J7" s="4"/>
      <c r="K7" s="4">
        <v>816.86199999999997</v>
      </c>
      <c r="L7" s="4">
        <v>842.9</v>
      </c>
      <c r="M7" s="4">
        <v>832.46299999999997</v>
      </c>
      <c r="N7" s="4"/>
      <c r="O7" s="4"/>
      <c r="P7" s="4"/>
      <c r="Q7" s="4"/>
      <c r="R7" s="4"/>
      <c r="V7" s="2">
        <v>1130.7329999999999</v>
      </c>
      <c r="W7" s="2">
        <v>1298.298</v>
      </c>
      <c r="X7" s="2">
        <v>1687.941</v>
      </c>
      <c r="Y7" s="2">
        <v>2029.3710000000001</v>
      </c>
      <c r="Z7" s="2">
        <v>2296.1559999999999</v>
      </c>
      <c r="AA7" s="2">
        <v>2755.5790000000002</v>
      </c>
      <c r="AB7" s="2">
        <v>3216.904</v>
      </c>
      <c r="AC7" s="2">
        <v>3440.0189999999998</v>
      </c>
    </row>
    <row r="8" spans="1:34" s="2" customFormat="1" x14ac:dyDescent="0.2">
      <c r="B8" s="2" t="s">
        <v>21</v>
      </c>
      <c r="C8" s="4"/>
      <c r="D8" s="4"/>
      <c r="E8" s="4"/>
      <c r="F8" s="4"/>
      <c r="G8" s="4">
        <v>172.00700000000001</v>
      </c>
      <c r="H8" s="4">
        <v>185.04599999999999</v>
      </c>
      <c r="I8" s="4">
        <v>156.864</v>
      </c>
      <c r="J8" s="4"/>
      <c r="K8" s="4">
        <v>194.69800000000001</v>
      </c>
      <c r="L8" s="4">
        <v>183.21700000000001</v>
      </c>
      <c r="M8" s="4">
        <v>177.3</v>
      </c>
      <c r="N8" s="4"/>
      <c r="O8" s="4"/>
      <c r="P8" s="4"/>
      <c r="Q8" s="4"/>
      <c r="R8" s="4"/>
      <c r="V8" s="2">
        <v>550.69899999999996</v>
      </c>
      <c r="W8" s="2">
        <v>559.303</v>
      </c>
      <c r="X8" s="2">
        <v>578.15499999999997</v>
      </c>
      <c r="Y8" s="2">
        <v>591.85500000000002</v>
      </c>
      <c r="Z8" s="2">
        <v>627.77700000000004</v>
      </c>
      <c r="AA8" s="2">
        <v>784.58100000000002</v>
      </c>
      <c r="AB8" s="2">
        <v>759.15599999999995</v>
      </c>
      <c r="AC8" s="2">
        <v>689.39</v>
      </c>
    </row>
    <row r="9" spans="1:34" s="5" customFormat="1" x14ac:dyDescent="0.2">
      <c r="B9" s="5" t="s">
        <v>8</v>
      </c>
      <c r="C9" s="6"/>
      <c r="D9" s="6"/>
      <c r="E9" s="6"/>
      <c r="F9" s="6"/>
      <c r="G9" s="6">
        <f>+G7+G8</f>
        <v>1029.373</v>
      </c>
      <c r="H9" s="6">
        <f>+H7+H8</f>
        <v>1059.9369999999999</v>
      </c>
      <c r="I9" s="6">
        <f>+I7+I8</f>
        <v>1026.623</v>
      </c>
      <c r="J9" s="6"/>
      <c r="K9" s="6">
        <f>+K7+K8</f>
        <v>1011.56</v>
      </c>
      <c r="L9" s="6">
        <f>+L7+L8</f>
        <v>1026.117</v>
      </c>
      <c r="M9" s="6">
        <f>+M7+M8</f>
        <v>1009.7629999999999</v>
      </c>
      <c r="N9" s="6">
        <f>+N7+N8</f>
        <v>0</v>
      </c>
      <c r="O9" s="6">
        <f>+O7+O8</f>
        <v>0</v>
      </c>
      <c r="P9" s="6">
        <f>+P7+P8</f>
        <v>0</v>
      </c>
      <c r="Q9" s="6">
        <f>+Q7+Q8</f>
        <v>0</v>
      </c>
      <c r="R9" s="6">
        <f>+R7+R8</f>
        <v>0</v>
      </c>
      <c r="V9" s="5">
        <f>+V7+V8</f>
        <v>1681.4319999999998</v>
      </c>
      <c r="W9" s="5">
        <f>+W7+W8</f>
        <v>1857.6010000000001</v>
      </c>
      <c r="X9" s="5">
        <f>+X7+X8</f>
        <v>2266.096</v>
      </c>
      <c r="Y9" s="5">
        <f>+Y7+Y8</f>
        <v>2621.2260000000001</v>
      </c>
      <c r="Z9" s="5">
        <f>+Z7+Z8</f>
        <v>2923.933</v>
      </c>
      <c r="AA9" s="5">
        <f>+AA7+AA8</f>
        <v>3540.1600000000003</v>
      </c>
      <c r="AB9" s="5">
        <f>+AB7+AB8</f>
        <v>3976.06</v>
      </c>
      <c r="AC9" s="5">
        <f>+AC7+AC8</f>
        <v>4129.4089999999997</v>
      </c>
      <c r="AD9" s="5">
        <v>4049.989</v>
      </c>
    </row>
    <row r="10" spans="1:34" s="2" customFormat="1" x14ac:dyDescent="0.2">
      <c r="B10" s="2" t="s">
        <v>26</v>
      </c>
      <c r="C10" s="4"/>
      <c r="D10" s="4"/>
      <c r="E10" s="4"/>
      <c r="F10" s="4"/>
      <c r="G10" s="4">
        <v>565.47699999999998</v>
      </c>
      <c r="H10" s="4">
        <v>578.09900000000005</v>
      </c>
      <c r="I10" s="4">
        <v>587.55999999999995</v>
      </c>
      <c r="J10" s="4"/>
      <c r="K10" s="4">
        <v>578.16399999999999</v>
      </c>
      <c r="L10" s="4">
        <v>577.38300000000004</v>
      </c>
      <c r="M10" s="4">
        <v>568.69899999999996</v>
      </c>
      <c r="N10" s="4"/>
      <c r="O10" s="4"/>
      <c r="P10" s="4"/>
      <c r="Q10" s="4"/>
      <c r="R10" s="4"/>
      <c r="V10" s="2">
        <v>760.43899999999996</v>
      </c>
      <c r="W10" s="2">
        <v>867.01400000000001</v>
      </c>
      <c r="X10" s="2">
        <v>1150.3710000000001</v>
      </c>
      <c r="Y10" s="2">
        <v>1371.6990000000001</v>
      </c>
      <c r="Z10" s="2">
        <v>1533.23</v>
      </c>
    </row>
    <row r="11" spans="1:34" s="2" customFormat="1" x14ac:dyDescent="0.2">
      <c r="B11" s="2" t="s">
        <v>27</v>
      </c>
      <c r="C11" s="4"/>
      <c r="D11" s="4"/>
      <c r="E11" s="4"/>
      <c r="F11" s="4"/>
      <c r="G11" s="4">
        <v>86.242000000000004</v>
      </c>
      <c r="H11" s="4">
        <v>82.861000000000004</v>
      </c>
      <c r="I11" s="4">
        <v>77.222999999999999</v>
      </c>
      <c r="J11" s="4"/>
      <c r="K11" s="4">
        <v>88.552999999999997</v>
      </c>
      <c r="L11" s="4">
        <v>95.021000000000001</v>
      </c>
      <c r="M11" s="4">
        <v>92.043000000000006</v>
      </c>
      <c r="N11" s="4"/>
      <c r="O11" s="4"/>
      <c r="P11" s="4"/>
      <c r="Q11" s="4"/>
      <c r="R11" s="4"/>
      <c r="V11" s="2">
        <v>277.03399999999999</v>
      </c>
      <c r="W11" s="2">
        <v>289.66899999999998</v>
      </c>
      <c r="X11" s="2">
        <v>275.65800000000002</v>
      </c>
      <c r="Y11" s="2">
        <v>291.21600000000001</v>
      </c>
      <c r="Z11" s="2">
        <v>317.16199999999998</v>
      </c>
    </row>
    <row r="12" spans="1:34" s="2" customFormat="1" x14ac:dyDescent="0.2">
      <c r="B12" s="2" t="s">
        <v>25</v>
      </c>
      <c r="C12" s="4"/>
      <c r="D12" s="4"/>
      <c r="E12" s="4"/>
      <c r="F12" s="4"/>
      <c r="G12" s="4">
        <f>+G10+G11</f>
        <v>651.71899999999994</v>
      </c>
      <c r="H12" s="4">
        <f>+H10+H11</f>
        <v>660.96</v>
      </c>
      <c r="I12" s="4">
        <f>+I10+I11</f>
        <v>664.7829999999999</v>
      </c>
      <c r="J12" s="4"/>
      <c r="K12" s="4">
        <f>+K10+K11</f>
        <v>666.71699999999998</v>
      </c>
      <c r="L12" s="4">
        <f>+L10+L11</f>
        <v>672.404</v>
      </c>
      <c r="M12" s="4">
        <f>+M10+M11</f>
        <v>660.74199999999996</v>
      </c>
      <c r="N12" s="4"/>
      <c r="O12" s="4"/>
      <c r="P12" s="4"/>
      <c r="Q12" s="4"/>
      <c r="R12" s="4"/>
      <c r="V12" s="2">
        <f>+V11+V10</f>
        <v>1037.473</v>
      </c>
      <c r="W12" s="2">
        <f>+W11+W10</f>
        <v>1156.683</v>
      </c>
      <c r="X12" s="2">
        <f>+X11+X10</f>
        <v>1426.029</v>
      </c>
      <c r="Y12" s="2">
        <f>+Y11+Y10</f>
        <v>1662.915</v>
      </c>
      <c r="Z12" s="2">
        <f>+Z11+Z10</f>
        <v>1850.3920000000001</v>
      </c>
      <c r="AA12" s="2">
        <f>1837.487+368.035</f>
        <v>2205.5219999999999</v>
      </c>
      <c r="AB12" s="2">
        <f>2143.318+370.091</f>
        <v>2513.4090000000001</v>
      </c>
      <c r="AC12" s="2">
        <f>2295.983+330.87</f>
        <v>2626.8530000000001</v>
      </c>
    </row>
    <row r="13" spans="1:34" s="2" customFormat="1" x14ac:dyDescent="0.2">
      <c r="B13" s="2" t="s">
        <v>24</v>
      </c>
      <c r="C13" s="4"/>
      <c r="D13" s="4"/>
      <c r="E13" s="4"/>
      <c r="F13" s="4"/>
      <c r="G13" s="4">
        <f>+G9-G12</f>
        <v>377.65400000000011</v>
      </c>
      <c r="H13" s="4">
        <f>+H9-H12</f>
        <v>398.97699999999986</v>
      </c>
      <c r="I13" s="4">
        <f>+I9-I12</f>
        <v>361.84000000000015</v>
      </c>
      <c r="J13" s="4"/>
      <c r="K13" s="4">
        <f>+K9-K12</f>
        <v>344.84299999999996</v>
      </c>
      <c r="L13" s="4">
        <f>+L9-L12</f>
        <v>353.71299999999997</v>
      </c>
      <c r="M13" s="4">
        <f>+M9-M12</f>
        <v>349.02099999999996</v>
      </c>
      <c r="N13" s="4"/>
      <c r="O13" s="4"/>
      <c r="P13" s="4"/>
      <c r="Q13" s="4"/>
      <c r="R13" s="4"/>
      <c r="V13" s="2">
        <f>+V9-V12</f>
        <v>643.95899999999983</v>
      </c>
      <c r="W13" s="2">
        <f>+W9-W12</f>
        <v>700.91800000000012</v>
      </c>
      <c r="X13" s="2">
        <f>+X9-X12</f>
        <v>840.06700000000001</v>
      </c>
      <c r="Y13" s="2">
        <f>+Y9-Y12</f>
        <v>958.31100000000015</v>
      </c>
      <c r="Z13" s="2">
        <f>+Z9-Z12</f>
        <v>1073.5409999999999</v>
      </c>
      <c r="AA13" s="2">
        <f>+AA9-AA12</f>
        <v>1334.6380000000004</v>
      </c>
      <c r="AB13" s="2">
        <f>+AB9-AB12</f>
        <v>1462.6509999999998</v>
      </c>
      <c r="AC13" s="2">
        <f>+AC9-AC12</f>
        <v>1502.5559999999996</v>
      </c>
    </row>
    <row r="14" spans="1:34" s="2" customFormat="1" x14ac:dyDescent="0.2">
      <c r="B14" s="2" t="s">
        <v>23</v>
      </c>
      <c r="C14" s="4"/>
      <c r="D14" s="4"/>
      <c r="E14" s="4"/>
      <c r="F14" s="4"/>
      <c r="G14" s="4">
        <v>174.846</v>
      </c>
      <c r="H14" s="4">
        <v>199.75800000000001</v>
      </c>
      <c r="I14" s="4">
        <v>176.10900000000001</v>
      </c>
      <c r="J14" s="4"/>
      <c r="K14" s="4">
        <v>186.291</v>
      </c>
      <c r="L14" s="4">
        <v>169.791</v>
      </c>
      <c r="M14" s="4">
        <v>199.21299999999999</v>
      </c>
      <c r="N14" s="4"/>
      <c r="O14" s="4"/>
      <c r="P14" s="4"/>
      <c r="Q14" s="4"/>
      <c r="R14" s="4"/>
      <c r="V14" s="2">
        <v>364.70800000000003</v>
      </c>
      <c r="W14" s="2">
        <v>371.26600000000002</v>
      </c>
      <c r="X14" s="2">
        <v>443.85399999999998</v>
      </c>
      <c r="Y14" s="2">
        <v>517.62199999999996</v>
      </c>
      <c r="Z14" s="2">
        <v>528.93499999999995</v>
      </c>
      <c r="AA14" s="2">
        <v>619.91899999999998</v>
      </c>
      <c r="AB14" s="2">
        <v>665.09799999999996</v>
      </c>
      <c r="AC14" s="2">
        <v>747.85500000000002</v>
      </c>
    </row>
    <row r="15" spans="1:34" s="2" customFormat="1" x14ac:dyDescent="0.2">
      <c r="B15" s="2" t="s">
        <v>22</v>
      </c>
      <c r="C15" s="4"/>
      <c r="D15" s="4"/>
      <c r="E15" s="4"/>
      <c r="F15" s="4"/>
      <c r="G15" s="4">
        <f>+G13-G14</f>
        <v>202.80800000000011</v>
      </c>
      <c r="H15" s="4">
        <f>+H13-H14</f>
        <v>199.21899999999985</v>
      </c>
      <c r="I15" s="4">
        <f>+I13-I14</f>
        <v>185.73100000000014</v>
      </c>
      <c r="J15" s="4"/>
      <c r="K15" s="4">
        <f>+K13-K14</f>
        <v>158.55199999999996</v>
      </c>
      <c r="L15" s="4">
        <f>+L13-L14</f>
        <v>183.92199999999997</v>
      </c>
      <c r="M15" s="4">
        <f>+M13-M14</f>
        <v>149.80799999999996</v>
      </c>
      <c r="N15" s="4"/>
      <c r="O15" s="4"/>
      <c r="P15" s="4"/>
      <c r="Q15" s="4"/>
      <c r="R15" s="4"/>
      <c r="V15" s="2">
        <f>+V13-V14</f>
        <v>279.25099999999981</v>
      </c>
      <c r="W15" s="2">
        <f>+W13-W14</f>
        <v>329.6520000000001</v>
      </c>
      <c r="X15" s="2">
        <f>+X13-X14</f>
        <v>396.21300000000002</v>
      </c>
      <c r="Y15" s="2">
        <f>+Y13-Y14</f>
        <v>440.68900000000019</v>
      </c>
      <c r="Z15" s="2">
        <f>+Z13-Z14</f>
        <v>544.60599999999999</v>
      </c>
      <c r="AA15" s="2">
        <f>+AA13-AA14</f>
        <v>714.71900000000039</v>
      </c>
      <c r="AB15" s="2">
        <f>+AB13-AB14</f>
        <v>797.55299999999988</v>
      </c>
      <c r="AC15" s="2">
        <f>+AC13-AC14</f>
        <v>754.70099999999957</v>
      </c>
    </row>
    <row r="16" spans="1:34" s="2" customFormat="1" x14ac:dyDescent="0.2">
      <c r="B16" s="2" t="s">
        <v>28</v>
      </c>
      <c r="C16" s="4"/>
      <c r="D16" s="4"/>
      <c r="E16" s="4"/>
      <c r="F16" s="4"/>
      <c r="G16" s="4">
        <f>-34.38+0.806-3.277</f>
        <v>-36.851000000000006</v>
      </c>
      <c r="H16" s="4">
        <f>-35.044+1.426-2.663</f>
        <v>-36.280999999999992</v>
      </c>
      <c r="I16" s="4">
        <f>-33.742+1.373</f>
        <v>-32.369</v>
      </c>
      <c r="J16" s="4"/>
      <c r="K16" s="4">
        <f>-35.001+2.2+5.833</f>
        <v>-26.967999999999996</v>
      </c>
      <c r="L16" s="4">
        <f>3.01-32.769-2.24</f>
        <v>-31.999000000000002</v>
      </c>
      <c r="M16" s="4">
        <f>-30.284+1.528+2.592</f>
        <v>-26.164000000000001</v>
      </c>
      <c r="N16" s="4"/>
      <c r="O16" s="4"/>
      <c r="P16" s="4"/>
      <c r="Q16" s="4"/>
      <c r="R16" s="4"/>
      <c r="V16" s="2">
        <f>-27.709+1.314</f>
        <v>-26.395</v>
      </c>
      <c r="W16" s="2">
        <f>-29.777+0.69</f>
        <v>-29.087</v>
      </c>
      <c r="X16" s="2">
        <f>-63.772+13.258</f>
        <v>-50.513999999999996</v>
      </c>
      <c r="Y16" s="2">
        <f>-60.882+1.522</f>
        <v>-59.36</v>
      </c>
      <c r="Z16" s="2">
        <f>-86.433+0.834</f>
        <v>-85.599000000000004</v>
      </c>
      <c r="AA16" s="2">
        <f>0.652-73.91-35.894</f>
        <v>-109.15199999999999</v>
      </c>
      <c r="AB16" s="2">
        <f>0.78-59.291+30.523</f>
        <v>-27.987999999999996</v>
      </c>
      <c r="AC16" s="2">
        <f>5.196-136.71+95.537</f>
        <v>-35.977000000000004</v>
      </c>
    </row>
    <row r="17" spans="2:30" s="2" customFormat="1" x14ac:dyDescent="0.2">
      <c r="B17" s="2" t="s">
        <v>29</v>
      </c>
      <c r="C17" s="4"/>
      <c r="D17" s="4"/>
      <c r="E17" s="4"/>
      <c r="F17" s="4"/>
      <c r="G17" s="4">
        <f>+G15+G16</f>
        <v>165.95700000000011</v>
      </c>
      <c r="H17" s="4">
        <f>+H15+H16</f>
        <v>162.93799999999987</v>
      </c>
      <c r="I17" s="4">
        <f>+I15+I16</f>
        <v>153.36200000000014</v>
      </c>
      <c r="J17" s="4"/>
      <c r="K17" s="4">
        <f>+K15+K16</f>
        <v>131.58399999999997</v>
      </c>
      <c r="L17" s="4">
        <f>+L15+L16</f>
        <v>151.92299999999997</v>
      </c>
      <c r="M17" s="4">
        <f>+M15+M16</f>
        <v>123.64399999999996</v>
      </c>
      <c r="N17" s="4"/>
      <c r="O17" s="4"/>
      <c r="P17" s="4"/>
      <c r="Q17" s="4"/>
      <c r="R17" s="4"/>
      <c r="V17" s="2">
        <f t="shared" ref="V17:W17" si="1">+V15+V16</f>
        <v>252.8559999999998</v>
      </c>
      <c r="W17" s="2">
        <f t="shared" si="1"/>
        <v>300.56500000000011</v>
      </c>
      <c r="X17" s="2">
        <f t="shared" ref="X17:AA17" si="2">+X15+X16</f>
        <v>345.69900000000001</v>
      </c>
      <c r="Y17" s="2">
        <f t="shared" si="2"/>
        <v>381.32900000000018</v>
      </c>
      <c r="Z17" s="2">
        <f t="shared" si="2"/>
        <v>459.00700000000001</v>
      </c>
      <c r="AA17" s="2">
        <f t="shared" ref="AA17:AB17" si="3">+AA15+AA16</f>
        <v>605.56700000000046</v>
      </c>
      <c r="AB17" s="2">
        <f t="shared" si="3"/>
        <v>769.56499999999994</v>
      </c>
      <c r="AC17" s="2">
        <f>+AC15+AC16</f>
        <v>718.72399999999959</v>
      </c>
    </row>
    <row r="18" spans="2:30" s="2" customFormat="1" x14ac:dyDescent="0.2">
      <c r="B18" s="2" t="s">
        <v>30</v>
      </c>
      <c r="C18" s="4"/>
      <c r="D18" s="4"/>
      <c r="E18" s="4"/>
      <c r="F18" s="4"/>
      <c r="G18" s="4">
        <f>27.087+0.823</f>
        <v>27.91</v>
      </c>
      <c r="H18" s="4">
        <f>29.221+2.423</f>
        <v>31.643999999999998</v>
      </c>
      <c r="I18" s="4">
        <v>24.852</v>
      </c>
      <c r="J18" s="4"/>
      <c r="K18" s="4">
        <f>24.529+1.522</f>
        <v>26.050999999999998</v>
      </c>
      <c r="L18" s="4">
        <f>25.392+0.18</f>
        <v>25.571999999999999</v>
      </c>
      <c r="M18" s="4">
        <v>20.946000000000002</v>
      </c>
      <c r="N18" s="4"/>
      <c r="O18" s="4"/>
      <c r="P18" s="4"/>
      <c r="Q18" s="4"/>
      <c r="R18" s="4"/>
      <c r="V18" s="2">
        <v>66.834999999999994</v>
      </c>
      <c r="W18" s="2">
        <v>171.369</v>
      </c>
      <c r="X18" s="2">
        <v>54.463000000000001</v>
      </c>
      <c r="Y18" s="2">
        <v>50.023000000000003</v>
      </c>
      <c r="Z18" s="2">
        <v>81.808000000000007</v>
      </c>
      <c r="AA18" s="2">
        <f>81.873+7.855</f>
        <v>89.728000000000009</v>
      </c>
      <c r="AB18" s="2">
        <f>130.379+6.382</f>
        <v>136.761</v>
      </c>
      <c r="AC18" s="2">
        <f>100.914+5.746</f>
        <v>106.66</v>
      </c>
    </row>
    <row r="19" spans="2:30" s="2" customFormat="1" x14ac:dyDescent="0.2">
      <c r="B19" s="2" t="s">
        <v>31</v>
      </c>
      <c r="C19" s="4"/>
      <c r="D19" s="4"/>
      <c r="E19" s="4"/>
      <c r="F19" s="4"/>
      <c r="G19" s="4">
        <f>+G17-G18</f>
        <v>138.04700000000011</v>
      </c>
      <c r="H19" s="4">
        <f>+H17-H18</f>
        <v>131.29399999999987</v>
      </c>
      <c r="I19" s="4">
        <f>+I17-I18</f>
        <v>128.51000000000013</v>
      </c>
      <c r="J19" s="4"/>
      <c r="K19" s="4">
        <f>+K17-K18</f>
        <v>105.53299999999997</v>
      </c>
      <c r="L19" s="4">
        <f>+L17-L18</f>
        <v>126.35099999999997</v>
      </c>
      <c r="M19" s="4">
        <f>+M17-M18</f>
        <v>102.69799999999996</v>
      </c>
      <c r="N19" s="4"/>
      <c r="O19" s="4"/>
      <c r="P19" s="4"/>
      <c r="Q19" s="4"/>
      <c r="R19" s="4"/>
      <c r="V19" s="2">
        <f t="shared" ref="V19:W19" si="4">+V17-V18</f>
        <v>186.02099999999979</v>
      </c>
      <c r="W19" s="2">
        <f t="shared" si="4"/>
        <v>129.19600000000011</v>
      </c>
      <c r="X19" s="2">
        <f t="shared" ref="X19:AB19" si="5">+X17-X18</f>
        <v>291.23599999999999</v>
      </c>
      <c r="Y19" s="2">
        <f t="shared" si="5"/>
        <v>331.30600000000015</v>
      </c>
      <c r="Z19" s="2">
        <f t="shared" si="5"/>
        <v>377.19900000000001</v>
      </c>
      <c r="AA19" s="2">
        <f t="shared" si="5"/>
        <v>515.8390000000004</v>
      </c>
      <c r="AB19" s="2">
        <f t="shared" si="5"/>
        <v>632.80399999999997</v>
      </c>
      <c r="AC19" s="2">
        <f>+AC17-AC18</f>
        <v>612.06399999999962</v>
      </c>
    </row>
    <row r="20" spans="2:30" x14ac:dyDescent="0.2">
      <c r="B20" s="2" t="s">
        <v>32</v>
      </c>
      <c r="G20" s="7">
        <f>+G19/G21</f>
        <v>2.6842770475227526</v>
      </c>
      <c r="H20" s="7">
        <f>+H19/H21</f>
        <v>2.5510327005654085</v>
      </c>
      <c r="I20" s="7">
        <f>+I19/I21</f>
        <v>2.490166062743429</v>
      </c>
      <c r="K20" s="7">
        <f>+K19/K21</f>
        <v>2.0356660622661158</v>
      </c>
      <c r="L20" s="7">
        <f>+L19/L21</f>
        <v>2.4370443235736601</v>
      </c>
      <c r="M20" s="7">
        <f>+M19/M21</f>
        <v>1.9909272434716858</v>
      </c>
      <c r="V20" s="1">
        <f t="shared" ref="V20:Z20" si="6">+V19/V21</f>
        <v>3.8788314775428456</v>
      </c>
      <c r="W20" s="1">
        <f t="shared" si="6"/>
        <v>2.6356848504630976</v>
      </c>
      <c r="X20" s="1">
        <f t="shared" si="6"/>
        <v>5.9414092782243255</v>
      </c>
      <c r="Y20" s="1">
        <f t="shared" si="6"/>
        <v>6.667055722133906</v>
      </c>
      <c r="Z20" s="1">
        <f t="shared" si="6"/>
        <v>7.4529054948528985</v>
      </c>
      <c r="AA20" s="1">
        <f>+AA19/AA21</f>
        <v>10.030899368011676</v>
      </c>
      <c r="AB20" s="1">
        <f t="shared" ref="AB20:AC20" si="7">+AB19/AB21</f>
        <v>12.33512017309604</v>
      </c>
      <c r="AC20" s="1">
        <f t="shared" si="7"/>
        <v>11.896056442051654</v>
      </c>
    </row>
    <row r="21" spans="2:30" s="2" customFormat="1" x14ac:dyDescent="0.2">
      <c r="B21" s="2" t="s">
        <v>1</v>
      </c>
      <c r="C21" s="4"/>
      <c r="D21" s="4"/>
      <c r="E21" s="4"/>
      <c r="F21" s="4"/>
      <c r="G21" s="4">
        <v>51.427999999999997</v>
      </c>
      <c r="H21" s="4">
        <v>51.466999999999999</v>
      </c>
      <c r="I21" s="4">
        <v>51.606999999999999</v>
      </c>
      <c r="J21" s="4"/>
      <c r="K21" s="4">
        <v>51.841999999999999</v>
      </c>
      <c r="L21" s="4">
        <v>51.845999999999997</v>
      </c>
      <c r="M21" s="4">
        <v>51.582999999999998</v>
      </c>
      <c r="N21" s="4"/>
      <c r="O21" s="4"/>
      <c r="P21" s="4"/>
      <c r="Q21" s="4"/>
      <c r="R21" s="4"/>
      <c r="V21" s="2">
        <v>47.957999999999998</v>
      </c>
      <c r="W21" s="2">
        <v>49.018000000000001</v>
      </c>
      <c r="X21" s="2">
        <v>49.018000000000001</v>
      </c>
      <c r="Y21" s="2">
        <v>49.692999999999998</v>
      </c>
      <c r="Z21" s="2">
        <v>50.610999999999997</v>
      </c>
      <c r="AA21" s="2">
        <v>51.424999999999997</v>
      </c>
      <c r="AB21" s="2">
        <v>51.301000000000002</v>
      </c>
      <c r="AC21" s="2">
        <v>51.451000000000001</v>
      </c>
    </row>
    <row r="23" spans="2:30" x14ac:dyDescent="0.2">
      <c r="B23" s="2" t="s">
        <v>53</v>
      </c>
      <c r="I23" s="8" t="e">
        <f>+I9/E9-1</f>
        <v>#DIV/0!</v>
      </c>
      <c r="K23" s="8">
        <f>+K9/G9-1</f>
        <v>-1.7304708788748235E-2</v>
      </c>
      <c r="L23" s="8">
        <f>+L9/H9-1</f>
        <v>-3.1907556769883438E-2</v>
      </c>
      <c r="M23" s="8">
        <f>+M9/I9-1</f>
        <v>-1.6422776423283048E-2</v>
      </c>
      <c r="W23" s="10">
        <f>+W9/V9-1</f>
        <v>0.10477319332568924</v>
      </c>
      <c r="X23" s="10">
        <f>+X9/W9-1</f>
        <v>0.2199045973812459</v>
      </c>
      <c r="Y23" s="10">
        <f>+Y9/X9-1</f>
        <v>0.15671445516871318</v>
      </c>
      <c r="Z23" s="10">
        <f>+Z9/Y9-1</f>
        <v>0.11548298391668621</v>
      </c>
      <c r="AA23" s="10">
        <f>+AA9/Z9-1</f>
        <v>0.21075277716691887</v>
      </c>
      <c r="AB23" s="10">
        <f>+AB9/AA9-1</f>
        <v>0.12313002802133233</v>
      </c>
      <c r="AC23" s="10">
        <f>+AC9/AB9-1</f>
        <v>3.8568079958551937E-2</v>
      </c>
      <c r="AD23" s="10">
        <f t="shared" ref="AD23" si="8">+AD9/AC9-1</f>
        <v>-1.923277640940857E-2</v>
      </c>
    </row>
    <row r="24" spans="2:30" x14ac:dyDescent="0.2">
      <c r="B24" s="2" t="s">
        <v>85</v>
      </c>
      <c r="K24" s="8"/>
      <c r="L24" s="8"/>
      <c r="V24" s="10">
        <f>+V13/V9</f>
        <v>0.38298248159901793</v>
      </c>
      <c r="W24" s="10">
        <f>+W13/W9</f>
        <v>0.37732430161267144</v>
      </c>
      <c r="X24" s="10">
        <f>+X13/X9</f>
        <v>0.37071112609527573</v>
      </c>
      <c r="Y24" s="10">
        <f>+Y13/Y9</f>
        <v>0.36559648042557191</v>
      </c>
      <c r="Z24" s="10">
        <f>+Z13/Z9</f>
        <v>0.36715649777200776</v>
      </c>
      <c r="AA24" s="10">
        <f>+AA13/AA9</f>
        <v>0.37699934466238821</v>
      </c>
      <c r="AB24" s="10">
        <f t="shared" ref="AB24:AC24" si="9">+AB13/AB9</f>
        <v>0.36786441854499174</v>
      </c>
      <c r="AC24" s="10">
        <f t="shared" si="9"/>
        <v>0.36386708122155004</v>
      </c>
      <c r="AD24" s="10">
        <f t="shared" ref="AD24" si="10">+AD13/AD9</f>
        <v>0</v>
      </c>
    </row>
    <row r="26" spans="2:30" x14ac:dyDescent="0.2">
      <c r="B26" s="2" t="s">
        <v>52</v>
      </c>
      <c r="L26" s="4">
        <f>+L27-L44</f>
        <v>-1998.308</v>
      </c>
    </row>
    <row r="27" spans="2:30" s="2" customFormat="1" x14ac:dyDescent="0.2">
      <c r="B27" s="2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>
        <f>179.213+231.859</f>
        <v>411.072</v>
      </c>
      <c r="M27" s="4"/>
      <c r="N27" s="4"/>
      <c r="O27" s="4"/>
      <c r="P27" s="4"/>
      <c r="Q27" s="4"/>
      <c r="R27" s="4"/>
    </row>
    <row r="28" spans="2:30" s="2" customFormat="1" x14ac:dyDescent="0.2">
      <c r="B28" s="2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>
        <v>762.221</v>
      </c>
      <c r="M28" s="4"/>
      <c r="N28" s="4"/>
      <c r="O28" s="4"/>
      <c r="P28" s="4"/>
      <c r="Q28" s="4"/>
      <c r="R28" s="4"/>
    </row>
    <row r="29" spans="2:30" s="2" customFormat="1" x14ac:dyDescent="0.2">
      <c r="B29" s="2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>
        <v>349.11099999999999</v>
      </c>
      <c r="M29" s="4"/>
      <c r="N29" s="4"/>
      <c r="O29" s="4"/>
      <c r="P29" s="4"/>
      <c r="Q29" s="4"/>
      <c r="R29" s="4"/>
    </row>
    <row r="30" spans="2:30" s="2" customFormat="1" x14ac:dyDescent="0.2">
      <c r="B30" s="2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>
        <v>97.891999999999996</v>
      </c>
      <c r="M30" s="4"/>
      <c r="N30" s="4"/>
      <c r="O30" s="4"/>
      <c r="P30" s="4"/>
      <c r="Q30" s="4"/>
      <c r="R30" s="4"/>
    </row>
    <row r="31" spans="2:30" s="2" customFormat="1" x14ac:dyDescent="0.2">
      <c r="B31" s="2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>
        <v>110.836</v>
      </c>
      <c r="M31" s="4"/>
      <c r="N31" s="4"/>
      <c r="O31" s="4"/>
      <c r="P31" s="4"/>
      <c r="Q31" s="4"/>
      <c r="R31" s="4"/>
    </row>
    <row r="32" spans="2:30" s="2" customFormat="1" x14ac:dyDescent="0.2">
      <c r="B32" s="2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>
        <v>1613.895</v>
      </c>
      <c r="M32" s="4"/>
      <c r="N32" s="4"/>
      <c r="O32" s="4"/>
      <c r="P32" s="4"/>
      <c r="Q32" s="4"/>
      <c r="R32" s="4"/>
    </row>
    <row r="33" spans="2:18" s="2" customFormat="1" x14ac:dyDescent="0.2">
      <c r="B33" s="2" t="s">
        <v>42</v>
      </c>
      <c r="C33" s="4"/>
      <c r="D33" s="4"/>
      <c r="E33" s="4"/>
      <c r="F33" s="4"/>
      <c r="G33" s="4"/>
      <c r="H33" s="4"/>
      <c r="I33" s="4"/>
      <c r="J33" s="4"/>
      <c r="K33" s="4"/>
      <c r="L33" s="4">
        <v>386.14699999999999</v>
      </c>
      <c r="M33" s="4"/>
      <c r="N33" s="4"/>
      <c r="O33" s="4"/>
      <c r="P33" s="4"/>
      <c r="Q33" s="4"/>
      <c r="R33" s="4"/>
    </row>
    <row r="34" spans="2:18" s="2" customFormat="1" x14ac:dyDescent="0.2">
      <c r="B34" s="2" t="s">
        <v>41</v>
      </c>
      <c r="C34" s="4"/>
      <c r="D34" s="4"/>
      <c r="E34" s="4"/>
      <c r="F34" s="4"/>
      <c r="G34" s="4"/>
      <c r="H34" s="4"/>
      <c r="I34" s="4"/>
      <c r="J34" s="4"/>
      <c r="K34" s="4"/>
      <c r="L34" s="4">
        <f>3079.693+800.129</f>
        <v>3879.8220000000001</v>
      </c>
      <c r="M34" s="4"/>
      <c r="N34" s="4"/>
      <c r="O34" s="4"/>
      <c r="P34" s="4"/>
      <c r="Q34" s="4"/>
      <c r="R34" s="4"/>
    </row>
    <row r="35" spans="2:18" s="2" customFormat="1" x14ac:dyDescent="0.2">
      <c r="B35" s="2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>
        <v>36.109000000000002</v>
      </c>
      <c r="M35" s="4"/>
      <c r="N35" s="4"/>
      <c r="O35" s="4"/>
      <c r="P35" s="4"/>
      <c r="Q35" s="4"/>
      <c r="R35" s="4"/>
    </row>
    <row r="36" spans="2:18" s="2" customFormat="1" x14ac:dyDescent="0.2">
      <c r="B36" s="2" t="s">
        <v>39</v>
      </c>
      <c r="C36" s="4"/>
      <c r="D36" s="4"/>
      <c r="E36" s="4"/>
      <c r="F36" s="4"/>
      <c r="G36" s="4"/>
      <c r="H36" s="4"/>
      <c r="I36" s="4"/>
      <c r="J36" s="4"/>
      <c r="K36" s="4"/>
      <c r="L36" s="4">
        <v>301.178</v>
      </c>
      <c r="M36" s="4"/>
      <c r="N36" s="4"/>
      <c r="O36" s="4"/>
      <c r="P36" s="4"/>
      <c r="Q36" s="4"/>
      <c r="R36" s="4"/>
    </row>
    <row r="37" spans="2:18" s="2" customFormat="1" x14ac:dyDescent="0.2">
      <c r="B37" s="2" t="s">
        <v>38</v>
      </c>
      <c r="C37" s="4"/>
      <c r="D37" s="4"/>
      <c r="E37" s="4"/>
      <c r="F37" s="4"/>
      <c r="G37" s="4"/>
      <c r="H37" s="4"/>
      <c r="I37" s="4"/>
      <c r="J37" s="4"/>
      <c r="K37" s="4"/>
      <c r="L37" s="4">
        <f>SUM(L27:L36)</f>
        <v>7948.2830000000004</v>
      </c>
      <c r="M37" s="4"/>
      <c r="N37" s="4"/>
      <c r="O37" s="4"/>
      <c r="P37" s="4"/>
      <c r="Q37" s="4"/>
      <c r="R37" s="4"/>
    </row>
    <row r="39" spans="2:18" s="2" customFormat="1" x14ac:dyDescent="0.2">
      <c r="B39" s="2" t="s">
        <v>45</v>
      </c>
      <c r="C39" s="4"/>
      <c r="D39" s="4"/>
      <c r="E39" s="4"/>
      <c r="F39" s="4"/>
      <c r="G39" s="4"/>
      <c r="H39" s="4"/>
      <c r="I39" s="4"/>
      <c r="J39" s="4"/>
      <c r="K39" s="4"/>
      <c r="L39" s="4">
        <v>133.101</v>
      </c>
      <c r="M39" s="4"/>
      <c r="N39" s="4"/>
      <c r="O39" s="4"/>
      <c r="P39" s="4"/>
      <c r="Q39" s="4"/>
      <c r="R39" s="4"/>
    </row>
    <row r="40" spans="2:18" s="2" customFormat="1" x14ac:dyDescent="0.2">
      <c r="B40" s="2" t="s">
        <v>46</v>
      </c>
      <c r="C40" s="4"/>
      <c r="D40" s="4"/>
      <c r="E40" s="4"/>
      <c r="F40" s="4"/>
      <c r="G40" s="4"/>
      <c r="H40" s="4"/>
      <c r="I40" s="4"/>
      <c r="J40" s="4"/>
      <c r="K40" s="4"/>
      <c r="L40" s="4">
        <v>176.667</v>
      </c>
      <c r="M40" s="4"/>
      <c r="N40" s="4"/>
      <c r="O40" s="4"/>
      <c r="P40" s="4"/>
      <c r="Q40" s="4"/>
      <c r="R40" s="4"/>
    </row>
    <row r="41" spans="2:18" s="2" customFormat="1" x14ac:dyDescent="0.2">
      <c r="B41" s="2" t="s">
        <v>47</v>
      </c>
      <c r="C41" s="4"/>
      <c r="D41" s="4"/>
      <c r="E41" s="4"/>
      <c r="F41" s="4"/>
      <c r="G41" s="4"/>
      <c r="H41" s="4"/>
      <c r="I41" s="4"/>
      <c r="J41" s="4"/>
      <c r="K41" s="4"/>
      <c r="L41" s="4">
        <v>247.17699999999999</v>
      </c>
      <c r="M41" s="4"/>
      <c r="N41" s="4"/>
      <c r="O41" s="4"/>
      <c r="P41" s="4"/>
      <c r="Q41" s="4"/>
      <c r="R41" s="4"/>
    </row>
    <row r="42" spans="2:18" s="2" customFormat="1" x14ac:dyDescent="0.2">
      <c r="B42" s="2" t="s">
        <v>48</v>
      </c>
      <c r="C42" s="4"/>
      <c r="D42" s="4"/>
      <c r="E42" s="4"/>
      <c r="F42" s="4"/>
      <c r="G42" s="4"/>
      <c r="H42" s="4"/>
      <c r="I42" s="4"/>
      <c r="J42" s="4"/>
      <c r="K42" s="4"/>
      <c r="L42" s="4">
        <v>192.15600000000001</v>
      </c>
      <c r="M42" s="4"/>
      <c r="N42" s="4"/>
      <c r="O42" s="4"/>
      <c r="P42" s="4"/>
      <c r="Q42" s="4"/>
      <c r="R42" s="4"/>
    </row>
    <row r="43" spans="2:18" s="2" customFormat="1" x14ac:dyDescent="0.2">
      <c r="B43" s="2" t="s">
        <v>49</v>
      </c>
      <c r="C43" s="4"/>
      <c r="D43" s="4"/>
      <c r="E43" s="4"/>
      <c r="F43" s="4"/>
      <c r="G43" s="4"/>
      <c r="H43" s="4"/>
      <c r="I43" s="4"/>
      <c r="J43" s="4"/>
      <c r="K43" s="4"/>
      <c r="L43" s="4">
        <v>198.41800000000001</v>
      </c>
      <c r="M43" s="4"/>
      <c r="N43" s="4"/>
      <c r="O43" s="4"/>
      <c r="P43" s="4"/>
      <c r="Q43" s="4"/>
      <c r="R43" s="4"/>
    </row>
    <row r="44" spans="2:18" s="2" customFormat="1" x14ac:dyDescent="0.2">
      <c r="B44" s="2" t="s">
        <v>4</v>
      </c>
      <c r="C44" s="4"/>
      <c r="D44" s="4"/>
      <c r="E44" s="4"/>
      <c r="F44" s="4"/>
      <c r="G44" s="4"/>
      <c r="H44" s="4"/>
      <c r="I44" s="4"/>
      <c r="J44" s="4"/>
      <c r="K44" s="4"/>
      <c r="L44" s="4">
        <v>2409.38</v>
      </c>
      <c r="M44" s="4"/>
      <c r="N44" s="4"/>
      <c r="O44" s="4"/>
      <c r="P44" s="4"/>
      <c r="Q44" s="4"/>
      <c r="R44" s="4"/>
    </row>
    <row r="45" spans="2:18" s="2" customFormat="1" x14ac:dyDescent="0.2">
      <c r="B45" s="2" t="s">
        <v>42</v>
      </c>
      <c r="C45" s="4"/>
      <c r="D45" s="4"/>
      <c r="E45" s="4"/>
      <c r="F45" s="4"/>
      <c r="G45" s="4"/>
      <c r="H45" s="4"/>
      <c r="I45" s="4"/>
      <c r="J45" s="4"/>
      <c r="K45" s="4"/>
      <c r="L45" s="4">
        <v>428.58699999999999</v>
      </c>
      <c r="M45" s="4"/>
      <c r="N45" s="4"/>
      <c r="O45" s="4"/>
      <c r="P45" s="4"/>
      <c r="Q45" s="4"/>
      <c r="R45" s="4"/>
    </row>
    <row r="46" spans="2:18" s="2" customFormat="1" x14ac:dyDescent="0.2">
      <c r="B46" s="2" t="s">
        <v>50</v>
      </c>
      <c r="C46" s="4"/>
      <c r="D46" s="4"/>
      <c r="E46" s="4"/>
      <c r="F46" s="4"/>
      <c r="G46" s="4"/>
      <c r="H46" s="4"/>
      <c r="I46" s="4"/>
      <c r="J46" s="4"/>
      <c r="K46" s="4"/>
      <c r="L46" s="4">
        <v>165.18299999999999</v>
      </c>
      <c r="M46" s="4"/>
      <c r="N46" s="4"/>
      <c r="O46" s="4"/>
      <c r="P46" s="4"/>
      <c r="Q46" s="4"/>
      <c r="R46" s="4"/>
    </row>
    <row r="47" spans="2:18" s="2" customFormat="1" x14ac:dyDescent="0.2">
      <c r="B47" s="2" t="s">
        <v>51</v>
      </c>
      <c r="C47" s="4"/>
      <c r="D47" s="4"/>
      <c r="E47" s="4"/>
      <c r="F47" s="4"/>
      <c r="G47" s="4"/>
      <c r="H47" s="4"/>
      <c r="I47" s="4"/>
      <c r="J47" s="4"/>
      <c r="K47" s="4"/>
      <c r="L47" s="4">
        <v>224.52</v>
      </c>
      <c r="M47" s="4"/>
      <c r="N47" s="4"/>
      <c r="O47" s="4"/>
      <c r="P47" s="4"/>
      <c r="Q47" s="4"/>
      <c r="R47" s="4"/>
    </row>
    <row r="48" spans="2:18" s="2" customFormat="1" x14ac:dyDescent="0.2">
      <c r="B48" s="2" t="s">
        <v>44</v>
      </c>
      <c r="C48" s="4"/>
      <c r="D48" s="4"/>
      <c r="E48" s="4"/>
      <c r="F48" s="4"/>
      <c r="G48" s="4"/>
      <c r="H48" s="4"/>
      <c r="I48" s="4"/>
      <c r="J48" s="4"/>
      <c r="K48" s="4"/>
      <c r="L48" s="4">
        <f>3727.018+46.076</f>
        <v>3773.0940000000001</v>
      </c>
      <c r="M48" s="4"/>
      <c r="N48" s="4"/>
      <c r="O48" s="4"/>
      <c r="P48" s="4"/>
      <c r="Q48" s="4"/>
      <c r="R48" s="4"/>
    </row>
    <row r="49" spans="2:29" s="2" customFormat="1" x14ac:dyDescent="0.2">
      <c r="B49" s="2" t="s">
        <v>43</v>
      </c>
      <c r="C49" s="4"/>
      <c r="D49" s="4"/>
      <c r="E49" s="4"/>
      <c r="F49" s="4"/>
      <c r="G49" s="4"/>
      <c r="H49" s="4"/>
      <c r="I49" s="4"/>
      <c r="J49" s="4"/>
      <c r="K49" s="4"/>
      <c r="L49" s="4">
        <f>SUM(L39:L48)</f>
        <v>7948.2830000000004</v>
      </c>
      <c r="M49" s="4"/>
      <c r="N49" s="4"/>
      <c r="O49" s="4"/>
      <c r="P49" s="4"/>
      <c r="Q49" s="4"/>
      <c r="R49" s="4"/>
    </row>
    <row r="51" spans="2:29" s="2" customFormat="1" x14ac:dyDescent="0.2">
      <c r="B51" s="2" t="s">
        <v>54</v>
      </c>
      <c r="C51" s="4"/>
      <c r="D51" s="4"/>
      <c r="E51" s="4"/>
      <c r="F51" s="4"/>
      <c r="G51" s="4"/>
      <c r="H51" s="4"/>
      <c r="I51" s="4"/>
      <c r="J51" s="4"/>
      <c r="K51" s="4">
        <f>K19</f>
        <v>105.53299999999997</v>
      </c>
      <c r="L51" s="4">
        <f>L19</f>
        <v>126.35099999999997</v>
      </c>
      <c r="M51" s="4"/>
      <c r="N51" s="4"/>
      <c r="O51" s="4"/>
      <c r="P51" s="4"/>
      <c r="Q51" s="4"/>
      <c r="R51" s="4"/>
    </row>
    <row r="52" spans="2:29" s="2" customFormat="1" x14ac:dyDescent="0.2">
      <c r="B52" s="2" t="s">
        <v>55</v>
      </c>
      <c r="C52" s="4"/>
      <c r="D52" s="4"/>
      <c r="E52" s="4"/>
      <c r="F52" s="4"/>
      <c r="G52" s="4"/>
      <c r="H52" s="4"/>
      <c r="I52" s="4"/>
      <c r="J52" s="4"/>
      <c r="K52" s="4">
        <v>74.481999999999999</v>
      </c>
      <c r="L52" s="4">
        <f>168.743-K52</f>
        <v>94.260999999999996</v>
      </c>
      <c r="M52" s="4"/>
      <c r="N52" s="4"/>
      <c r="O52" s="4"/>
      <c r="P52" s="4"/>
      <c r="Q52" s="4"/>
      <c r="R52" s="4"/>
    </row>
    <row r="53" spans="2:29" s="2" customFormat="1" x14ac:dyDescent="0.2">
      <c r="B53" s="2" t="s">
        <v>56</v>
      </c>
      <c r="C53" s="4"/>
      <c r="D53" s="4"/>
      <c r="E53" s="4"/>
      <c r="F53" s="4"/>
      <c r="G53" s="4"/>
      <c r="H53" s="4"/>
      <c r="I53" s="4"/>
      <c r="J53" s="4"/>
      <c r="K53" s="4">
        <v>85.356999999999999</v>
      </c>
      <c r="L53" s="4">
        <f>171.439-K53</f>
        <v>86.081999999999994</v>
      </c>
      <c r="M53" s="4"/>
      <c r="N53" s="4"/>
      <c r="O53" s="4"/>
      <c r="P53" s="4"/>
      <c r="Q53" s="4"/>
      <c r="R53" s="4"/>
    </row>
    <row r="54" spans="2:29" s="2" customFormat="1" x14ac:dyDescent="0.2">
      <c r="B54" s="2" t="s">
        <v>57</v>
      </c>
      <c r="C54" s="4"/>
      <c r="D54" s="4"/>
      <c r="E54" s="4"/>
      <c r="F54" s="4"/>
      <c r="G54" s="4"/>
      <c r="H54" s="4"/>
      <c r="I54" s="4"/>
      <c r="J54" s="4"/>
      <c r="K54" s="4">
        <v>16.738</v>
      </c>
      <c r="L54" s="4">
        <f>33.325-K54</f>
        <v>16.587000000000003</v>
      </c>
      <c r="M54" s="4"/>
      <c r="N54" s="4"/>
      <c r="O54" s="4"/>
      <c r="P54" s="4"/>
      <c r="Q54" s="4"/>
      <c r="R54" s="4"/>
    </row>
    <row r="55" spans="2:29" s="2" customFormat="1" x14ac:dyDescent="0.2">
      <c r="B55" s="2" t="s">
        <v>50</v>
      </c>
      <c r="C55" s="4"/>
      <c r="D55" s="4"/>
      <c r="E55" s="4"/>
      <c r="F55" s="4"/>
      <c r="G55" s="4"/>
      <c r="H55" s="4"/>
      <c r="I55" s="4"/>
      <c r="J55" s="4"/>
      <c r="K55" s="4">
        <v>-0.98699999999999999</v>
      </c>
      <c r="L55" s="4">
        <f>-13.073-K55</f>
        <v>-12.086</v>
      </c>
      <c r="M55" s="4"/>
      <c r="N55" s="4"/>
      <c r="O55" s="4"/>
      <c r="P55" s="4"/>
      <c r="Q55" s="4"/>
      <c r="R55" s="4"/>
    </row>
    <row r="56" spans="2:29" s="2" customFormat="1" x14ac:dyDescent="0.2">
      <c r="B56" s="2" t="s">
        <v>58</v>
      </c>
      <c r="C56" s="4"/>
      <c r="D56" s="4"/>
      <c r="E56" s="4"/>
      <c r="F56" s="4"/>
      <c r="G56" s="4"/>
      <c r="H56" s="4"/>
      <c r="I56" s="4"/>
      <c r="J56" s="4"/>
      <c r="K56" s="4">
        <v>5.4320000000000004</v>
      </c>
      <c r="L56" s="4">
        <f>14.25-K56</f>
        <v>8.8179999999999996</v>
      </c>
      <c r="M56" s="4"/>
      <c r="N56" s="4"/>
      <c r="O56" s="4"/>
      <c r="P56" s="4"/>
      <c r="Q56" s="4"/>
      <c r="R56" s="4"/>
    </row>
    <row r="57" spans="2:29" s="2" customFormat="1" x14ac:dyDescent="0.2">
      <c r="B57" s="2" t="s">
        <v>59</v>
      </c>
      <c r="C57" s="4"/>
      <c r="D57" s="4"/>
      <c r="E57" s="4"/>
      <c r="F57" s="4"/>
      <c r="G57" s="4"/>
      <c r="H57" s="4"/>
      <c r="I57" s="4"/>
      <c r="J57" s="4"/>
      <c r="K57" s="4">
        <v>-5.88</v>
      </c>
      <c r="L57" s="4">
        <f>-6.305-K57</f>
        <v>-0.42499999999999982</v>
      </c>
      <c r="M57" s="4"/>
      <c r="N57" s="4"/>
      <c r="O57" s="4"/>
      <c r="P57" s="4"/>
      <c r="Q57" s="4"/>
      <c r="R57" s="4"/>
    </row>
    <row r="58" spans="2:29" s="2" customFormat="1" x14ac:dyDescent="0.2">
      <c r="B58" s="2" t="s">
        <v>60</v>
      </c>
      <c r="C58" s="4"/>
      <c r="D58" s="4"/>
      <c r="E58" s="4"/>
      <c r="F58" s="4"/>
      <c r="G58" s="4"/>
      <c r="H58" s="4"/>
      <c r="I58" s="4"/>
      <c r="J58" s="4"/>
      <c r="K58" s="4">
        <v>0.83899999999999997</v>
      </c>
      <c r="L58" s="4">
        <f>4.719-K58</f>
        <v>3.8800000000000003</v>
      </c>
      <c r="M58" s="4"/>
      <c r="N58" s="4"/>
      <c r="O58" s="4"/>
      <c r="P58" s="4"/>
      <c r="Q58" s="4"/>
      <c r="R58" s="4"/>
    </row>
    <row r="59" spans="2:29" s="2" customFormat="1" x14ac:dyDescent="0.2">
      <c r="B59" s="2" t="s">
        <v>61</v>
      </c>
      <c r="C59" s="4"/>
      <c r="D59" s="4"/>
      <c r="E59" s="4"/>
      <c r="F59" s="4"/>
      <c r="G59" s="4"/>
      <c r="H59" s="4"/>
      <c r="I59" s="4"/>
      <c r="J59" s="4"/>
      <c r="K59" s="4">
        <v>0</v>
      </c>
      <c r="L59" s="4">
        <f>0.659-K59</f>
        <v>0.65900000000000003</v>
      </c>
      <c r="M59" s="4"/>
      <c r="N59" s="4"/>
      <c r="O59" s="4"/>
      <c r="P59" s="4"/>
      <c r="Q59" s="4"/>
      <c r="R59" s="4"/>
    </row>
    <row r="60" spans="2:29" s="2" customFormat="1" x14ac:dyDescent="0.2">
      <c r="B60" s="2" t="s">
        <v>62</v>
      </c>
      <c r="C60" s="4"/>
      <c r="D60" s="4"/>
      <c r="E60" s="4"/>
      <c r="F60" s="4"/>
      <c r="G60" s="4"/>
      <c r="H60" s="4"/>
      <c r="I60" s="4"/>
      <c r="J60" s="4"/>
      <c r="K60" s="4">
        <v>1.9990000000000001</v>
      </c>
      <c r="L60" s="4">
        <f>9.09-K60</f>
        <v>7.0909999999999993</v>
      </c>
      <c r="M60" s="4"/>
      <c r="N60" s="4"/>
      <c r="O60" s="4"/>
      <c r="P60" s="4"/>
      <c r="Q60" s="4"/>
      <c r="R60" s="4"/>
    </row>
    <row r="61" spans="2:29" s="2" customFormat="1" x14ac:dyDescent="0.2">
      <c r="B61" s="2" t="s">
        <v>63</v>
      </c>
      <c r="C61" s="4"/>
      <c r="D61" s="4"/>
      <c r="E61" s="4"/>
      <c r="F61" s="4"/>
      <c r="G61" s="4"/>
      <c r="H61" s="4"/>
      <c r="I61" s="4"/>
      <c r="J61" s="4"/>
      <c r="K61" s="4">
        <f>-17.281+5.6-8.541-20.945+19.957+6.14-33.022</f>
        <v>-48.091999999999999</v>
      </c>
      <c r="L61" s="4">
        <f>1.072+9.75-6.436-33.153+8.151+7.849-46.657-K61</f>
        <v>-11.331999999999994</v>
      </c>
      <c r="M61" s="4"/>
      <c r="N61" s="4"/>
      <c r="O61" s="4"/>
      <c r="P61" s="4"/>
      <c r="Q61" s="4"/>
      <c r="R61" s="4"/>
    </row>
    <row r="62" spans="2:29" s="2" customFormat="1" x14ac:dyDescent="0.2">
      <c r="B62" s="2" t="s">
        <v>64</v>
      </c>
      <c r="C62" s="4"/>
      <c r="D62" s="4"/>
      <c r="E62" s="4"/>
      <c r="F62" s="4"/>
      <c r="G62" s="4"/>
      <c r="H62" s="4"/>
      <c r="I62" s="4"/>
      <c r="J62" s="4"/>
      <c r="K62" s="4">
        <f>SUM(K52:K61)</f>
        <v>129.88799999999998</v>
      </c>
      <c r="L62" s="4">
        <f>SUM(L52:L61)</f>
        <v>193.535</v>
      </c>
      <c r="M62" s="4"/>
      <c r="N62" s="4"/>
      <c r="O62" s="4"/>
      <c r="P62" s="4"/>
      <c r="Q62" s="4"/>
      <c r="R62" s="4"/>
      <c r="AA62" s="2">
        <v>760.79899999999998</v>
      </c>
      <c r="AB62" s="2">
        <v>619.64</v>
      </c>
      <c r="AC62" s="2">
        <v>683.89800000000002</v>
      </c>
    </row>
    <row r="63" spans="2:29" s="2" customFormat="1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AA63" s="2">
        <v>228.77199999999999</v>
      </c>
      <c r="AB63" s="2">
        <v>327.733</v>
      </c>
      <c r="AC63" s="2">
        <v>318.52800000000002</v>
      </c>
    </row>
    <row r="64" spans="2:29" s="2" customFormat="1" x14ac:dyDescent="0.2">
      <c r="B64" s="2" t="s">
        <v>65</v>
      </c>
      <c r="C64" s="4"/>
      <c r="D64" s="4"/>
      <c r="E64" s="4"/>
      <c r="F64" s="4"/>
      <c r="G64" s="4"/>
      <c r="H64" s="4"/>
      <c r="I64" s="4"/>
      <c r="J64" s="4"/>
      <c r="K64" s="4">
        <v>0</v>
      </c>
      <c r="L64" s="4">
        <f>-5.479-K64</f>
        <v>-5.4790000000000001</v>
      </c>
      <c r="M64" s="4"/>
      <c r="N64" s="4"/>
      <c r="O64" s="4"/>
      <c r="P64" s="4"/>
      <c r="Q64" s="4"/>
      <c r="R64" s="4"/>
    </row>
    <row r="65" spans="2:29" s="2" customFormat="1" x14ac:dyDescent="0.2">
      <c r="B65" s="2" t="s">
        <v>66</v>
      </c>
      <c r="C65" s="4"/>
      <c r="D65" s="4"/>
      <c r="E65" s="4"/>
      <c r="F65" s="4"/>
      <c r="G65" s="4"/>
      <c r="H65" s="4"/>
      <c r="I65" s="4"/>
      <c r="J65" s="4"/>
      <c r="K65" s="4">
        <v>-79.144000000000005</v>
      </c>
      <c r="L65" s="4">
        <f>-118.63-K65</f>
        <v>-39.48599999999999</v>
      </c>
      <c r="M65" s="4"/>
      <c r="N65" s="4"/>
      <c r="O65" s="4"/>
      <c r="P65" s="4"/>
      <c r="Q65" s="4"/>
      <c r="R65" s="4"/>
    </row>
    <row r="66" spans="2:29" s="2" customFormat="1" x14ac:dyDescent="0.2">
      <c r="B66" s="2" t="s">
        <v>59</v>
      </c>
      <c r="C66" s="4"/>
      <c r="D66" s="4"/>
      <c r="E66" s="4"/>
      <c r="F66" s="4"/>
      <c r="G66" s="4"/>
      <c r="H66" s="4"/>
      <c r="I66" s="4"/>
      <c r="J66" s="4"/>
      <c r="K66" s="4">
        <f>-13.867+7.503-0.283</f>
        <v>-6.6470000000000011</v>
      </c>
      <c r="L66" s="4">
        <f>-35.538+12.359-0.37-K66</f>
        <v>-16.901999999999994</v>
      </c>
      <c r="M66" s="4"/>
      <c r="N66" s="4"/>
      <c r="O66" s="4"/>
      <c r="P66" s="4"/>
      <c r="Q66" s="4"/>
      <c r="R66" s="4"/>
    </row>
    <row r="67" spans="2:29" s="2" customFormat="1" x14ac:dyDescent="0.2">
      <c r="B67" s="2" t="s">
        <v>67</v>
      </c>
      <c r="C67" s="4"/>
      <c r="D67" s="4"/>
      <c r="E67" s="4"/>
      <c r="F67" s="4"/>
      <c r="G67" s="4"/>
      <c r="H67" s="4"/>
      <c r="I67" s="4"/>
      <c r="J67" s="4"/>
      <c r="K67" s="4">
        <f>SUM(K64:K66)</f>
        <v>-85.791000000000011</v>
      </c>
      <c r="L67" s="4">
        <f>SUM(L64:L66)</f>
        <v>-61.866999999999983</v>
      </c>
      <c r="M67" s="4"/>
      <c r="N67" s="4"/>
      <c r="O67" s="4"/>
      <c r="P67" s="4"/>
      <c r="Q67" s="4"/>
      <c r="R67" s="4"/>
    </row>
    <row r="68" spans="2:29" s="2" customFormat="1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2:29" s="2" customFormat="1" x14ac:dyDescent="0.2">
      <c r="B69" s="2" t="s">
        <v>4</v>
      </c>
      <c r="C69" s="4"/>
      <c r="D69" s="4"/>
      <c r="E69" s="4"/>
      <c r="F69" s="4"/>
      <c r="G69" s="4"/>
      <c r="H69" s="4"/>
      <c r="I69" s="4"/>
      <c r="J69" s="4"/>
      <c r="K69" s="4">
        <f>300.882-292.482</f>
        <v>8.3999999999999773</v>
      </c>
      <c r="L69" s="4">
        <f>741.2-987.344-K69</f>
        <v>-254.54399999999998</v>
      </c>
      <c r="M69" s="4"/>
      <c r="N69" s="4"/>
      <c r="O69" s="4"/>
      <c r="P69" s="4"/>
      <c r="Q69" s="4"/>
      <c r="R69" s="4"/>
    </row>
    <row r="70" spans="2:29" s="2" customFormat="1" x14ac:dyDescent="0.2">
      <c r="B70" s="2" t="s">
        <v>68</v>
      </c>
      <c r="C70" s="4"/>
      <c r="D70" s="4"/>
      <c r="E70" s="4"/>
      <c r="F70" s="4"/>
      <c r="G70" s="4"/>
      <c r="H70" s="4"/>
      <c r="I70" s="4"/>
      <c r="J70" s="4"/>
      <c r="K70" s="4">
        <v>21.504999999999999</v>
      </c>
      <c r="L70" s="4">
        <f>22.331-K70</f>
        <v>0.82600000000000051</v>
      </c>
      <c r="M70" s="4"/>
      <c r="N70" s="4"/>
      <c r="O70" s="4"/>
      <c r="P70" s="4"/>
      <c r="Q70" s="4"/>
      <c r="R70" s="4"/>
    </row>
    <row r="71" spans="2:29" s="2" customFormat="1" x14ac:dyDescent="0.2">
      <c r="B71" s="2" t="s">
        <v>69</v>
      </c>
      <c r="C71" s="4"/>
      <c r="D71" s="4"/>
      <c r="E71" s="4"/>
      <c r="F71" s="4"/>
      <c r="G71" s="4"/>
      <c r="H71" s="4"/>
      <c r="I71" s="4"/>
      <c r="J71" s="4"/>
      <c r="K71" s="4">
        <v>-9.3510000000000009</v>
      </c>
      <c r="L71" s="4">
        <f>-18.265-K71</f>
        <v>-8.9139999999999997</v>
      </c>
      <c r="M71" s="4"/>
      <c r="N71" s="4"/>
      <c r="O71" s="4"/>
      <c r="P71" s="4"/>
      <c r="Q71" s="4"/>
      <c r="R71" s="4"/>
    </row>
    <row r="72" spans="2:29" s="2" customFormat="1" x14ac:dyDescent="0.2">
      <c r="B72" s="2" t="s">
        <v>70</v>
      </c>
      <c r="C72" s="4"/>
      <c r="D72" s="4"/>
      <c r="E72" s="4"/>
      <c r="F72" s="4"/>
      <c r="G72" s="4"/>
      <c r="H72" s="4"/>
      <c r="I72" s="4"/>
      <c r="J72" s="4"/>
      <c r="K72" s="4">
        <v>0</v>
      </c>
      <c r="L72" s="4">
        <f>-12-K72</f>
        <v>-12</v>
      </c>
      <c r="M72" s="4"/>
      <c r="N72" s="4"/>
      <c r="O72" s="4"/>
      <c r="P72" s="4"/>
      <c r="Q72" s="4"/>
      <c r="R72" s="4"/>
    </row>
    <row r="73" spans="2:29" s="2" customFormat="1" x14ac:dyDescent="0.2">
      <c r="B73" s="2" t="s">
        <v>62</v>
      </c>
      <c r="C73" s="4"/>
      <c r="D73" s="4"/>
      <c r="E73" s="4"/>
      <c r="F73" s="4"/>
      <c r="G73" s="4"/>
      <c r="H73" s="4"/>
      <c r="I73" s="4"/>
      <c r="J73" s="4"/>
      <c r="K73" s="4">
        <v>-2.2080000000000002</v>
      </c>
      <c r="L73" s="4">
        <f>-13.434-K73</f>
        <v>-11.225999999999999</v>
      </c>
      <c r="M73" s="4"/>
      <c r="N73" s="4"/>
      <c r="O73" s="4"/>
      <c r="P73" s="4"/>
      <c r="Q73" s="4"/>
      <c r="R73" s="4"/>
    </row>
    <row r="74" spans="2:29" s="2" customFormat="1" x14ac:dyDescent="0.2">
      <c r="B74" s="2" t="s">
        <v>71</v>
      </c>
      <c r="C74" s="4"/>
      <c r="D74" s="4"/>
      <c r="E74" s="4"/>
      <c r="F74" s="4"/>
      <c r="G74" s="4"/>
      <c r="H74" s="4"/>
      <c r="I74" s="4"/>
      <c r="J74" s="4"/>
      <c r="K74" s="4">
        <f>SUM(K69:K73)</f>
        <v>18.345999999999975</v>
      </c>
      <c r="L74" s="4">
        <f>SUM(L69:L73)</f>
        <v>-285.858</v>
      </c>
      <c r="M74" s="4"/>
      <c r="N74" s="4"/>
      <c r="O74" s="4"/>
      <c r="P74" s="4"/>
      <c r="Q74" s="4"/>
      <c r="R74" s="4"/>
    </row>
    <row r="75" spans="2:29" s="2" customFormat="1" x14ac:dyDescent="0.2">
      <c r="B75" s="2" t="s">
        <v>72</v>
      </c>
      <c r="C75" s="4"/>
      <c r="D75" s="4"/>
      <c r="E75" s="4"/>
      <c r="F75" s="4"/>
      <c r="G75" s="4"/>
      <c r="H75" s="4"/>
      <c r="I75" s="4"/>
      <c r="J75" s="4"/>
      <c r="K75" s="4">
        <v>-8.3870000000000005</v>
      </c>
      <c r="L75" s="4">
        <f>-11.729-K75</f>
        <v>-3.3419999999999987</v>
      </c>
      <c r="M75" s="4"/>
      <c r="N75" s="4"/>
      <c r="O75" s="4"/>
      <c r="P75" s="4"/>
      <c r="Q75" s="4"/>
      <c r="R75" s="4"/>
    </row>
    <row r="76" spans="2:29" s="2" customFormat="1" x14ac:dyDescent="0.2">
      <c r="B76" s="2" t="s">
        <v>73</v>
      </c>
      <c r="C76" s="4"/>
      <c r="D76" s="4"/>
      <c r="E76" s="4"/>
      <c r="F76" s="4"/>
      <c r="G76" s="4"/>
      <c r="H76" s="4"/>
      <c r="I76" s="4"/>
      <c r="J76" s="4"/>
      <c r="K76" s="4">
        <f>+K75+K74+K67+K62</f>
        <v>54.055999999999941</v>
      </c>
      <c r="L76" s="4">
        <f>+L75+L74+L67+L62</f>
        <v>-157.53199999999995</v>
      </c>
      <c r="M76" s="4"/>
      <c r="N76" s="4"/>
      <c r="O76" s="4"/>
      <c r="P76" s="4"/>
      <c r="Q76" s="4"/>
      <c r="R76" s="4"/>
    </row>
    <row r="78" spans="2:29" x14ac:dyDescent="0.2">
      <c r="AA78" s="2">
        <f>+AA62-AA63</f>
        <v>532.02700000000004</v>
      </c>
      <c r="AB78" s="2">
        <f>+AB62-AB63</f>
        <v>291.90699999999998</v>
      </c>
      <c r="AC78" s="2">
        <f>+AC62-AC63</f>
        <v>365.37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2024-10-01T13:36:29Z</dcterms:created>
  <dcterms:modified xsi:type="dcterms:W3CDTF">2025-04-29T17:04:28Z</dcterms:modified>
</cp:coreProperties>
</file>