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BB38D6A-0C80-4BCF-A7F4-1FF4FA335030}" xr6:coauthVersionLast="47" xr6:coauthVersionMax="47" xr10:uidLastSave="{00000000-0000-0000-0000-000000000000}"/>
  <bookViews>
    <workbookView xWindow="-21705" yWindow="315" windowWidth="19980" windowHeight="20580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8" i="2" l="1"/>
  <c r="N60" i="2"/>
  <c r="N62" i="2" s="1"/>
  <c r="N56" i="2"/>
  <c r="N57" i="2" s="1"/>
  <c r="N16" i="2"/>
  <c r="N45" i="2"/>
  <c r="N43" i="2"/>
  <c r="N34" i="2"/>
  <c r="N32" i="2"/>
  <c r="N31" i="2" s="1"/>
  <c r="N38" i="2"/>
  <c r="O60" i="2"/>
  <c r="O56" i="2"/>
  <c r="O68" i="2"/>
  <c r="O62" i="2"/>
  <c r="O57" i="2"/>
  <c r="Q43" i="2"/>
  <c r="Q48" i="2" s="1"/>
  <c r="P43" i="2"/>
  <c r="P48" i="2" s="1"/>
  <c r="O45" i="2"/>
  <c r="O43" i="2"/>
  <c r="O48" i="2"/>
  <c r="O34" i="2"/>
  <c r="O38" i="2"/>
  <c r="O32" i="2"/>
  <c r="O31" i="2" s="1"/>
  <c r="P60" i="2"/>
  <c r="P62" i="2" s="1"/>
  <c r="P56" i="2"/>
  <c r="P57" i="2" s="1"/>
  <c r="P68" i="2"/>
  <c r="P16" i="2"/>
  <c r="P34" i="2"/>
  <c r="P32" i="2"/>
  <c r="P31" i="2" s="1"/>
  <c r="P38" i="2"/>
  <c r="P40" i="2"/>
  <c r="Q66" i="2"/>
  <c r="Q68" i="2" s="1"/>
  <c r="Q60" i="2"/>
  <c r="Q62" i="2" s="1"/>
  <c r="Q56" i="2"/>
  <c r="Q57" i="2" s="1"/>
  <c r="Q38" i="2"/>
  <c r="Q32" i="2"/>
  <c r="Q31" i="2" s="1"/>
  <c r="Q34" i="2"/>
  <c r="R20" i="2"/>
  <c r="R21" i="2" s="1"/>
  <c r="Q20" i="2"/>
  <c r="P20" i="2"/>
  <c r="O20" i="2"/>
  <c r="T14" i="2"/>
  <c r="S14" i="2"/>
  <c r="R14" i="2"/>
  <c r="Q14" i="2"/>
  <c r="Q16" i="2" s="1"/>
  <c r="P14" i="2"/>
  <c r="O14" i="2"/>
  <c r="O16" i="2" s="1"/>
  <c r="R3" i="2"/>
  <c r="T3" i="2"/>
  <c r="O3" i="2"/>
  <c r="S3" i="2" s="1"/>
  <c r="AC57" i="2"/>
  <c r="AC58" i="2" s="1"/>
  <c r="AB58" i="2"/>
  <c r="Z58" i="2"/>
  <c r="AA58" i="2"/>
  <c r="W20" i="2"/>
  <c r="V20" i="2"/>
  <c r="W15" i="2"/>
  <c r="V15" i="2"/>
  <c r="V14" i="2"/>
  <c r="W14" i="2"/>
  <c r="AA13" i="2"/>
  <c r="AA12" i="2"/>
  <c r="N20" i="2"/>
  <c r="M20" i="2"/>
  <c r="L20" i="2"/>
  <c r="K20" i="2"/>
  <c r="N14" i="2"/>
  <c r="M14" i="2"/>
  <c r="L14" i="2"/>
  <c r="L16" i="2" s="1"/>
  <c r="G24" i="2"/>
  <c r="G22" i="2"/>
  <c r="G19" i="2"/>
  <c r="G18" i="2"/>
  <c r="G17" i="2"/>
  <c r="G13" i="2"/>
  <c r="Z13" i="2" s="1"/>
  <c r="G12" i="2"/>
  <c r="Z12" i="2" s="1"/>
  <c r="Y14" i="2"/>
  <c r="X14" i="2"/>
  <c r="K14" i="2"/>
  <c r="K16" i="2" s="1"/>
  <c r="H56" i="2"/>
  <c r="H57" i="2" s="1"/>
  <c r="I56" i="2"/>
  <c r="I55" i="2"/>
  <c r="I54" i="2"/>
  <c r="I53" i="2"/>
  <c r="I52" i="2"/>
  <c r="I51" i="2"/>
  <c r="C50" i="2"/>
  <c r="E20" i="2"/>
  <c r="E15" i="2"/>
  <c r="I20" i="2"/>
  <c r="I15" i="2"/>
  <c r="E14" i="2"/>
  <c r="F56" i="2"/>
  <c r="F57" i="2" s="1"/>
  <c r="J56" i="2"/>
  <c r="J57" i="2" s="1"/>
  <c r="J62" i="2" s="1"/>
  <c r="F20" i="2"/>
  <c r="F15" i="2"/>
  <c r="F14" i="2"/>
  <c r="J20" i="2"/>
  <c r="J15" i="2"/>
  <c r="J14" i="2"/>
  <c r="I14" i="2"/>
  <c r="H20" i="2"/>
  <c r="D20" i="2"/>
  <c r="D14" i="2"/>
  <c r="D16" i="2" s="1"/>
  <c r="H14" i="2"/>
  <c r="H16" i="2" s="1"/>
  <c r="M4" i="1"/>
  <c r="N21" i="2" l="1"/>
  <c r="N23" i="2" s="1"/>
  <c r="N25" i="2" s="1"/>
  <c r="N50" i="2" s="1"/>
  <c r="N40" i="2"/>
  <c r="K21" i="2"/>
  <c r="K23" i="2" s="1"/>
  <c r="K25" i="2" s="1"/>
  <c r="N48" i="2"/>
  <c r="O40" i="2"/>
  <c r="N71" i="2"/>
  <c r="O71" i="2"/>
  <c r="O21" i="2"/>
  <c r="O23" i="2" s="1"/>
  <c r="O25" i="2" s="1"/>
  <c r="O50" i="2" s="1"/>
  <c r="P21" i="2"/>
  <c r="P23" i="2" s="1"/>
  <c r="P25" i="2" s="1"/>
  <c r="P50" i="2" s="1"/>
  <c r="P71" i="2"/>
  <c r="L21" i="2"/>
  <c r="L23" i="2" s="1"/>
  <c r="L25" i="2" s="1"/>
  <c r="L26" i="2" s="1"/>
  <c r="Q71" i="2"/>
  <c r="F16" i="2"/>
  <c r="Q40" i="2"/>
  <c r="Q29" i="2"/>
  <c r="P29" i="2"/>
  <c r="W29" i="2"/>
  <c r="O29" i="2"/>
  <c r="V16" i="2"/>
  <c r="V21" i="2" s="1"/>
  <c r="V23" i="2" s="1"/>
  <c r="V25" i="2" s="1"/>
  <c r="V26" i="2" s="1"/>
  <c r="Q21" i="2"/>
  <c r="Q23" i="2" s="1"/>
  <c r="Q25" i="2" s="1"/>
  <c r="M16" i="2"/>
  <c r="M21" i="2" s="1"/>
  <c r="M23" i="2" s="1"/>
  <c r="M25" i="2" s="1"/>
  <c r="M26" i="2" s="1"/>
  <c r="P26" i="2"/>
  <c r="O26" i="2"/>
  <c r="K26" i="2"/>
  <c r="AD57" i="2"/>
  <c r="M7" i="1"/>
  <c r="I16" i="2"/>
  <c r="I21" i="2" s="1"/>
  <c r="I23" i="2" s="1"/>
  <c r="I25" i="2" s="1"/>
  <c r="G15" i="2"/>
  <c r="W16" i="2"/>
  <c r="W21" i="2" s="1"/>
  <c r="W23" i="2" s="1"/>
  <c r="W25" i="2" s="1"/>
  <c r="W26" i="2" s="1"/>
  <c r="X29" i="2"/>
  <c r="Y29" i="2"/>
  <c r="N29" i="2"/>
  <c r="M29" i="2"/>
  <c r="AA14" i="2"/>
  <c r="AB29" i="2" s="1"/>
  <c r="G20" i="2"/>
  <c r="L29" i="2"/>
  <c r="N26" i="2"/>
  <c r="G14" i="2"/>
  <c r="E16" i="2"/>
  <c r="E21" i="2" s="1"/>
  <c r="E23" i="2" s="1"/>
  <c r="E25" i="2" s="1"/>
  <c r="E50" i="2" s="1"/>
  <c r="D21" i="2"/>
  <c r="D23" i="2" s="1"/>
  <c r="D25" i="2" s="1"/>
  <c r="D26" i="2" s="1"/>
  <c r="I57" i="2"/>
  <c r="I62" i="2" s="1"/>
  <c r="Z14" i="2"/>
  <c r="Z29" i="2" s="1"/>
  <c r="H21" i="2"/>
  <c r="H23" i="2" s="1"/>
  <c r="H25" i="2" s="1"/>
  <c r="H29" i="2"/>
  <c r="F21" i="2"/>
  <c r="F23" i="2" s="1"/>
  <c r="F25" i="2" s="1"/>
  <c r="I29" i="2"/>
  <c r="J16" i="2"/>
  <c r="J21" i="2" s="1"/>
  <c r="J23" i="2" s="1"/>
  <c r="J25" i="2" s="1"/>
  <c r="J29" i="2"/>
  <c r="E26" i="2" l="1"/>
  <c r="Q26" i="2"/>
  <c r="Q50" i="2"/>
  <c r="G16" i="2"/>
  <c r="G21" i="2" s="1"/>
  <c r="G23" i="2" s="1"/>
  <c r="G25" i="2" s="1"/>
  <c r="G50" i="2" s="1"/>
  <c r="AE57" i="2"/>
  <c r="AD58" i="2"/>
  <c r="D50" i="2"/>
  <c r="K29" i="2"/>
  <c r="AA29" i="2"/>
  <c r="F26" i="2"/>
  <c r="F50" i="2"/>
  <c r="J26" i="2"/>
  <c r="J50" i="2"/>
  <c r="I50" i="2"/>
  <c r="I26" i="2"/>
  <c r="H26" i="2"/>
  <c r="H50" i="2"/>
  <c r="G26" i="2" l="1"/>
  <c r="AF57" i="2"/>
  <c r="AE58" i="2"/>
  <c r="AG57" i="2" l="1"/>
  <c r="AF58" i="2"/>
  <c r="AH57" i="2" l="1"/>
  <c r="AG58" i="2"/>
  <c r="AI57" i="2" l="1"/>
  <c r="AH58" i="2"/>
  <c r="AJ57" i="2" l="1"/>
  <c r="AI58" i="2"/>
  <c r="AK57" i="2" l="1"/>
  <c r="AJ58" i="2"/>
  <c r="AL57" i="2" l="1"/>
  <c r="AK58" i="2"/>
  <c r="AL58" i="2" l="1"/>
  <c r="AM57" i="2"/>
  <c r="AN57" i="2" l="1"/>
  <c r="AM58" i="2"/>
  <c r="AO57" i="2" l="1"/>
  <c r="AN58" i="2"/>
  <c r="AP57" i="2" l="1"/>
  <c r="AO58" i="2"/>
  <c r="AQ57" i="2" l="1"/>
  <c r="AP58" i="2"/>
  <c r="AR57" i="2" l="1"/>
  <c r="AQ58" i="2"/>
  <c r="AS57" i="2" l="1"/>
  <c r="AR58" i="2"/>
  <c r="AT57" i="2" l="1"/>
  <c r="AS58" i="2"/>
  <c r="AU57" i="2" l="1"/>
  <c r="AT58" i="2"/>
  <c r="AV57" i="2" l="1"/>
  <c r="AU58" i="2"/>
  <c r="AW57" i="2" l="1"/>
  <c r="AV58" i="2"/>
  <c r="AX57" i="2" l="1"/>
  <c r="AW58" i="2"/>
  <c r="AY57" i="2" l="1"/>
  <c r="AX58" i="2"/>
  <c r="AZ57" i="2" l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C57" i="2" s="1"/>
  <c r="DD57" i="2" s="1"/>
  <c r="DE57" i="2" s="1"/>
  <c r="DF57" i="2" s="1"/>
  <c r="DG57" i="2" s="1"/>
  <c r="DH57" i="2" s="1"/>
  <c r="DI57" i="2" s="1"/>
  <c r="DJ57" i="2" s="1"/>
  <c r="AY58" i="2"/>
  <c r="DK57" i="2" l="1"/>
  <c r="DL57" i="2" s="1"/>
  <c r="DM57" i="2" s="1"/>
  <c r="DN57" i="2" s="1"/>
  <c r="DO57" i="2" s="1"/>
  <c r="DP57" i="2" s="1"/>
  <c r="DQ57" i="2" s="1"/>
  <c r="DR57" i="2" s="1"/>
  <c r="DS57" i="2" s="1"/>
  <c r="DT57" i="2" s="1"/>
  <c r="DU57" i="2" s="1"/>
  <c r="DV57" i="2" s="1"/>
  <c r="DW57" i="2" s="1"/>
  <c r="DX57" i="2" s="1"/>
  <c r="DY57" i="2" s="1"/>
  <c r="DZ57" i="2" s="1"/>
  <c r="EA57" i="2" s="1"/>
  <c r="EB57" i="2" s="1"/>
  <c r="EC57" i="2" s="1"/>
  <c r="ED57" i="2" s="1"/>
  <c r="EE57" i="2" s="1"/>
  <c r="EF57" i="2" s="1"/>
  <c r="EG57" i="2" s="1"/>
  <c r="EH57" i="2" s="1"/>
  <c r="EI57" i="2" s="1"/>
  <c r="EJ57" i="2" s="1"/>
  <c r="EK57" i="2" s="1"/>
  <c r="EL57" i="2" s="1"/>
  <c r="EM57" i="2" s="1"/>
  <c r="EN57" i="2" s="1"/>
  <c r="AE64" i="2"/>
  <c r="AE65" i="2" s="1"/>
  <c r="AE66" i="2" s="1"/>
</calcChain>
</file>

<file path=xl/sharedStrings.xml><?xml version="1.0" encoding="utf-8"?>
<sst xmlns="http://schemas.openxmlformats.org/spreadsheetml/2006/main" count="81" uniqueCount="74">
  <si>
    <t>Price</t>
  </si>
  <si>
    <t>Shares</t>
  </si>
  <si>
    <t>MC</t>
  </si>
  <si>
    <t>Cash</t>
  </si>
  <si>
    <t>Debt</t>
  </si>
  <si>
    <t>EV</t>
  </si>
  <si>
    <t>Main</t>
  </si>
  <si>
    <t>Subscription</t>
  </si>
  <si>
    <t>Services</t>
  </si>
  <si>
    <t>Revenue</t>
  </si>
  <si>
    <t>COGS</t>
  </si>
  <si>
    <t>Gross Profit</t>
  </si>
  <si>
    <t>R&amp;D</t>
  </si>
  <si>
    <t>M&amp;S</t>
  </si>
  <si>
    <t>G&amp;A</t>
  </si>
  <si>
    <t>OpEx</t>
  </si>
  <si>
    <t>OpInc</t>
  </si>
  <si>
    <t>IntExp</t>
  </si>
  <si>
    <t>Pretax</t>
  </si>
  <si>
    <t>Taxes</t>
  </si>
  <si>
    <t>NetInc</t>
  </si>
  <si>
    <t>EPS</t>
  </si>
  <si>
    <t>Revenue y/y</t>
  </si>
  <si>
    <t>Reported NI</t>
  </si>
  <si>
    <t>Model NI</t>
  </si>
  <si>
    <t>CFFO</t>
  </si>
  <si>
    <t>D&amp;A</t>
  </si>
  <si>
    <t>Amortization</t>
  </si>
  <si>
    <t>SBC</t>
  </si>
  <si>
    <t>Investment Gain</t>
  </si>
  <si>
    <t>WC</t>
  </si>
  <si>
    <t>CapEx</t>
  </si>
  <si>
    <t>FCF</t>
  </si>
  <si>
    <t>FY22</t>
  </si>
  <si>
    <t>FY21</t>
  </si>
  <si>
    <t>FY20</t>
  </si>
  <si>
    <t>FY23</t>
  </si>
  <si>
    <t>FY19</t>
  </si>
  <si>
    <t>FY18</t>
  </si>
  <si>
    <t>Growth Rate</t>
  </si>
  <si>
    <t>Terminal</t>
  </si>
  <si>
    <t>Discount</t>
  </si>
  <si>
    <t>NPV</t>
  </si>
  <si>
    <t>Share</t>
  </si>
  <si>
    <t>FY24</t>
  </si>
  <si>
    <t>AR</t>
  </si>
  <si>
    <t>Prepaids</t>
  </si>
  <si>
    <t>Contract Cost</t>
  </si>
  <si>
    <t>PP&amp;E</t>
  </si>
  <si>
    <t>Lease</t>
  </si>
  <si>
    <t>Goodwill</t>
  </si>
  <si>
    <t>DTA</t>
  </si>
  <si>
    <t>Assets</t>
  </si>
  <si>
    <t>L+SE</t>
  </si>
  <si>
    <t>SE</t>
  </si>
  <si>
    <t>AP</t>
  </si>
  <si>
    <t>DR</t>
  </si>
  <si>
    <t>ONCL</t>
  </si>
  <si>
    <t>Acquisitions</t>
  </si>
  <si>
    <t>Investments</t>
  </si>
  <si>
    <t>CIC</t>
  </si>
  <si>
    <t>FX</t>
  </si>
  <si>
    <t>CFFF</t>
  </si>
  <si>
    <t>Buyback</t>
  </si>
  <si>
    <t>ESOP</t>
  </si>
  <si>
    <t>Dividends</t>
  </si>
  <si>
    <t>RPO</t>
  </si>
  <si>
    <t>Sales</t>
  </si>
  <si>
    <t>Service</t>
  </si>
  <si>
    <t>Platform</t>
  </si>
  <si>
    <t>Marketing</t>
  </si>
  <si>
    <t>Integration</t>
  </si>
  <si>
    <t>Q224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</si>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</sst>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  <xf numFmtId="0" fontId="6" fillId="0" borderId="0" xfId="1" applyFont="1"/>
    <xf numFmtId="164" fontId="2" fillId="0" borderId="0" xfId="0" applyNumberFormat="1" applyFont="1"/>
    <xf numFmtId="9" fontId="2" fillId="0" borderId="0" xfId="0" applyNumberFormat="1" applyFont="1"/>
    <xf numFmtId="0" fontId="4" fillId="0" borderId="0" xfId="0" applyFont="1"/>
    <xf numFmtId="9" fontId="4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24715252-917A-41E5-88F9-208AF07A73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52898</xdr:colOff>
      <xdr:row>0</xdr:row>
      <xdr:rowOff>0</xdr:rowOff>
    </xdr:from>
    <xdr:to>
      <xdr:col>17</xdr:col>
      <xdr:colOff>52898</xdr:colOff>
      <xdr:row>71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C83CAC-3125-93E7-D431-D15B3301FCE7}"/>
            </a:ext>
          </a:extLst>
        </xdr:cNvPr>
        <xdr:cNvCxnSpPr/>
      </xdr:nvCxnSpPr>
      <xdr:spPr>
        <a:xfrm>
          <a:off x="10267639" y="0"/>
          <a:ext cx="0" cy="87991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17045</xdr:colOff>
      <xdr:row>0</xdr:row>
      <xdr:rowOff>17045</xdr:rowOff>
    </xdr:from>
    <xdr:to>
      <xdr:col>26</xdr:col>
      <xdr:colOff>17045</xdr:colOff>
      <xdr:row>71</xdr:row>
      <xdr:rowOff>112295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5BD5754-A16A-4AD3-937E-CC176C903663}"/>
            </a:ext>
          </a:extLst>
        </xdr:cNvPr>
        <xdr:cNvCxnSpPr/>
      </xdr:nvCxnSpPr>
      <xdr:spPr>
        <a:xfrm>
          <a:off x="10785308" y="17045"/>
          <a:ext cx="0" cy="6993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N8"/>
  <sheetViews>
    <sheetView tabSelected="1" zoomScale="130" zoomScaleNormal="130" workbookViewId="0">
      <selection activeCell="M2" sqref="M2"/>
    </sheetView>
  </sheetViews>
  <sheetFormatPr defaultRowHeight="12.75" x14ac:dyDescent="0.2"/>
  <cols>
    <col min="1" max="12" width="9.140625" style="1"/>
    <col min="13" max="13" width="9.85546875" style="1" bestFit="1" customWidth="1"/>
    <col min="14" max="16384" width="9.140625" style="1"/>
  </cols>
  <sheetData>
    <row r="2" spans="12:14" x14ac:dyDescent="0.2">
      <c r="L2" s="1" t="s">
        <v>0</v>
      </c>
      <c r="M2" s="26">
        <v>265</v>
      </c>
    </row>
    <row r="3" spans="12:14" x14ac:dyDescent="0.2">
      <c r="L3" s="1" t="s">
        <v>1</v>
      </c>
      <c r="M3" s="3">
        <v>973</v>
      </c>
      <c r="N3" s="25" t="s">
        <v>72</v>
      </c>
    </row>
    <row r="4" spans="12:14" x14ac:dyDescent="0.2">
      <c r="L4" s="1" t="s">
        <v>2</v>
      </c>
      <c r="M4" s="3">
        <f>M2*M3</f>
        <v>257845</v>
      </c>
      <c r="N4" s="2"/>
    </row>
    <row r="5" spans="12:14" x14ac:dyDescent="0.2">
      <c r="L5" s="1" t="s">
        <v>3</v>
      </c>
      <c r="M5" s="3">
        <v>17653</v>
      </c>
      <c r="N5" s="25" t="s">
        <v>72</v>
      </c>
    </row>
    <row r="6" spans="12:14" x14ac:dyDescent="0.2">
      <c r="L6" s="1" t="s">
        <v>4</v>
      </c>
      <c r="M6" s="3">
        <v>0</v>
      </c>
      <c r="N6" s="25" t="s">
        <v>72</v>
      </c>
    </row>
    <row r="7" spans="12:14" x14ac:dyDescent="0.2">
      <c r="L7" s="1" t="s">
        <v>5</v>
      </c>
      <c r="M7" s="3">
        <f>M4-M5+M6</f>
        <v>240192</v>
      </c>
    </row>
    <row r="8" spans="12:14" x14ac:dyDescent="0.2">
      <c r="M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1EF7-9F5A-4F57-B991-3E7AE6D7AE6D}">
  <dimension ref="A1:EN71"/>
  <sheetViews>
    <sheetView zoomScale="145" zoomScaleNormal="145" workbookViewId="0">
      <pane xSplit="2" ySplit="3" topLeftCell="L4" activePane="bottomRight" state="frozen"/>
      <selection pane="topRight"/>
      <selection pane="bottomLeft"/>
      <selection pane="bottomRight" activeCell="N18" sqref="N18"/>
    </sheetView>
  </sheetViews>
  <sheetFormatPr defaultRowHeight="12.75" x14ac:dyDescent="0.2"/>
  <cols>
    <col min="1" max="1" width="5.140625" style="5" bestFit="1" customWidth="1"/>
    <col min="2" max="2" width="16.5703125" style="5" customWidth="1"/>
    <col min="3" max="7" width="8.5703125" style="5" customWidth="1"/>
    <col min="8" max="17" width="9" style="5" customWidth="1"/>
    <col min="18" max="21" width="9.140625" style="5"/>
    <col min="22" max="27" width="9.140625" style="13"/>
    <col min="28" max="29" width="9.140625" style="5"/>
    <col min="30" max="30" width="11.7109375" style="5" customWidth="1"/>
    <col min="31" max="31" width="12" style="5" bestFit="1" customWidth="1"/>
    <col min="32" max="16384" width="9.140625" style="5"/>
  </cols>
  <sheetData>
    <row r="1" spans="1:28" x14ac:dyDescent="0.2">
      <c r="A1" s="8" t="s">
        <v>6</v>
      </c>
    </row>
    <row r="2" spans="1:28" x14ac:dyDescent="0.2">
      <c r="A2" s="8"/>
      <c r="V2" s="13" t="s">
        <v>38</v>
      </c>
      <c r="W2" s="13" t="s">
        <v>37</v>
      </c>
      <c r="X2" s="13" t="s">
        <v>35</v>
      </c>
      <c r="Y2" s="13" t="s">
        <v>34</v>
      </c>
      <c r="Z2" s="13" t="s">
        <v>33</v>
      </c>
      <c r="AA2" s="13" t="s">
        <v>36</v>
      </c>
      <c r="AB2" s="13" t="s">
        <v>44</v>
      </c>
    </row>
    <row r="3" spans="1:28" s="9" customFormat="1" x14ac:dyDescent="0.2">
      <c r="C3" s="9">
        <v>44226</v>
      </c>
      <c r="D3" s="9">
        <v>44316</v>
      </c>
      <c r="E3" s="9">
        <v>44407</v>
      </c>
      <c r="F3" s="9">
        <v>44500</v>
      </c>
      <c r="G3" s="9">
        <v>44591</v>
      </c>
      <c r="H3" s="9">
        <v>44681</v>
      </c>
      <c r="I3" s="9">
        <v>44772</v>
      </c>
      <c r="J3" s="9">
        <v>44865</v>
      </c>
      <c r="K3" s="9">
        <v>44957</v>
      </c>
      <c r="L3" s="9">
        <v>45046</v>
      </c>
      <c r="M3" s="9">
        <v>45138</v>
      </c>
      <c r="N3" s="9">
        <v>45230</v>
      </c>
      <c r="O3" s="9">
        <f>+K3+365</f>
        <v>45322</v>
      </c>
      <c r="P3" s="9">
        <v>45412</v>
      </c>
      <c r="Q3" s="9">
        <v>45504</v>
      </c>
      <c r="R3" s="9">
        <f>+N3+365</f>
        <v>45595</v>
      </c>
      <c r="S3" s="9">
        <f>+O3+365</f>
        <v>45687</v>
      </c>
      <c r="T3" s="9">
        <f>+P3+365</f>
        <v>45777</v>
      </c>
      <c r="V3" s="14">
        <v>43131</v>
      </c>
      <c r="W3" s="14">
        <v>43496</v>
      </c>
      <c r="X3" s="14">
        <v>43861</v>
      </c>
      <c r="Y3" s="14">
        <v>44227</v>
      </c>
      <c r="Z3" s="14">
        <v>44592</v>
      </c>
      <c r="AA3" s="14">
        <v>44957</v>
      </c>
      <c r="AB3" s="14">
        <v>45322</v>
      </c>
    </row>
    <row r="4" spans="1:28" s="9" customFormat="1" x14ac:dyDescent="0.2">
      <c r="B4" s="22" t="s">
        <v>66</v>
      </c>
      <c r="K4" s="23">
        <v>48.6</v>
      </c>
      <c r="L4" s="23">
        <v>46.7</v>
      </c>
      <c r="M4" s="23">
        <v>46.6</v>
      </c>
      <c r="N4" s="23">
        <v>48.3</v>
      </c>
      <c r="O4" s="23">
        <v>56.9</v>
      </c>
      <c r="P4" s="23">
        <v>53.9</v>
      </c>
      <c r="Q4" s="23">
        <v>53.5</v>
      </c>
      <c r="V4" s="14"/>
      <c r="W4" s="14"/>
      <c r="X4" s="14"/>
      <c r="Y4" s="14"/>
      <c r="Z4" s="14"/>
      <c r="AA4" s="14"/>
      <c r="AB4" s="14"/>
    </row>
    <row r="5" spans="1:28" s="9" customFormat="1" x14ac:dyDescent="0.2">
      <c r="V5" s="14"/>
      <c r="W5" s="14"/>
      <c r="X5" s="14"/>
      <c r="Y5" s="14"/>
      <c r="Z5" s="14"/>
      <c r="AA5" s="14"/>
      <c r="AB5" s="14"/>
    </row>
    <row r="6" spans="1:28" s="6" customFormat="1" x14ac:dyDescent="0.2">
      <c r="B6" s="24" t="s">
        <v>67</v>
      </c>
      <c r="M6" s="6">
        <v>1895</v>
      </c>
      <c r="Q6" s="6">
        <v>2071</v>
      </c>
      <c r="V6" s="15"/>
      <c r="W6" s="15"/>
      <c r="X6" s="15"/>
      <c r="Y6" s="15"/>
      <c r="Z6" s="15"/>
      <c r="AA6" s="15"/>
      <c r="AB6" s="15"/>
    </row>
    <row r="7" spans="1:28" s="6" customFormat="1" x14ac:dyDescent="0.2">
      <c r="B7" s="24" t="s">
        <v>68</v>
      </c>
      <c r="M7" s="6">
        <v>2049</v>
      </c>
      <c r="Q7" s="6">
        <v>2257</v>
      </c>
      <c r="V7" s="15"/>
      <c r="W7" s="15"/>
      <c r="X7" s="15"/>
      <c r="Y7" s="15"/>
      <c r="Z7" s="15"/>
      <c r="AA7" s="15"/>
      <c r="AB7" s="15"/>
    </row>
    <row r="8" spans="1:28" s="6" customFormat="1" x14ac:dyDescent="0.2">
      <c r="B8" s="24" t="s">
        <v>69</v>
      </c>
      <c r="M8" s="6">
        <v>1638</v>
      </c>
      <c r="Q8" s="6">
        <v>1786</v>
      </c>
      <c r="V8" s="15"/>
      <c r="W8" s="15"/>
      <c r="X8" s="15"/>
      <c r="Y8" s="15"/>
      <c r="Z8" s="15"/>
      <c r="AA8" s="15"/>
      <c r="AB8" s="15"/>
    </row>
    <row r="9" spans="1:28" s="6" customFormat="1" x14ac:dyDescent="0.2">
      <c r="B9" s="24" t="s">
        <v>70</v>
      </c>
      <c r="M9" s="6">
        <v>1238</v>
      </c>
      <c r="Q9" s="6">
        <v>1308</v>
      </c>
      <c r="V9" s="15"/>
      <c r="W9" s="15"/>
      <c r="X9" s="15"/>
      <c r="Y9" s="15"/>
      <c r="Z9" s="15"/>
      <c r="AA9" s="15"/>
      <c r="AB9" s="15"/>
    </row>
    <row r="10" spans="1:28" s="6" customFormat="1" x14ac:dyDescent="0.2">
      <c r="B10" s="24" t="s">
        <v>71</v>
      </c>
      <c r="M10" s="6">
        <v>1186</v>
      </c>
      <c r="Q10" s="6">
        <v>1342</v>
      </c>
      <c r="V10" s="15"/>
      <c r="W10" s="15"/>
      <c r="X10" s="15"/>
      <c r="Y10" s="15"/>
      <c r="Z10" s="15"/>
      <c r="AA10" s="15"/>
      <c r="AB10" s="15"/>
    </row>
    <row r="11" spans="1:28" s="9" customFormat="1" x14ac:dyDescent="0.2">
      <c r="V11" s="14"/>
      <c r="W11" s="14"/>
      <c r="X11" s="14"/>
      <c r="Y11" s="14"/>
      <c r="Z11" s="14"/>
      <c r="AA11" s="14"/>
      <c r="AB11" s="14"/>
    </row>
    <row r="12" spans="1:28" s="6" customFormat="1" x14ac:dyDescent="0.2">
      <c r="B12" s="6" t="s">
        <v>7</v>
      </c>
      <c r="D12" s="6">
        <v>5536</v>
      </c>
      <c r="E12" s="6">
        <v>5914</v>
      </c>
      <c r="F12" s="6">
        <v>6379</v>
      </c>
      <c r="G12" s="6">
        <f>24657-F12-E12-D12</f>
        <v>6828</v>
      </c>
      <c r="H12" s="6">
        <v>6856</v>
      </c>
      <c r="I12" s="6">
        <v>7143</v>
      </c>
      <c r="J12" s="6">
        <v>7233</v>
      </c>
      <c r="K12" s="6">
        <v>7789</v>
      </c>
      <c r="L12" s="6">
        <v>7642</v>
      </c>
      <c r="M12" s="6">
        <v>8006</v>
      </c>
      <c r="N12" s="6">
        <v>8141</v>
      </c>
      <c r="O12" s="6">
        <v>8748</v>
      </c>
      <c r="P12" s="6">
        <v>8585</v>
      </c>
      <c r="Q12" s="6">
        <v>8764</v>
      </c>
      <c r="V12" s="15">
        <v>9766</v>
      </c>
      <c r="W12" s="15">
        <v>12413</v>
      </c>
      <c r="X12" s="15">
        <v>16043</v>
      </c>
      <c r="Y12" s="15">
        <v>19976</v>
      </c>
      <c r="Z12" s="15">
        <f>SUM(D12:G12)</f>
        <v>24657</v>
      </c>
      <c r="AA12" s="15">
        <f>SUM(H12:K12)</f>
        <v>29021</v>
      </c>
      <c r="AB12" s="15"/>
    </row>
    <row r="13" spans="1:28" s="6" customFormat="1" x14ac:dyDescent="0.2">
      <c r="B13" s="6" t="s">
        <v>8</v>
      </c>
      <c r="D13" s="6">
        <v>427</v>
      </c>
      <c r="E13" s="6">
        <v>426</v>
      </c>
      <c r="F13" s="6">
        <v>484</v>
      </c>
      <c r="G13" s="6">
        <f>1835-F13-E13-D13</f>
        <v>498</v>
      </c>
      <c r="H13" s="6">
        <v>555</v>
      </c>
      <c r="I13" s="6">
        <v>577</v>
      </c>
      <c r="J13" s="6">
        <v>604</v>
      </c>
      <c r="K13" s="6">
        <v>595</v>
      </c>
      <c r="L13" s="6">
        <v>605</v>
      </c>
      <c r="M13" s="6">
        <v>597</v>
      </c>
      <c r="N13" s="6">
        <v>579</v>
      </c>
      <c r="O13" s="6">
        <v>539</v>
      </c>
      <c r="P13" s="6">
        <v>548</v>
      </c>
      <c r="Q13" s="6">
        <v>561</v>
      </c>
      <c r="V13" s="15">
        <v>774</v>
      </c>
      <c r="W13" s="15">
        <v>869</v>
      </c>
      <c r="X13" s="15">
        <v>1055</v>
      </c>
      <c r="Y13" s="15">
        <v>1276</v>
      </c>
      <c r="Z13" s="15">
        <f>SUM(D13:G13)</f>
        <v>1835</v>
      </c>
      <c r="AA13" s="15">
        <f>SUM(H13:K13)</f>
        <v>2331</v>
      </c>
      <c r="AB13" s="15"/>
    </row>
    <row r="14" spans="1:28" s="4" customFormat="1" x14ac:dyDescent="0.2">
      <c r="B14" s="4" t="s">
        <v>9</v>
      </c>
      <c r="D14" s="4">
        <f t="shared" ref="D14:K14" si="0">D12+D13</f>
        <v>5963</v>
      </c>
      <c r="E14" s="4">
        <f t="shared" si="0"/>
        <v>6340</v>
      </c>
      <c r="F14" s="4">
        <f t="shared" si="0"/>
        <v>6863</v>
      </c>
      <c r="G14" s="4">
        <f t="shared" si="0"/>
        <v>7326</v>
      </c>
      <c r="H14" s="4">
        <f t="shared" si="0"/>
        <v>7411</v>
      </c>
      <c r="I14" s="4">
        <f t="shared" si="0"/>
        <v>7720</v>
      </c>
      <c r="J14" s="4">
        <f t="shared" si="0"/>
        <v>7837</v>
      </c>
      <c r="K14" s="4">
        <f t="shared" si="0"/>
        <v>8384</v>
      </c>
      <c r="L14" s="4">
        <f t="shared" ref="L14:T14" si="1">L12+L13</f>
        <v>8247</v>
      </c>
      <c r="M14" s="4">
        <f t="shared" si="1"/>
        <v>8603</v>
      </c>
      <c r="N14" s="4">
        <f t="shared" si="1"/>
        <v>8720</v>
      </c>
      <c r="O14" s="4">
        <f t="shared" si="1"/>
        <v>9287</v>
      </c>
      <c r="P14" s="4">
        <f t="shared" si="1"/>
        <v>9133</v>
      </c>
      <c r="Q14" s="4">
        <f t="shared" si="1"/>
        <v>9325</v>
      </c>
      <c r="R14" s="4">
        <f t="shared" si="1"/>
        <v>0</v>
      </c>
      <c r="S14" s="4">
        <f t="shared" si="1"/>
        <v>0</v>
      </c>
      <c r="T14" s="4">
        <f t="shared" si="1"/>
        <v>0</v>
      </c>
      <c r="V14" s="4">
        <f t="shared" ref="V14:AA14" si="2">V12+V13</f>
        <v>10540</v>
      </c>
      <c r="W14" s="4">
        <f t="shared" si="2"/>
        <v>13282</v>
      </c>
      <c r="X14" s="4">
        <f t="shared" si="2"/>
        <v>17098</v>
      </c>
      <c r="Y14" s="4">
        <f t="shared" si="2"/>
        <v>21252</v>
      </c>
      <c r="Z14" s="4">
        <f t="shared" si="2"/>
        <v>26492</v>
      </c>
      <c r="AA14" s="4">
        <f t="shared" si="2"/>
        <v>31352</v>
      </c>
      <c r="AB14" s="16"/>
    </row>
    <row r="15" spans="1:28" s="6" customFormat="1" x14ac:dyDescent="0.2">
      <c r="B15" s="6" t="s">
        <v>10</v>
      </c>
      <c r="D15" s="6">
        <v>1555</v>
      </c>
      <c r="E15" s="6">
        <f>1146+467</f>
        <v>1613</v>
      </c>
      <c r="F15" s="6">
        <f>1335+509</f>
        <v>1844</v>
      </c>
      <c r="G15" s="6">
        <f>5059+1967-F15-E15-D15</f>
        <v>2014</v>
      </c>
      <c r="H15" s="6">
        <v>2045</v>
      </c>
      <c r="I15" s="6">
        <f>1490+637</f>
        <v>2127</v>
      </c>
      <c r="J15" s="6">
        <f>1451+637</f>
        <v>2088</v>
      </c>
      <c r="K15" s="6">
        <v>2100</v>
      </c>
      <c r="L15" s="6">
        <v>2125</v>
      </c>
      <c r="M15" s="6">
        <v>2113</v>
      </c>
      <c r="N15" s="6">
        <v>2155</v>
      </c>
      <c r="O15" s="6">
        <v>2148</v>
      </c>
      <c r="P15" s="6">
        <v>2162</v>
      </c>
      <c r="Q15" s="6">
        <v>2159</v>
      </c>
      <c r="V15" s="15">
        <f>2033+740</f>
        <v>2773</v>
      </c>
      <c r="W15" s="15">
        <f>2604+847</f>
        <v>3451</v>
      </c>
      <c r="X15" s="15"/>
      <c r="Y15" s="15"/>
      <c r="Z15" s="15"/>
      <c r="AA15" s="15"/>
      <c r="AB15" s="15"/>
    </row>
    <row r="16" spans="1:28" s="6" customFormat="1" x14ac:dyDescent="0.2">
      <c r="B16" s="6" t="s">
        <v>11</v>
      </c>
      <c r="D16" s="6">
        <f>D14-D15</f>
        <v>4408</v>
      </c>
      <c r="E16" s="6">
        <f>E14-E15</f>
        <v>4727</v>
      </c>
      <c r="F16" s="6">
        <f>+F14-F15</f>
        <v>5019</v>
      </c>
      <c r="G16" s="6">
        <f>+G14-G15</f>
        <v>5312</v>
      </c>
      <c r="H16" s="6">
        <f>H14-H15</f>
        <v>5366</v>
      </c>
      <c r="I16" s="6">
        <f>I14-I15</f>
        <v>5593</v>
      </c>
      <c r="J16" s="6">
        <f>J14-J15</f>
        <v>5749</v>
      </c>
      <c r="K16" s="6">
        <f>+K14-K15</f>
        <v>6284</v>
      </c>
      <c r="L16" s="6">
        <f>+L14-L15</f>
        <v>6122</v>
      </c>
      <c r="M16" s="6">
        <f>+M14-M15</f>
        <v>6490</v>
      </c>
      <c r="N16" s="6">
        <f>+N14-N15</f>
        <v>6565</v>
      </c>
      <c r="O16" s="6">
        <f>+O14-O15</f>
        <v>7139</v>
      </c>
      <c r="P16" s="6">
        <f>+P14-P15</f>
        <v>6971</v>
      </c>
      <c r="Q16" s="6">
        <f>+Q14-Q15</f>
        <v>7166</v>
      </c>
      <c r="V16" s="15">
        <f>+V14-V15</f>
        <v>7767</v>
      </c>
      <c r="W16" s="15">
        <f>+W14-W15</f>
        <v>9831</v>
      </c>
      <c r="X16" s="15"/>
      <c r="Y16" s="15"/>
      <c r="Z16" s="15"/>
      <c r="AA16" s="15"/>
      <c r="AB16" s="15"/>
    </row>
    <row r="17" spans="2:28" s="6" customFormat="1" x14ac:dyDescent="0.2">
      <c r="B17" s="6" t="s">
        <v>12</v>
      </c>
      <c r="D17" s="6">
        <v>951</v>
      </c>
      <c r="E17" s="6">
        <v>1020</v>
      </c>
      <c r="F17" s="6">
        <v>1203</v>
      </c>
      <c r="G17" s="6">
        <f>4465-F17-E17-D17</f>
        <v>1291</v>
      </c>
      <c r="H17" s="6">
        <v>1318</v>
      </c>
      <c r="I17" s="6">
        <v>1329</v>
      </c>
      <c r="J17" s="6">
        <v>1280</v>
      </c>
      <c r="K17" s="6">
        <v>1128</v>
      </c>
      <c r="L17" s="6">
        <v>1207</v>
      </c>
      <c r="M17" s="6">
        <v>1220</v>
      </c>
      <c r="N17" s="6">
        <v>1204</v>
      </c>
      <c r="O17" s="6">
        <v>1275</v>
      </c>
      <c r="P17" s="6">
        <v>1368</v>
      </c>
      <c r="Q17" s="6">
        <v>1349</v>
      </c>
      <c r="V17" s="15">
        <v>1553</v>
      </c>
      <c r="W17" s="15">
        <v>1886</v>
      </c>
      <c r="X17" s="15"/>
      <c r="Y17" s="15"/>
      <c r="Z17" s="15"/>
      <c r="AA17" s="15"/>
      <c r="AB17" s="15"/>
    </row>
    <row r="18" spans="2:28" s="6" customFormat="1" x14ac:dyDescent="0.2">
      <c r="B18" s="6" t="s">
        <v>13</v>
      </c>
      <c r="D18" s="6">
        <v>2544</v>
      </c>
      <c r="E18" s="6">
        <v>2736</v>
      </c>
      <c r="F18" s="6">
        <v>3111</v>
      </c>
      <c r="G18" s="6">
        <f>11855-F18-E18-D18</f>
        <v>3464</v>
      </c>
      <c r="H18" s="6">
        <v>3372</v>
      </c>
      <c r="I18" s="6">
        <v>3424</v>
      </c>
      <c r="J18" s="6">
        <v>3345</v>
      </c>
      <c r="K18" s="6">
        <v>3385</v>
      </c>
      <c r="L18" s="6">
        <v>3154</v>
      </c>
      <c r="M18" s="6">
        <v>3113</v>
      </c>
      <c r="N18" s="6">
        <v>3173</v>
      </c>
      <c r="O18" s="6">
        <v>3437</v>
      </c>
      <c r="P18" s="6">
        <v>3239</v>
      </c>
      <c r="Q18" s="6">
        <v>3224</v>
      </c>
      <c r="V18" s="15">
        <v>4671</v>
      </c>
      <c r="W18" s="15">
        <v>6064</v>
      </c>
      <c r="X18" s="15"/>
      <c r="Y18" s="15"/>
      <c r="Z18" s="15"/>
      <c r="AA18" s="15"/>
      <c r="AB18" s="15"/>
    </row>
    <row r="19" spans="2:28" s="6" customFormat="1" x14ac:dyDescent="0.2">
      <c r="B19" s="6" t="s">
        <v>14</v>
      </c>
      <c r="D19" s="6">
        <v>559</v>
      </c>
      <c r="E19" s="6">
        <v>639</v>
      </c>
      <c r="F19" s="6">
        <v>667</v>
      </c>
      <c r="G19" s="6">
        <f>2598-F19-E19-D19</f>
        <v>733</v>
      </c>
      <c r="H19" s="6">
        <v>656</v>
      </c>
      <c r="I19" s="6">
        <v>647</v>
      </c>
      <c r="J19" s="6">
        <v>664</v>
      </c>
      <c r="K19" s="6">
        <v>586</v>
      </c>
      <c r="L19" s="6">
        <v>638</v>
      </c>
      <c r="M19" s="6">
        <v>632</v>
      </c>
      <c r="N19" s="6">
        <v>632</v>
      </c>
      <c r="O19" s="6">
        <v>632</v>
      </c>
      <c r="P19" s="6">
        <v>647</v>
      </c>
      <c r="Q19" s="6">
        <v>711</v>
      </c>
      <c r="V19" s="15">
        <v>1089</v>
      </c>
      <c r="W19" s="15">
        <v>1346</v>
      </c>
      <c r="X19" s="15"/>
      <c r="Y19" s="15"/>
      <c r="Z19" s="15"/>
      <c r="AA19" s="15"/>
      <c r="AB19" s="15"/>
    </row>
    <row r="20" spans="2:28" s="6" customFormat="1" x14ac:dyDescent="0.2">
      <c r="B20" s="6" t="s">
        <v>15</v>
      </c>
      <c r="D20" s="6">
        <f t="shared" ref="D20:K20" si="3">SUM(D17:D19)</f>
        <v>4054</v>
      </c>
      <c r="E20" s="6">
        <f t="shared" si="3"/>
        <v>4395</v>
      </c>
      <c r="F20" s="6">
        <f t="shared" si="3"/>
        <v>4981</v>
      </c>
      <c r="G20" s="6">
        <f t="shared" si="3"/>
        <v>5488</v>
      </c>
      <c r="H20" s="6">
        <f t="shared" si="3"/>
        <v>5346</v>
      </c>
      <c r="I20" s="6">
        <f t="shared" si="3"/>
        <v>5400</v>
      </c>
      <c r="J20" s="6">
        <f t="shared" si="3"/>
        <v>5289</v>
      </c>
      <c r="K20" s="6">
        <f t="shared" si="3"/>
        <v>5099</v>
      </c>
      <c r="L20" s="6">
        <f t="shared" ref="L20:N20" si="4">SUM(L17:L19)</f>
        <v>4999</v>
      </c>
      <c r="M20" s="6">
        <f t="shared" si="4"/>
        <v>4965</v>
      </c>
      <c r="N20" s="6">
        <f t="shared" si="4"/>
        <v>5009</v>
      </c>
      <c r="O20" s="6">
        <f t="shared" ref="O20:R20" si="5">SUM(O17:O19)</f>
        <v>5344</v>
      </c>
      <c r="P20" s="6">
        <f t="shared" si="5"/>
        <v>5254</v>
      </c>
      <c r="Q20" s="6">
        <f t="shared" si="5"/>
        <v>5284</v>
      </c>
      <c r="R20" s="6">
        <f t="shared" si="5"/>
        <v>0</v>
      </c>
      <c r="V20" s="6">
        <f t="shared" ref="V20:W20" si="6">SUM(V17:V19)</f>
        <v>7313</v>
      </c>
      <c r="W20" s="6">
        <f t="shared" si="6"/>
        <v>9296</v>
      </c>
      <c r="X20" s="15"/>
      <c r="Y20" s="15"/>
      <c r="Z20" s="15"/>
      <c r="AA20" s="15"/>
      <c r="AB20" s="15"/>
    </row>
    <row r="21" spans="2:28" s="6" customFormat="1" x14ac:dyDescent="0.2">
      <c r="B21" s="6" t="s">
        <v>16</v>
      </c>
      <c r="D21" s="6">
        <f t="shared" ref="D21:K21" si="7">D16-D20</f>
        <v>354</v>
      </c>
      <c r="E21" s="6">
        <f t="shared" si="7"/>
        <v>332</v>
      </c>
      <c r="F21" s="6">
        <f t="shared" si="7"/>
        <v>38</v>
      </c>
      <c r="G21" s="6">
        <f t="shared" si="7"/>
        <v>-176</v>
      </c>
      <c r="H21" s="6">
        <f t="shared" si="7"/>
        <v>20</v>
      </c>
      <c r="I21" s="6">
        <f t="shared" si="7"/>
        <v>193</v>
      </c>
      <c r="J21" s="6">
        <f t="shared" si="7"/>
        <v>460</v>
      </c>
      <c r="K21" s="6">
        <f t="shared" si="7"/>
        <v>1185</v>
      </c>
      <c r="L21" s="6">
        <f t="shared" ref="L21:N21" si="8">L16-L20</f>
        <v>1123</v>
      </c>
      <c r="M21" s="6">
        <f t="shared" si="8"/>
        <v>1525</v>
      </c>
      <c r="N21" s="6">
        <f t="shared" si="8"/>
        <v>1556</v>
      </c>
      <c r="O21" s="6">
        <f t="shared" ref="O21:R21" si="9">O16-O20</f>
        <v>1795</v>
      </c>
      <c r="P21" s="6">
        <f t="shared" si="9"/>
        <v>1717</v>
      </c>
      <c r="Q21" s="6">
        <f t="shared" si="9"/>
        <v>1882</v>
      </c>
      <c r="R21" s="6">
        <f t="shared" si="9"/>
        <v>0</v>
      </c>
      <c r="V21" s="6">
        <f t="shared" ref="V21:W21" si="10">V16-V20</f>
        <v>454</v>
      </c>
      <c r="W21" s="6">
        <f t="shared" si="10"/>
        <v>535</v>
      </c>
      <c r="X21" s="15"/>
      <c r="Y21" s="15"/>
      <c r="Z21" s="15"/>
      <c r="AA21" s="15"/>
    </row>
    <row r="22" spans="2:28" x14ac:dyDescent="0.2">
      <c r="B22" s="5" t="s">
        <v>17</v>
      </c>
      <c r="D22" s="5">
        <v>-38</v>
      </c>
      <c r="E22" s="5">
        <v>-32</v>
      </c>
      <c r="F22" s="5">
        <v>-102</v>
      </c>
      <c r="G22" s="5">
        <f>-227-F22-E22-D22</f>
        <v>-55</v>
      </c>
      <c r="H22" s="5">
        <v>-56</v>
      </c>
      <c r="I22" s="5">
        <v>-57</v>
      </c>
      <c r="J22" s="5">
        <v>-8</v>
      </c>
      <c r="K22" s="5">
        <v>-10</v>
      </c>
      <c r="L22" s="5">
        <v>55</v>
      </c>
      <c r="M22" s="5">
        <v>45</v>
      </c>
      <c r="N22" s="5">
        <v>58</v>
      </c>
      <c r="O22" s="5">
        <v>58</v>
      </c>
      <c r="P22" s="5">
        <v>121</v>
      </c>
      <c r="Q22" s="5">
        <v>91</v>
      </c>
      <c r="V22" s="13">
        <v>-87</v>
      </c>
      <c r="W22" s="13">
        <v>-154</v>
      </c>
    </row>
    <row r="23" spans="2:28" x14ac:dyDescent="0.2">
      <c r="B23" s="5" t="s">
        <v>18</v>
      </c>
      <c r="D23" s="6">
        <f t="shared" ref="D23:K23" si="11">D22+D21</f>
        <v>316</v>
      </c>
      <c r="E23" s="6">
        <f t="shared" si="11"/>
        <v>300</v>
      </c>
      <c r="F23" s="6">
        <f t="shared" si="11"/>
        <v>-64</v>
      </c>
      <c r="G23" s="6">
        <f t="shared" si="11"/>
        <v>-231</v>
      </c>
      <c r="H23" s="6">
        <f t="shared" si="11"/>
        <v>-36</v>
      </c>
      <c r="I23" s="6">
        <f t="shared" si="11"/>
        <v>136</v>
      </c>
      <c r="J23" s="6">
        <f t="shared" si="11"/>
        <v>452</v>
      </c>
      <c r="K23" s="6">
        <f t="shared" si="11"/>
        <v>1175</v>
      </c>
      <c r="L23" s="6">
        <f t="shared" ref="L23:Q23" si="12">L22+L21</f>
        <v>1178</v>
      </c>
      <c r="M23" s="6">
        <f t="shared" si="12"/>
        <v>1570</v>
      </c>
      <c r="N23" s="6">
        <f t="shared" si="12"/>
        <v>1614</v>
      </c>
      <c r="O23" s="6">
        <f t="shared" si="12"/>
        <v>1853</v>
      </c>
      <c r="P23" s="6">
        <f t="shared" si="12"/>
        <v>1838</v>
      </c>
      <c r="Q23" s="6">
        <f t="shared" si="12"/>
        <v>1973</v>
      </c>
      <c r="R23" s="6"/>
      <c r="S23" s="6"/>
      <c r="V23" s="6">
        <f t="shared" ref="V23" si="13">V22+V21</f>
        <v>367</v>
      </c>
      <c r="W23" s="6">
        <f t="shared" ref="W23" si="14">W22+W21</f>
        <v>381</v>
      </c>
    </row>
    <row r="24" spans="2:28" x14ac:dyDescent="0.2">
      <c r="B24" s="5" t="s">
        <v>19</v>
      </c>
      <c r="D24" s="5">
        <v>135</v>
      </c>
      <c r="E24" s="5">
        <v>291</v>
      </c>
      <c r="F24" s="5">
        <v>0</v>
      </c>
      <c r="G24" s="5">
        <f>88-F24-E24-D24</f>
        <v>-338</v>
      </c>
      <c r="H24" s="5">
        <v>-57</v>
      </c>
      <c r="I24" s="5">
        <v>113</v>
      </c>
      <c r="J24" s="5">
        <v>265</v>
      </c>
      <c r="K24" s="5">
        <v>131</v>
      </c>
      <c r="L24" s="5">
        <v>127</v>
      </c>
      <c r="M24" s="5">
        <v>225</v>
      </c>
      <c r="N24" s="5">
        <v>263</v>
      </c>
      <c r="O24" s="5">
        <v>199</v>
      </c>
      <c r="P24" s="5">
        <v>334</v>
      </c>
      <c r="Q24" s="5">
        <v>408</v>
      </c>
      <c r="V24" s="13">
        <v>60</v>
      </c>
      <c r="W24" s="13">
        <v>0</v>
      </c>
    </row>
    <row r="25" spans="2:28" x14ac:dyDescent="0.2">
      <c r="B25" s="5" t="s">
        <v>20</v>
      </c>
      <c r="D25" s="6">
        <f t="shared" ref="D25:J25" si="15">D23-D24</f>
        <v>181</v>
      </c>
      <c r="E25" s="6">
        <f t="shared" si="15"/>
        <v>9</v>
      </c>
      <c r="F25" s="6">
        <f t="shared" si="15"/>
        <v>-64</v>
      </c>
      <c r="G25" s="6">
        <f t="shared" si="15"/>
        <v>107</v>
      </c>
      <c r="H25" s="6">
        <f t="shared" si="15"/>
        <v>21</v>
      </c>
      <c r="I25" s="6">
        <f t="shared" si="15"/>
        <v>23</v>
      </c>
      <c r="J25" s="6">
        <f t="shared" si="15"/>
        <v>187</v>
      </c>
      <c r="K25" s="6">
        <f t="shared" ref="K25" si="16">K23-K24</f>
        <v>1044</v>
      </c>
      <c r="L25" s="6">
        <f t="shared" ref="L25" si="17">L23-L24</f>
        <v>1051</v>
      </c>
      <c r="M25" s="6">
        <f t="shared" ref="M25" si="18">M23-M24</f>
        <v>1345</v>
      </c>
      <c r="N25" s="6">
        <f t="shared" ref="N25:Q25" si="19">N23-N24</f>
        <v>1351</v>
      </c>
      <c r="O25" s="6">
        <f t="shared" si="19"/>
        <v>1654</v>
      </c>
      <c r="P25" s="6">
        <f t="shared" si="19"/>
        <v>1504</v>
      </c>
      <c r="Q25" s="6">
        <f t="shared" si="19"/>
        <v>1565</v>
      </c>
      <c r="R25" s="6"/>
      <c r="S25" s="6"/>
      <c r="V25" s="6">
        <f t="shared" ref="V25" si="20">V23-V24</f>
        <v>307</v>
      </c>
      <c r="W25" s="6">
        <f t="shared" ref="W25" si="21">W23-W24</f>
        <v>381</v>
      </c>
    </row>
    <row r="26" spans="2:28" x14ac:dyDescent="0.2">
      <c r="B26" s="5" t="s">
        <v>21</v>
      </c>
      <c r="D26" s="7">
        <f t="shared" ref="D26:K26" si="22">D25/D27</f>
        <v>0.1925531914893617</v>
      </c>
      <c r="E26" s="7">
        <f t="shared" si="22"/>
        <v>9.4736842105263164E-3</v>
      </c>
      <c r="F26" s="7">
        <f t="shared" si="22"/>
        <v>-6.3936063936063936E-2</v>
      </c>
      <c r="G26" s="7">
        <f t="shared" si="22"/>
        <v>0.10985626283367557</v>
      </c>
      <c r="H26" s="7">
        <f t="shared" si="22"/>
        <v>2.097902097902098E-2</v>
      </c>
      <c r="I26" s="7">
        <f t="shared" si="22"/>
        <v>2.2977022977022976E-2</v>
      </c>
      <c r="J26" s="7">
        <f t="shared" si="22"/>
        <v>0.187</v>
      </c>
      <c r="K26" s="7">
        <f t="shared" si="22"/>
        <v>1.0609756097560976</v>
      </c>
      <c r="L26" s="7">
        <f t="shared" ref="L26:Q26" si="23">L25/L27</f>
        <v>1.0637651821862348</v>
      </c>
      <c r="M26" s="7">
        <f t="shared" si="23"/>
        <v>1.3640973630831643</v>
      </c>
      <c r="N26" s="7">
        <f t="shared" si="23"/>
        <v>1.3771661569826708</v>
      </c>
      <c r="O26" s="7">
        <f t="shared" si="23"/>
        <v>1.6826042726347914</v>
      </c>
      <c r="P26" s="7">
        <f t="shared" si="23"/>
        <v>1.5269035532994923</v>
      </c>
      <c r="Q26" s="7">
        <f t="shared" si="23"/>
        <v>1.6084275436793423</v>
      </c>
      <c r="R26" s="7"/>
      <c r="S26" s="7"/>
      <c r="V26" s="7">
        <f t="shared" ref="V26" si="24">V25/V27</f>
        <v>0.41768707482993195</v>
      </c>
      <c r="W26" s="7">
        <f t="shared" ref="W26" si="25">W25/W27</f>
        <v>0.49161290322580647</v>
      </c>
    </row>
    <row r="27" spans="2:28" s="6" customFormat="1" x14ac:dyDescent="0.2">
      <c r="B27" s="6" t="s">
        <v>1</v>
      </c>
      <c r="D27" s="6">
        <v>940</v>
      </c>
      <c r="E27" s="6">
        <v>950</v>
      </c>
      <c r="F27" s="6">
        <v>1001</v>
      </c>
      <c r="G27" s="6">
        <v>974</v>
      </c>
      <c r="H27" s="6">
        <v>1001</v>
      </c>
      <c r="I27" s="6">
        <v>1001</v>
      </c>
      <c r="J27" s="6">
        <v>1000</v>
      </c>
      <c r="K27" s="6">
        <v>984</v>
      </c>
      <c r="L27" s="6">
        <v>988</v>
      </c>
      <c r="M27" s="6">
        <v>986</v>
      </c>
      <c r="N27" s="6">
        <v>981</v>
      </c>
      <c r="O27" s="6">
        <v>983</v>
      </c>
      <c r="P27" s="6">
        <v>985</v>
      </c>
      <c r="Q27" s="6">
        <v>973</v>
      </c>
      <c r="V27" s="15">
        <v>735</v>
      </c>
      <c r="W27" s="15">
        <v>775</v>
      </c>
      <c r="X27" s="15"/>
      <c r="Y27" s="15"/>
      <c r="Z27" s="15"/>
      <c r="AA27" s="15"/>
    </row>
    <row r="29" spans="2:28" s="11" customFormat="1" x14ac:dyDescent="0.2">
      <c r="B29" s="11" t="s">
        <v>22</v>
      </c>
      <c r="H29" s="12">
        <f>+H14/D14-1</f>
        <v>0.24283078987087037</v>
      </c>
      <c r="I29" s="12">
        <f>+I14/E14-1</f>
        <v>0.21766561514195581</v>
      </c>
      <c r="J29" s="12">
        <f>+J14/F14-1</f>
        <v>0.14192044295497586</v>
      </c>
      <c r="K29" s="12">
        <f>+K14/G14-1</f>
        <v>0.14441714441714448</v>
      </c>
      <c r="L29" s="12">
        <f>+L14/H14-1</f>
        <v>0.11280528943462431</v>
      </c>
      <c r="M29" s="12">
        <f>+M14/I14-1</f>
        <v>0.11437823834196892</v>
      </c>
      <c r="N29" s="12">
        <f>+N14/J14-1</f>
        <v>0.11267066479520227</v>
      </c>
      <c r="O29" s="12">
        <f>+O14/K14-1</f>
        <v>0.10770515267175562</v>
      </c>
      <c r="P29" s="12">
        <f>+P14/L14-1</f>
        <v>0.10743300594155447</v>
      </c>
      <c r="Q29" s="12">
        <f>+Q14/M14-1</f>
        <v>8.3924212484017158E-2</v>
      </c>
      <c r="R29" s="12"/>
      <c r="S29" s="12"/>
      <c r="V29" s="17"/>
      <c r="W29" s="18">
        <f t="shared" ref="W29:AB29" si="26">+W14/V14-1</f>
        <v>0.26015180265654658</v>
      </c>
      <c r="X29" s="18">
        <f t="shared" si="26"/>
        <v>0.28730612859509108</v>
      </c>
      <c r="Y29" s="18">
        <f t="shared" si="26"/>
        <v>0.24295239209264241</v>
      </c>
      <c r="Z29" s="18">
        <f t="shared" si="26"/>
        <v>0.24656502917372491</v>
      </c>
      <c r="AA29" s="18">
        <f t="shared" si="26"/>
        <v>0.18345160803261362</v>
      </c>
      <c r="AB29" s="18">
        <f t="shared" si="26"/>
        <v>-1</v>
      </c>
    </row>
    <row r="31" spans="2:28" x14ac:dyDescent="0.2">
      <c r="B31" s="21" t="s">
        <v>73</v>
      </c>
      <c r="N31" s="6">
        <f>+N32-N45</f>
        <v>7212</v>
      </c>
      <c r="O31" s="6">
        <f>+O32-O45</f>
        <v>9616</v>
      </c>
      <c r="P31" s="6">
        <f>+P32-P45</f>
        <v>22648</v>
      </c>
      <c r="Q31" s="6">
        <f>+Q32-Q45</f>
        <v>17653</v>
      </c>
    </row>
    <row r="32" spans="2:28" x14ac:dyDescent="0.2">
      <c r="B32" s="21" t="s">
        <v>3</v>
      </c>
      <c r="N32" s="6">
        <f>6453+5410+4774</f>
        <v>16637</v>
      </c>
      <c r="O32" s="6">
        <f>8472+5722+4848</f>
        <v>19042</v>
      </c>
      <c r="P32" s="6">
        <f>9958+7712+4978</f>
        <v>22648</v>
      </c>
      <c r="Q32" s="6">
        <f>7682+4954+5017</f>
        <v>17653</v>
      </c>
    </row>
    <row r="33" spans="2:17" x14ac:dyDescent="0.2">
      <c r="B33" s="21" t="s">
        <v>45</v>
      </c>
      <c r="N33" s="6">
        <v>4850</v>
      </c>
      <c r="O33" s="6">
        <v>11414</v>
      </c>
      <c r="P33" s="6">
        <v>4273</v>
      </c>
      <c r="Q33" s="6">
        <v>5391</v>
      </c>
    </row>
    <row r="34" spans="2:17" x14ac:dyDescent="0.2">
      <c r="B34" s="21" t="s">
        <v>47</v>
      </c>
      <c r="N34" s="6">
        <f>1757+2194</f>
        <v>3951</v>
      </c>
      <c r="O34" s="6">
        <f>1905+2515</f>
        <v>4420</v>
      </c>
      <c r="P34" s="6">
        <f>1865+2286</f>
        <v>4151</v>
      </c>
      <c r="Q34" s="6">
        <f>1851+2201</f>
        <v>4052</v>
      </c>
    </row>
    <row r="35" spans="2:17" x14ac:dyDescent="0.2">
      <c r="B35" s="21" t="s">
        <v>46</v>
      </c>
      <c r="N35" s="6">
        <v>1732</v>
      </c>
      <c r="O35" s="6">
        <v>1561</v>
      </c>
      <c r="P35" s="6">
        <v>1796</v>
      </c>
      <c r="Q35" s="6">
        <v>1984</v>
      </c>
    </row>
    <row r="36" spans="2:17" x14ac:dyDescent="0.2">
      <c r="B36" s="21" t="s">
        <v>48</v>
      </c>
      <c r="N36" s="6">
        <v>3807</v>
      </c>
      <c r="O36" s="6">
        <v>3689</v>
      </c>
      <c r="P36" s="6">
        <v>3506</v>
      </c>
      <c r="Q36" s="6">
        <v>3580</v>
      </c>
    </row>
    <row r="37" spans="2:17" x14ac:dyDescent="0.2">
      <c r="B37" s="21" t="s">
        <v>49</v>
      </c>
      <c r="N37" s="6">
        <v>2518</v>
      </c>
      <c r="O37" s="6">
        <v>2366</v>
      </c>
      <c r="P37" s="6">
        <v>2255</v>
      </c>
      <c r="Q37" s="6">
        <v>2130</v>
      </c>
    </row>
    <row r="38" spans="2:17" x14ac:dyDescent="0.2">
      <c r="B38" s="21" t="s">
        <v>50</v>
      </c>
      <c r="N38" s="6">
        <f>48614+5737</f>
        <v>54351</v>
      </c>
      <c r="O38" s="6">
        <f>48620+5278</f>
        <v>53898</v>
      </c>
      <c r="P38" s="6">
        <f>48940+4869</f>
        <v>53809</v>
      </c>
      <c r="Q38" s="6">
        <f>4415+48941</f>
        <v>53356</v>
      </c>
    </row>
    <row r="39" spans="2:17" x14ac:dyDescent="0.2">
      <c r="B39" s="21" t="s">
        <v>51</v>
      </c>
      <c r="N39" s="6">
        <v>3176</v>
      </c>
      <c r="O39" s="6">
        <v>3433</v>
      </c>
      <c r="P39" s="6">
        <v>3742</v>
      </c>
      <c r="Q39" s="6">
        <v>4034</v>
      </c>
    </row>
    <row r="40" spans="2:17" x14ac:dyDescent="0.2">
      <c r="B40" s="21" t="s">
        <v>52</v>
      </c>
      <c r="N40" s="6">
        <f>SUM(N32:N39)</f>
        <v>91022</v>
      </c>
      <c r="O40" s="6">
        <f>SUM(O32:O39)</f>
        <v>99823</v>
      </c>
      <c r="P40" s="6">
        <f>SUM(P32:P39)</f>
        <v>96180</v>
      </c>
      <c r="Q40" s="6">
        <f>SUM(Q32:Q39)</f>
        <v>92180</v>
      </c>
    </row>
    <row r="42" spans="2:17" x14ac:dyDescent="0.2">
      <c r="B42" s="21" t="s">
        <v>55</v>
      </c>
      <c r="N42" s="6">
        <v>5308</v>
      </c>
      <c r="O42" s="6">
        <v>6111</v>
      </c>
      <c r="P42" s="6">
        <v>5520</v>
      </c>
      <c r="Q42" s="6">
        <v>5220</v>
      </c>
    </row>
    <row r="43" spans="2:17" x14ac:dyDescent="0.2">
      <c r="B43" s="21" t="s">
        <v>49</v>
      </c>
      <c r="N43" s="6">
        <f>523+2764</f>
        <v>3287</v>
      </c>
      <c r="O43" s="6">
        <f>518+2644</f>
        <v>3162</v>
      </c>
      <c r="P43" s="6">
        <f>568+2519+1000+8429</f>
        <v>12516</v>
      </c>
      <c r="Q43" s="6">
        <f>559+2404+8430</f>
        <v>11393</v>
      </c>
    </row>
    <row r="44" spans="2:17" x14ac:dyDescent="0.2">
      <c r="B44" s="21" t="s">
        <v>56</v>
      </c>
      <c r="N44" s="6">
        <v>12564</v>
      </c>
      <c r="O44" s="6">
        <v>19003</v>
      </c>
      <c r="P44" s="6">
        <v>16061</v>
      </c>
      <c r="Q44" s="6">
        <v>15222</v>
      </c>
    </row>
    <row r="45" spans="2:17" x14ac:dyDescent="0.2">
      <c r="B45" s="21" t="s">
        <v>4</v>
      </c>
      <c r="N45" s="6">
        <f>8426+999</f>
        <v>9425</v>
      </c>
      <c r="O45" s="6">
        <f>999+8427</f>
        <v>9426</v>
      </c>
      <c r="P45" s="6">
        <v>0</v>
      </c>
      <c r="Q45" s="6">
        <v>0</v>
      </c>
    </row>
    <row r="46" spans="2:17" x14ac:dyDescent="0.2">
      <c r="B46" s="21" t="s">
        <v>57</v>
      </c>
      <c r="N46" s="6">
        <v>2348</v>
      </c>
      <c r="O46" s="6">
        <v>2475</v>
      </c>
      <c r="P46" s="6">
        <v>2400</v>
      </c>
      <c r="Q46" s="6">
        <v>2712</v>
      </c>
    </row>
    <row r="47" spans="2:17" x14ac:dyDescent="0.2">
      <c r="B47" s="21" t="s">
        <v>54</v>
      </c>
      <c r="N47" s="6">
        <v>58090</v>
      </c>
      <c r="O47" s="6">
        <v>59646</v>
      </c>
      <c r="P47" s="6">
        <v>59683</v>
      </c>
      <c r="Q47" s="6">
        <v>57633</v>
      </c>
    </row>
    <row r="48" spans="2:17" x14ac:dyDescent="0.2">
      <c r="B48" s="21" t="s">
        <v>53</v>
      </c>
      <c r="N48" s="6">
        <f>SUM(N42:N47)</f>
        <v>91022</v>
      </c>
      <c r="O48" s="6">
        <f>SUM(O42:O47)</f>
        <v>99823</v>
      </c>
      <c r="P48" s="6">
        <f>SUM(P42:P47)</f>
        <v>96180</v>
      </c>
      <c r="Q48" s="6">
        <f>SUM(Q42:Q47)</f>
        <v>92180</v>
      </c>
    </row>
    <row r="50" spans="2:144" s="6" customFormat="1" x14ac:dyDescent="0.2">
      <c r="B50" s="6" t="s">
        <v>24</v>
      </c>
      <c r="C50" s="6">
        <f t="shared" ref="C50:J50" si="27">+C25</f>
        <v>0</v>
      </c>
      <c r="D50" s="6">
        <f t="shared" si="27"/>
        <v>181</v>
      </c>
      <c r="E50" s="6">
        <f t="shared" si="27"/>
        <v>9</v>
      </c>
      <c r="F50" s="6">
        <f t="shared" si="27"/>
        <v>-64</v>
      </c>
      <c r="G50" s="6">
        <f t="shared" si="27"/>
        <v>107</v>
      </c>
      <c r="H50" s="6">
        <f t="shared" si="27"/>
        <v>21</v>
      </c>
      <c r="I50" s="6">
        <f t="shared" si="27"/>
        <v>23</v>
      </c>
      <c r="J50" s="6">
        <f t="shared" si="27"/>
        <v>187</v>
      </c>
      <c r="N50" s="6">
        <f t="shared" ref="N50:O50" si="28">+N25</f>
        <v>1351</v>
      </c>
      <c r="O50" s="6">
        <f t="shared" si="28"/>
        <v>1654</v>
      </c>
      <c r="P50" s="6">
        <f t="shared" ref="P50:Q50" si="29">+P25</f>
        <v>1504</v>
      </c>
      <c r="Q50" s="6">
        <f t="shared" si="29"/>
        <v>1565</v>
      </c>
      <c r="V50" s="15"/>
      <c r="W50" s="15"/>
      <c r="X50" s="15"/>
      <c r="Y50" s="15"/>
      <c r="Z50" s="15"/>
      <c r="AA50" s="15"/>
    </row>
    <row r="51" spans="2:144" s="6" customFormat="1" x14ac:dyDescent="0.2">
      <c r="B51" s="6" t="s">
        <v>23</v>
      </c>
      <c r="F51" s="6">
        <v>468</v>
      </c>
      <c r="H51" s="6">
        <v>28</v>
      </c>
      <c r="I51" s="6">
        <f>68</f>
        <v>68</v>
      </c>
      <c r="J51" s="6">
        <v>210</v>
      </c>
      <c r="N51" s="6">
        <v>1224</v>
      </c>
      <c r="O51" s="6">
        <v>1446</v>
      </c>
      <c r="P51" s="6">
        <v>1533</v>
      </c>
      <c r="Q51" s="6">
        <v>1429</v>
      </c>
      <c r="V51" s="15"/>
      <c r="W51" s="15"/>
      <c r="X51" s="15"/>
      <c r="Y51" s="15"/>
      <c r="Z51" s="15"/>
      <c r="AA51" s="15"/>
    </row>
    <row r="52" spans="2:144" s="6" customFormat="1" x14ac:dyDescent="0.2">
      <c r="B52" s="6" t="s">
        <v>26</v>
      </c>
      <c r="F52" s="6">
        <v>963</v>
      </c>
      <c r="H52" s="6">
        <v>906</v>
      </c>
      <c r="I52" s="6">
        <f>907</f>
        <v>907</v>
      </c>
      <c r="J52" s="6">
        <v>941</v>
      </c>
      <c r="N52" s="6">
        <v>862</v>
      </c>
      <c r="O52" s="6">
        <v>953</v>
      </c>
      <c r="P52" s="6">
        <v>879</v>
      </c>
      <c r="Q52" s="6">
        <v>907</v>
      </c>
      <c r="V52" s="15"/>
      <c r="W52" s="15"/>
      <c r="X52" s="15"/>
      <c r="Y52" s="15"/>
      <c r="Z52" s="15"/>
      <c r="AA52" s="15"/>
    </row>
    <row r="53" spans="2:144" s="6" customFormat="1" x14ac:dyDescent="0.2">
      <c r="B53" s="6" t="s">
        <v>27</v>
      </c>
      <c r="F53" s="6">
        <v>344</v>
      </c>
      <c r="H53" s="6">
        <v>394</v>
      </c>
      <c r="I53" s="6">
        <f>408</f>
        <v>408</v>
      </c>
      <c r="J53" s="6">
        <v>423</v>
      </c>
      <c r="N53" s="6">
        <v>482</v>
      </c>
      <c r="O53" s="6">
        <v>497</v>
      </c>
      <c r="P53" s="6">
        <v>517</v>
      </c>
      <c r="Q53" s="6">
        <v>526</v>
      </c>
      <c r="V53" s="15"/>
      <c r="W53" s="15"/>
      <c r="X53" s="15"/>
      <c r="Y53" s="15"/>
      <c r="Z53" s="15"/>
      <c r="AA53" s="15"/>
    </row>
    <row r="54" spans="2:144" s="6" customFormat="1" x14ac:dyDescent="0.2">
      <c r="B54" s="6" t="s">
        <v>28</v>
      </c>
      <c r="F54" s="6">
        <v>812</v>
      </c>
      <c r="H54" s="6">
        <v>776</v>
      </c>
      <c r="I54" s="6">
        <f>851</f>
        <v>851</v>
      </c>
      <c r="J54" s="6">
        <v>843</v>
      </c>
      <c r="N54" s="6">
        <v>693</v>
      </c>
      <c r="O54" s="6">
        <v>674</v>
      </c>
      <c r="P54" s="6">
        <v>750</v>
      </c>
      <c r="Q54" s="6">
        <v>810</v>
      </c>
      <c r="V54" s="15"/>
      <c r="W54" s="15"/>
      <c r="X54" s="15"/>
      <c r="Y54" s="15"/>
      <c r="Z54" s="15"/>
      <c r="AA54" s="15"/>
    </row>
    <row r="55" spans="2:144" s="6" customFormat="1" x14ac:dyDescent="0.2">
      <c r="B55" s="6" t="s">
        <v>29</v>
      </c>
      <c r="F55" s="6">
        <v>-363</v>
      </c>
      <c r="H55" s="6">
        <v>-7</v>
      </c>
      <c r="I55" s="6">
        <f>-45</f>
        <v>-45</v>
      </c>
      <c r="J55" s="6">
        <v>-23</v>
      </c>
      <c r="N55" s="6">
        <v>72</v>
      </c>
      <c r="O55" s="6">
        <v>35</v>
      </c>
      <c r="P55" s="6">
        <v>-37</v>
      </c>
      <c r="Q55" s="6">
        <v>37</v>
      </c>
      <c r="V55" s="15"/>
      <c r="W55" s="15"/>
      <c r="X55" s="15"/>
      <c r="Y55" s="15"/>
      <c r="Z55" s="15"/>
      <c r="AA55" s="15"/>
    </row>
    <row r="56" spans="2:144" s="6" customFormat="1" x14ac:dyDescent="0.2">
      <c r="B56" s="6" t="s">
        <v>30</v>
      </c>
      <c r="F56" s="6">
        <f>91-405+189-548-191-956</f>
        <v>-1820</v>
      </c>
      <c r="H56" s="6">
        <f>5805-399-409-1222-202-1994</f>
        <v>1579</v>
      </c>
      <c r="I56" s="6">
        <f>-790-505+113+326-186-813</f>
        <v>-1855</v>
      </c>
      <c r="J56" s="6">
        <f>471-375-63-309-173-1632</f>
        <v>-2081</v>
      </c>
      <c r="N56" s="6">
        <f>550-300-407+172-139-1677</f>
        <v>-1801</v>
      </c>
      <c r="O56" s="6">
        <f>-6564-966-93+1129-147+6439</f>
        <v>-202</v>
      </c>
      <c r="P56" s="6">
        <f>7162-248-514-755-85-2955</f>
        <v>2605</v>
      </c>
      <c r="Q56" s="6">
        <f>-1136-427-477+220-158-839</f>
        <v>-2817</v>
      </c>
      <c r="V56" s="15"/>
      <c r="W56" s="15"/>
      <c r="X56" s="15"/>
      <c r="Y56" s="15"/>
      <c r="Z56" s="15"/>
      <c r="AA56" s="15"/>
    </row>
    <row r="57" spans="2:144" s="6" customFormat="1" x14ac:dyDescent="0.2">
      <c r="B57" s="6" t="s">
        <v>25</v>
      </c>
      <c r="F57" s="6">
        <f>SUM(F51:F56)</f>
        <v>404</v>
      </c>
      <c r="H57" s="6">
        <f>SUM(H51:H56)</f>
        <v>3676</v>
      </c>
      <c r="I57" s="6">
        <f>SUM(I51:I56)</f>
        <v>334</v>
      </c>
      <c r="J57" s="6">
        <f>SUM(J51:J56)</f>
        <v>313</v>
      </c>
      <c r="N57" s="6">
        <f>SUM(N51:N56)</f>
        <v>1532</v>
      </c>
      <c r="O57" s="6">
        <f>SUM(O51:O56)</f>
        <v>3403</v>
      </c>
      <c r="P57" s="6">
        <f>SUM(P51:P56)</f>
        <v>6247</v>
      </c>
      <c r="Q57" s="6">
        <f>SUM(Q51:Q56)</f>
        <v>892</v>
      </c>
      <c r="V57" s="15"/>
      <c r="W57" s="15"/>
      <c r="X57" s="15"/>
      <c r="Y57" s="15">
        <v>4331</v>
      </c>
      <c r="Z57" s="15">
        <v>4801</v>
      </c>
      <c r="AA57" s="15">
        <v>6000</v>
      </c>
      <c r="AB57" s="6">
        <v>7000</v>
      </c>
      <c r="AC57" s="6">
        <f>+AB57*(1+$AE$61)</f>
        <v>7490</v>
      </c>
      <c r="AD57" s="6">
        <f t="shared" ref="AD57:AL57" si="30">+AC57*(1+$AE$61)</f>
        <v>8014.3</v>
      </c>
      <c r="AE57" s="6">
        <f t="shared" si="30"/>
        <v>8575.3010000000013</v>
      </c>
      <c r="AF57" s="6">
        <f t="shared" si="30"/>
        <v>9175.572070000002</v>
      </c>
      <c r="AG57" s="6">
        <f t="shared" si="30"/>
        <v>9817.8621149000028</v>
      </c>
      <c r="AH57" s="6">
        <f t="shared" si="30"/>
        <v>10505.112462943003</v>
      </c>
      <c r="AI57" s="6">
        <f t="shared" si="30"/>
        <v>11240.470335349015</v>
      </c>
      <c r="AJ57" s="6">
        <f t="shared" si="30"/>
        <v>12027.303258823447</v>
      </c>
      <c r="AK57" s="6">
        <f t="shared" si="30"/>
        <v>12869.214486941089</v>
      </c>
      <c r="AL57" s="6">
        <f t="shared" si="30"/>
        <v>13770.059501026966</v>
      </c>
      <c r="AM57" s="6">
        <f>AL57*(1+$AE$62)</f>
        <v>13907.760096037237</v>
      </c>
      <c r="AN57" s="6">
        <f t="shared" ref="AN57:CY57" si="31">AM57*(1+$AE$62)</f>
        <v>14046.837696997609</v>
      </c>
      <c r="AO57" s="6">
        <f t="shared" si="31"/>
        <v>14187.306073967586</v>
      </c>
      <c r="AP57" s="6">
        <f t="shared" si="31"/>
        <v>14329.179134707261</v>
      </c>
      <c r="AQ57" s="6">
        <f t="shared" si="31"/>
        <v>14472.470926054333</v>
      </c>
      <c r="AR57" s="6">
        <f t="shared" si="31"/>
        <v>14617.195635314876</v>
      </c>
      <c r="AS57" s="6">
        <f t="shared" si="31"/>
        <v>14763.367591668026</v>
      </c>
      <c r="AT57" s="6">
        <f t="shared" si="31"/>
        <v>14911.001267584707</v>
      </c>
      <c r="AU57" s="6">
        <f t="shared" si="31"/>
        <v>15060.111280260553</v>
      </c>
      <c r="AV57" s="6">
        <f t="shared" si="31"/>
        <v>15210.712393063159</v>
      </c>
      <c r="AW57" s="6">
        <f t="shared" si="31"/>
        <v>15362.81951699379</v>
      </c>
      <c r="AX57" s="6">
        <f t="shared" si="31"/>
        <v>15516.447712163728</v>
      </c>
      <c r="AY57" s="6">
        <f t="shared" si="31"/>
        <v>15671.612189285366</v>
      </c>
      <c r="AZ57" s="6">
        <f t="shared" si="31"/>
        <v>15828.32831117822</v>
      </c>
      <c r="BA57" s="6">
        <f t="shared" si="31"/>
        <v>15986.611594290003</v>
      </c>
      <c r="BB57" s="6">
        <f t="shared" si="31"/>
        <v>16146.477710232903</v>
      </c>
      <c r="BC57" s="6">
        <f t="shared" si="31"/>
        <v>16307.942487335231</v>
      </c>
      <c r="BD57" s="6">
        <f t="shared" si="31"/>
        <v>16471.021912208584</v>
      </c>
      <c r="BE57" s="6">
        <f t="shared" si="31"/>
        <v>16635.732131330671</v>
      </c>
      <c r="BF57" s="6">
        <f t="shared" si="31"/>
        <v>16802.089452643977</v>
      </c>
      <c r="BG57" s="6">
        <f t="shared" si="31"/>
        <v>16970.110347170415</v>
      </c>
      <c r="BH57" s="6">
        <f t="shared" si="31"/>
        <v>17139.811450642119</v>
      </c>
      <c r="BI57" s="6">
        <f t="shared" si="31"/>
        <v>17311.20956514854</v>
      </c>
      <c r="BJ57" s="6">
        <f t="shared" si="31"/>
        <v>17484.321660800026</v>
      </c>
      <c r="BK57" s="6">
        <f t="shared" si="31"/>
        <v>17659.164877408028</v>
      </c>
      <c r="BL57" s="6">
        <f t="shared" si="31"/>
        <v>17835.756526182107</v>
      </c>
      <c r="BM57" s="6">
        <f t="shared" si="31"/>
        <v>18014.114091443927</v>
      </c>
      <c r="BN57" s="6">
        <f t="shared" si="31"/>
        <v>18194.255232358366</v>
      </c>
      <c r="BO57" s="6">
        <f t="shared" si="31"/>
        <v>18376.19778468195</v>
      </c>
      <c r="BP57" s="6">
        <f t="shared" si="31"/>
        <v>18559.959762528768</v>
      </c>
      <c r="BQ57" s="6">
        <f t="shared" si="31"/>
        <v>18745.559360154057</v>
      </c>
      <c r="BR57" s="6">
        <f t="shared" si="31"/>
        <v>18933.014953755599</v>
      </c>
      <c r="BS57" s="6">
        <f t="shared" si="31"/>
        <v>19122.345103293155</v>
      </c>
      <c r="BT57" s="6">
        <f t="shared" si="31"/>
        <v>19313.568554326088</v>
      </c>
      <c r="BU57" s="6">
        <f t="shared" si="31"/>
        <v>19506.704239869348</v>
      </c>
      <c r="BV57" s="6">
        <f t="shared" si="31"/>
        <v>19701.771282268041</v>
      </c>
      <c r="BW57" s="6">
        <f t="shared" si="31"/>
        <v>19898.788995090723</v>
      </c>
      <c r="BX57" s="6">
        <f t="shared" si="31"/>
        <v>20097.776885041629</v>
      </c>
      <c r="BY57" s="6">
        <f t="shared" si="31"/>
        <v>20298.754653892047</v>
      </c>
      <c r="BZ57" s="6">
        <f t="shared" si="31"/>
        <v>20501.742200430966</v>
      </c>
      <c r="CA57" s="6">
        <f t="shared" si="31"/>
        <v>20706.759622435275</v>
      </c>
      <c r="CB57" s="6">
        <f t="shared" si="31"/>
        <v>20913.827218659626</v>
      </c>
      <c r="CC57" s="6">
        <f t="shared" si="31"/>
        <v>21122.965490846222</v>
      </c>
      <c r="CD57" s="6">
        <f t="shared" si="31"/>
        <v>21334.195145754686</v>
      </c>
      <c r="CE57" s="6">
        <f t="shared" si="31"/>
        <v>21547.537097212233</v>
      </c>
      <c r="CF57" s="6">
        <f t="shared" si="31"/>
        <v>21763.012468184355</v>
      </c>
      <c r="CG57" s="6">
        <f t="shared" si="31"/>
        <v>21980.642592866199</v>
      </c>
      <c r="CH57" s="6">
        <f t="shared" si="31"/>
        <v>22200.449018794861</v>
      </c>
      <c r="CI57" s="6">
        <f t="shared" si="31"/>
        <v>22422.45350898281</v>
      </c>
      <c r="CJ57" s="6">
        <f t="shared" si="31"/>
        <v>22646.678044072636</v>
      </c>
      <c r="CK57" s="6">
        <f t="shared" si="31"/>
        <v>22873.144824513362</v>
      </c>
      <c r="CL57" s="6">
        <f t="shared" si="31"/>
        <v>23101.876272758494</v>
      </c>
      <c r="CM57" s="6">
        <f t="shared" si="31"/>
        <v>23332.895035486079</v>
      </c>
      <c r="CN57" s="6">
        <f t="shared" si="31"/>
        <v>23566.223985840941</v>
      </c>
      <c r="CO57" s="6">
        <f t="shared" si="31"/>
        <v>23801.886225699353</v>
      </c>
      <c r="CP57" s="6">
        <f t="shared" si="31"/>
        <v>24039.905087956347</v>
      </c>
      <c r="CQ57" s="6">
        <f t="shared" si="31"/>
        <v>24280.304138835912</v>
      </c>
      <c r="CR57" s="6">
        <f t="shared" si="31"/>
        <v>24523.107180224273</v>
      </c>
      <c r="CS57" s="6">
        <f t="shared" si="31"/>
        <v>24768.338252026515</v>
      </c>
      <c r="CT57" s="6">
        <f t="shared" si="31"/>
        <v>25016.021634546782</v>
      </c>
      <c r="CU57" s="6">
        <f t="shared" si="31"/>
        <v>25266.181850892248</v>
      </c>
      <c r="CV57" s="6">
        <f t="shared" si="31"/>
        <v>25518.843669401169</v>
      </c>
      <c r="CW57" s="6">
        <f t="shared" si="31"/>
        <v>25774.032106095179</v>
      </c>
      <c r="CX57" s="6">
        <f t="shared" si="31"/>
        <v>26031.772427156131</v>
      </c>
      <c r="CY57" s="6">
        <f t="shared" si="31"/>
        <v>26292.090151427692</v>
      </c>
      <c r="CZ57" s="6">
        <f t="shared" ref="CZ57:EN57" si="32">CY57*(1+$AE$62)</f>
        <v>26555.011052941969</v>
      </c>
      <c r="DA57" s="6">
        <f t="shared" si="32"/>
        <v>26820.56116347139</v>
      </c>
      <c r="DB57" s="6">
        <f t="shared" si="32"/>
        <v>27088.766775106105</v>
      </c>
      <c r="DC57" s="6">
        <f t="shared" si="32"/>
        <v>27359.654442857165</v>
      </c>
      <c r="DD57" s="6">
        <f t="shared" si="32"/>
        <v>27633.250987285737</v>
      </c>
      <c r="DE57" s="6">
        <f t="shared" si="32"/>
        <v>27909.583497158594</v>
      </c>
      <c r="DF57" s="6">
        <f t="shared" si="32"/>
        <v>28188.679332130181</v>
      </c>
      <c r="DG57" s="6">
        <f t="shared" si="32"/>
        <v>28470.566125451482</v>
      </c>
      <c r="DH57" s="6">
        <f t="shared" si="32"/>
        <v>28755.271786705998</v>
      </c>
      <c r="DI57" s="6">
        <f t="shared" si="32"/>
        <v>29042.824504573058</v>
      </c>
      <c r="DJ57" s="6">
        <f t="shared" si="32"/>
        <v>29333.25274961879</v>
      </c>
      <c r="DK57" s="6">
        <f t="shared" si="32"/>
        <v>29626.58527711498</v>
      </c>
      <c r="DL57" s="6">
        <f t="shared" si="32"/>
        <v>29922.85112988613</v>
      </c>
      <c r="DM57" s="6">
        <f t="shared" si="32"/>
        <v>30222.079641184991</v>
      </c>
      <c r="DN57" s="6">
        <f t="shared" si="32"/>
        <v>30524.300437596841</v>
      </c>
      <c r="DO57" s="6">
        <f t="shared" si="32"/>
        <v>30829.543441972812</v>
      </c>
      <c r="DP57" s="6">
        <f t="shared" si="32"/>
        <v>31137.83887639254</v>
      </c>
      <c r="DQ57" s="6">
        <f t="shared" si="32"/>
        <v>31449.217265156465</v>
      </c>
      <c r="DR57" s="6">
        <f t="shared" si="32"/>
        <v>31763.709437808029</v>
      </c>
      <c r="DS57" s="6">
        <f t="shared" si="32"/>
        <v>32081.346532186111</v>
      </c>
      <c r="DT57" s="6">
        <f t="shared" si="32"/>
        <v>32402.159997507973</v>
      </c>
      <c r="DU57" s="6">
        <f t="shared" si="32"/>
        <v>32726.181597483053</v>
      </c>
      <c r="DV57" s="6">
        <f t="shared" si="32"/>
        <v>33053.443413457884</v>
      </c>
      <c r="DW57" s="6">
        <f t="shared" si="32"/>
        <v>33383.977847592461</v>
      </c>
      <c r="DX57" s="6">
        <f t="shared" si="32"/>
        <v>33717.817626068383</v>
      </c>
      <c r="DY57" s="6">
        <f t="shared" si="32"/>
        <v>34054.995802329067</v>
      </c>
      <c r="DZ57" s="6">
        <f t="shared" si="32"/>
        <v>34395.545760352361</v>
      </c>
      <c r="EA57" s="6">
        <f t="shared" si="32"/>
        <v>34739.501217955883</v>
      </c>
      <c r="EB57" s="6">
        <f t="shared" si="32"/>
        <v>35086.89623013544</v>
      </c>
      <c r="EC57" s="6">
        <f t="shared" si="32"/>
        <v>35437.765192436796</v>
      </c>
      <c r="ED57" s="6">
        <f t="shared" si="32"/>
        <v>35792.142844361166</v>
      </c>
      <c r="EE57" s="6">
        <f t="shared" si="32"/>
        <v>36150.064272804775</v>
      </c>
      <c r="EF57" s="6">
        <f t="shared" si="32"/>
        <v>36511.564915532821</v>
      </c>
      <c r="EG57" s="6">
        <f t="shared" si="32"/>
        <v>36876.680564688148</v>
      </c>
      <c r="EH57" s="6">
        <f t="shared" si="32"/>
        <v>37245.44737033503</v>
      </c>
      <c r="EI57" s="6">
        <f t="shared" si="32"/>
        <v>37617.901844038381</v>
      </c>
      <c r="EJ57" s="6">
        <f t="shared" si="32"/>
        <v>37994.080862478768</v>
      </c>
      <c r="EK57" s="6">
        <f t="shared" si="32"/>
        <v>38374.021671103554</v>
      </c>
      <c r="EL57" s="6">
        <f t="shared" si="32"/>
        <v>38757.761887814588</v>
      </c>
      <c r="EM57" s="6">
        <f t="shared" si="32"/>
        <v>39145.339506692733</v>
      </c>
      <c r="EN57" s="6">
        <f t="shared" si="32"/>
        <v>39536.792901759662</v>
      </c>
    </row>
    <row r="58" spans="2:144" s="6" customFormat="1" x14ac:dyDescent="0.2">
      <c r="V58" s="15"/>
      <c r="W58" s="15"/>
      <c r="X58" s="15"/>
      <c r="Y58" s="15"/>
      <c r="Z58" s="18">
        <f>+Z57/Y57-1</f>
        <v>0.10851997229277299</v>
      </c>
      <c r="AA58" s="18">
        <f>+AA57/Z57-1</f>
        <v>0.24973963757550521</v>
      </c>
      <c r="AB58" s="18">
        <f>+AB57/AA57-1</f>
        <v>0.16666666666666674</v>
      </c>
      <c r="AC58" s="19">
        <f t="shared" ref="AC58:AF58" si="33">+AC57/AB57-1</f>
        <v>7.0000000000000062E-2</v>
      </c>
      <c r="AD58" s="19">
        <f t="shared" si="33"/>
        <v>7.0000000000000062E-2</v>
      </c>
      <c r="AE58" s="19">
        <f t="shared" si="33"/>
        <v>7.0000000000000062E-2</v>
      </c>
      <c r="AF58" s="19">
        <f t="shared" si="33"/>
        <v>7.0000000000000062E-2</v>
      </c>
      <c r="AG58" s="19">
        <f t="shared" ref="AG58" si="34">+AG57/AF57-1</f>
        <v>7.0000000000000062E-2</v>
      </c>
      <c r="AH58" s="19">
        <f t="shared" ref="AH58" si="35">+AH57/AG57-1</f>
        <v>7.0000000000000062E-2</v>
      </c>
      <c r="AI58" s="19">
        <f t="shared" ref="AI58" si="36">+AI57/AH57-1</f>
        <v>7.0000000000000062E-2</v>
      </c>
      <c r="AJ58" s="19">
        <f t="shared" ref="AJ58" si="37">+AJ57/AI57-1</f>
        <v>7.0000000000000062E-2</v>
      </c>
      <c r="AK58" s="19">
        <f t="shared" ref="AK58" si="38">+AK57/AJ57-1</f>
        <v>7.0000000000000062E-2</v>
      </c>
      <c r="AL58" s="19">
        <f t="shared" ref="AL58" si="39">+AL57/AK57-1</f>
        <v>7.0000000000000062E-2</v>
      </c>
      <c r="AM58" s="19">
        <f t="shared" ref="AM58" si="40">+AM57/AL57-1</f>
        <v>1.0000000000000009E-2</v>
      </c>
      <c r="AN58" s="19">
        <f t="shared" ref="AN58" si="41">+AN57/AM57-1</f>
        <v>1.0000000000000009E-2</v>
      </c>
      <c r="AO58" s="19">
        <f t="shared" ref="AO58" si="42">+AO57/AN57-1</f>
        <v>1.0000000000000009E-2</v>
      </c>
      <c r="AP58" s="19">
        <f t="shared" ref="AP58" si="43">+AP57/AO57-1</f>
        <v>1.0000000000000009E-2</v>
      </c>
      <c r="AQ58" s="19">
        <f t="shared" ref="AQ58" si="44">+AQ57/AP57-1</f>
        <v>1.0000000000000009E-2</v>
      </c>
      <c r="AR58" s="19">
        <f t="shared" ref="AR58" si="45">+AR57/AQ57-1</f>
        <v>1.0000000000000009E-2</v>
      </c>
      <c r="AS58" s="19">
        <f t="shared" ref="AS58" si="46">+AS57/AR57-1</f>
        <v>1.0000000000000009E-2</v>
      </c>
      <c r="AT58" s="19">
        <f t="shared" ref="AT58" si="47">+AT57/AS57-1</f>
        <v>1.0000000000000009E-2</v>
      </c>
      <c r="AU58" s="19">
        <f t="shared" ref="AU58" si="48">+AU57/AT57-1</f>
        <v>1.0000000000000009E-2</v>
      </c>
      <c r="AV58" s="19">
        <f t="shared" ref="AV58" si="49">+AV57/AU57-1</f>
        <v>1.0000000000000009E-2</v>
      </c>
      <c r="AW58" s="19">
        <f t="shared" ref="AW58" si="50">+AW57/AV57-1</f>
        <v>1.0000000000000009E-2</v>
      </c>
      <c r="AX58" s="19">
        <f t="shared" ref="AX58" si="51">+AX57/AW57-1</f>
        <v>1.0000000000000009E-2</v>
      </c>
      <c r="AY58" s="19">
        <f t="shared" ref="AY58" si="52">+AY57/AX57-1</f>
        <v>1.0000000000000009E-2</v>
      </c>
    </row>
    <row r="59" spans="2:144" x14ac:dyDescent="0.2">
      <c r="B59" s="21" t="s">
        <v>58</v>
      </c>
      <c r="N59" s="5">
        <v>-82</v>
      </c>
      <c r="O59" s="6">
        <v>0</v>
      </c>
      <c r="P59" s="6">
        <v>-338</v>
      </c>
      <c r="Q59" s="6">
        <v>0</v>
      </c>
    </row>
    <row r="60" spans="2:144" x14ac:dyDescent="0.2">
      <c r="B60" s="21" t="s">
        <v>59</v>
      </c>
      <c r="N60" s="5">
        <f>-103+80-661+315+563</f>
        <v>194</v>
      </c>
      <c r="O60" s="6">
        <f>-106+6-934+394+319</f>
        <v>-321</v>
      </c>
      <c r="P60" s="6">
        <f>-203+53-3252+616+636</f>
        <v>-2150</v>
      </c>
      <c r="Q60" s="6">
        <f>-104+52-550+2482+898</f>
        <v>2778</v>
      </c>
    </row>
    <row r="61" spans="2:144" x14ac:dyDescent="0.2">
      <c r="B61" s="5" t="s">
        <v>31</v>
      </c>
      <c r="F61" s="5">
        <v>-166</v>
      </c>
      <c r="I61" s="5">
        <v>-203</v>
      </c>
      <c r="J61" s="5">
        <v>-198</v>
      </c>
      <c r="N61" s="5">
        <v>-166</v>
      </c>
      <c r="O61" s="6">
        <v>-147</v>
      </c>
      <c r="P61" s="6">
        <v>-163</v>
      </c>
      <c r="Q61" s="6">
        <v>-137</v>
      </c>
      <c r="AD61" s="11" t="s">
        <v>39</v>
      </c>
      <c r="AE61" s="12">
        <v>7.0000000000000007E-2</v>
      </c>
    </row>
    <row r="62" spans="2:144" x14ac:dyDescent="0.2">
      <c r="B62" s="5" t="s">
        <v>32</v>
      </c>
      <c r="I62" s="6">
        <f>+I57+I61</f>
        <v>131</v>
      </c>
      <c r="J62" s="6">
        <f>+J57+J61</f>
        <v>115</v>
      </c>
      <c r="N62" s="6">
        <f>SUM(N59:N61)</f>
        <v>-54</v>
      </c>
      <c r="O62" s="6">
        <f>SUM(O59:O61)</f>
        <v>-468</v>
      </c>
      <c r="P62" s="6">
        <f>SUM(P59:P61)</f>
        <v>-2651</v>
      </c>
      <c r="Q62" s="6">
        <f>SUM(Q59:Q61)</f>
        <v>2641</v>
      </c>
      <c r="AD62" s="5" t="s">
        <v>40</v>
      </c>
      <c r="AE62" s="10">
        <v>0.01</v>
      </c>
    </row>
    <row r="63" spans="2:144" x14ac:dyDescent="0.2">
      <c r="O63" s="6"/>
      <c r="P63" s="6"/>
      <c r="Q63" s="6"/>
      <c r="AD63" s="5" t="s">
        <v>41</v>
      </c>
      <c r="AE63" s="10">
        <v>0.08</v>
      </c>
    </row>
    <row r="64" spans="2:144" x14ac:dyDescent="0.2">
      <c r="B64" s="21" t="s">
        <v>63</v>
      </c>
      <c r="N64" s="6">
        <v>-1925</v>
      </c>
      <c r="O64" s="6">
        <v>-1692</v>
      </c>
      <c r="P64" s="6">
        <v>-2133</v>
      </c>
      <c r="Q64" s="6">
        <v>-4335</v>
      </c>
      <c r="AD64" s="5" t="s">
        <v>42</v>
      </c>
      <c r="AE64" s="6">
        <f>NPV(AE63,AB57:DJ57)+Main!M5-Main!M6</f>
        <v>170426.7215866865</v>
      </c>
    </row>
    <row r="65" spans="2:31" x14ac:dyDescent="0.2">
      <c r="B65" s="21" t="s">
        <v>64</v>
      </c>
      <c r="N65" s="6">
        <v>274</v>
      </c>
      <c r="O65" s="6">
        <v>869</v>
      </c>
      <c r="P65" s="6">
        <v>533</v>
      </c>
      <c r="Q65" s="6">
        <v>202</v>
      </c>
      <c r="AD65" s="11" t="s">
        <v>43</v>
      </c>
      <c r="AE65" s="20">
        <f>+AE64/1000</f>
        <v>170.42672158668651</v>
      </c>
    </row>
    <row r="66" spans="2:31" x14ac:dyDescent="0.2">
      <c r="B66" s="21" t="s">
        <v>4</v>
      </c>
      <c r="N66" s="6">
        <v>-114</v>
      </c>
      <c r="O66" s="6">
        <v>-123</v>
      </c>
      <c r="P66" s="6">
        <v>-120</v>
      </c>
      <c r="Q66" s="6">
        <f>-285-1000</f>
        <v>-1285</v>
      </c>
      <c r="AE66" s="10">
        <f>+AE65/Main!M2-1</f>
        <v>-0.35688029589929615</v>
      </c>
    </row>
    <row r="67" spans="2:31" x14ac:dyDescent="0.2">
      <c r="B67" s="21" t="s">
        <v>65</v>
      </c>
      <c r="N67" s="6">
        <v>0</v>
      </c>
      <c r="O67" s="6">
        <v>0</v>
      </c>
      <c r="P67" s="6">
        <v>-388</v>
      </c>
      <c r="Q67" s="6">
        <v>-384</v>
      </c>
    </row>
    <row r="68" spans="2:31" x14ac:dyDescent="0.2">
      <c r="B68" s="21" t="s">
        <v>62</v>
      </c>
      <c r="N68" s="6">
        <f>SUM(N64:N67)</f>
        <v>-1765</v>
      </c>
      <c r="O68" s="6">
        <f>SUM(O64:O67)</f>
        <v>-946</v>
      </c>
      <c r="P68" s="6">
        <f>SUM(P64:P67)</f>
        <v>-2108</v>
      </c>
      <c r="Q68" s="6">
        <f>SUM(Q64:Q67)</f>
        <v>-5802</v>
      </c>
    </row>
    <row r="69" spans="2:31" x14ac:dyDescent="0.2">
      <c r="N69" s="6"/>
      <c r="O69" s="6"/>
      <c r="P69" s="6"/>
      <c r="Q69" s="6"/>
    </row>
    <row r="70" spans="2:31" x14ac:dyDescent="0.2">
      <c r="B70" s="21" t="s">
        <v>61</v>
      </c>
      <c r="N70" s="6">
        <v>-32</v>
      </c>
      <c r="O70" s="6">
        <v>30</v>
      </c>
      <c r="P70" s="6">
        <v>-2</v>
      </c>
      <c r="Q70" s="6">
        <v>-7</v>
      </c>
    </row>
    <row r="71" spans="2:31" x14ac:dyDescent="0.2">
      <c r="B71" s="21" t="s">
        <v>60</v>
      </c>
      <c r="N71" s="6">
        <f>+N70+N68+N62+N57</f>
        <v>-319</v>
      </c>
      <c r="O71" s="6">
        <f>+O70+O68+O62+O57</f>
        <v>2019</v>
      </c>
      <c r="P71" s="6">
        <f>+P70+P68+P62+P57</f>
        <v>1486</v>
      </c>
      <c r="Q71" s="6">
        <f>+Q70+Q68+Q62+Q57</f>
        <v>-2276</v>
      </c>
    </row>
  </sheetData>
  <hyperlinks>
    <hyperlink ref="A1" location="Main!A1" display="Main" xr:uid="{451C7D6A-BD4E-4638-B6B9-E06FA9FB837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2022-06-15T15:49:46Z</dcterms:created>
  <dcterms:modified xsi:type="dcterms:W3CDTF">2024-09-20T05:09:53Z</dcterms:modified>
  <cp:category/>
  <cp:contentStatus/>
</cp:coreProperties>
</file>