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E3B72E2C-38A1-43A9-9B6E-73B18CAE6A1D}" xr6:coauthVersionLast="47" xr6:coauthVersionMax="47" xr10:uidLastSave="{00000000-0000-0000-0000-000000000000}"/>
  <bookViews>
    <workbookView xWindow="-45705" yWindow="1995" windowWidth="23445" windowHeight="18105" activeTab="1" xr2:uid="{140645A7-8FC4-4402-B0DA-7209D215D6B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3" i="2" l="1"/>
  <c r="N23" i="2"/>
  <c r="M23" i="2"/>
  <c r="M14" i="2"/>
  <c r="M7" i="2"/>
  <c r="M12" i="2"/>
  <c r="M6" i="2"/>
  <c r="N14" i="2"/>
  <c r="N7" i="2"/>
  <c r="N12" i="2"/>
  <c r="N6" i="2"/>
  <c r="N8" i="2" s="1"/>
  <c r="N13" i="2" s="1"/>
  <c r="O18" i="2"/>
  <c r="O14" i="2"/>
  <c r="O12" i="2"/>
  <c r="O7" i="2"/>
  <c r="O6" i="2"/>
  <c r="O8" i="2" s="1"/>
  <c r="G23" i="2"/>
  <c r="C23" i="2"/>
  <c r="C14" i="2"/>
  <c r="C7" i="2"/>
  <c r="C12" i="2"/>
  <c r="C6" i="2"/>
  <c r="G14" i="2"/>
  <c r="G7" i="2"/>
  <c r="G12" i="2"/>
  <c r="G6" i="2"/>
  <c r="D22" i="2"/>
  <c r="E22" i="2" s="1"/>
  <c r="E23" i="2" s="1"/>
  <c r="H22" i="2"/>
  <c r="I22" i="2" s="1"/>
  <c r="D21" i="2"/>
  <c r="E21" i="2" s="1"/>
  <c r="H21" i="2"/>
  <c r="D14" i="2"/>
  <c r="D7" i="2"/>
  <c r="D12" i="2"/>
  <c r="D6" i="2"/>
  <c r="H14" i="2"/>
  <c r="H12" i="2"/>
  <c r="H7" i="2"/>
  <c r="H6" i="2"/>
  <c r="H8" i="2" s="1"/>
  <c r="E14" i="2"/>
  <c r="F17" i="2"/>
  <c r="I14" i="2"/>
  <c r="E12" i="2"/>
  <c r="E6" i="2"/>
  <c r="E8" i="2" s="1"/>
  <c r="E13" i="2" s="1"/>
  <c r="E15" i="2" s="1"/>
  <c r="E17" i="2" s="1"/>
  <c r="I12" i="2"/>
  <c r="I6" i="2"/>
  <c r="I8" i="2" s="1"/>
  <c r="I13" i="2" s="1"/>
  <c r="I15" i="2" s="1"/>
  <c r="I17" i="2" s="1"/>
  <c r="M8" i="2" l="1"/>
  <c r="M13" i="2" s="1"/>
  <c r="M15" i="2" s="1"/>
  <c r="M17" i="2" s="1"/>
  <c r="M18" i="2" s="1"/>
  <c r="N15" i="2"/>
  <c r="N17" i="2" s="1"/>
  <c r="N18" i="2" s="1"/>
  <c r="H13" i="2"/>
  <c r="H15" i="2" s="1"/>
  <c r="H17" i="2" s="1"/>
  <c r="D8" i="2"/>
  <c r="O13" i="2"/>
  <c r="O15" i="2"/>
  <c r="O17" i="2" s="1"/>
  <c r="H23" i="2"/>
  <c r="D23" i="2"/>
  <c r="I21" i="2"/>
  <c r="I23" i="2" s="1"/>
  <c r="C8" i="2"/>
  <c r="C13" i="2" s="1"/>
  <c r="C15" i="2" s="1"/>
  <c r="C17" i="2" s="1"/>
  <c r="G8" i="2"/>
  <c r="G13" i="2" s="1"/>
  <c r="G15" i="2" s="1"/>
  <c r="G17" i="2" s="1"/>
  <c r="D13" i="2"/>
  <c r="D15" i="2" s="1"/>
  <c r="D17" i="2" s="1"/>
  <c r="L7" i="1" l="1"/>
  <c r="L5" i="1"/>
  <c r="L6" i="1"/>
  <c r="L4" i="1"/>
</calcChain>
</file>

<file path=xl/sharedStrings.xml><?xml version="1.0" encoding="utf-8"?>
<sst xmlns="http://schemas.openxmlformats.org/spreadsheetml/2006/main" count="30" uniqueCount="27">
  <si>
    <t>Price</t>
  </si>
  <si>
    <t>Shares</t>
  </si>
  <si>
    <t>MC</t>
  </si>
  <si>
    <t>Cash</t>
  </si>
  <si>
    <t>Debt</t>
  </si>
  <si>
    <t>EV</t>
  </si>
  <si>
    <t>Q224</t>
  </si>
  <si>
    <t>Main</t>
  </si>
  <si>
    <t>License</t>
  </si>
  <si>
    <t>Connected Services</t>
  </si>
  <si>
    <t>Professional Services</t>
  </si>
  <si>
    <t>Revenue</t>
  </si>
  <si>
    <t>Operating Income</t>
  </si>
  <si>
    <t>Pretax Income</t>
  </si>
  <si>
    <t>G&amp;A</t>
  </si>
  <si>
    <t>S&amp;M</t>
  </si>
  <si>
    <t>R&amp;D</t>
  </si>
  <si>
    <t>Gross Profit</t>
  </si>
  <si>
    <t>COGS</t>
  </si>
  <si>
    <t>Net Income</t>
  </si>
  <si>
    <t>Taxes</t>
  </si>
  <si>
    <t>Operating Expenses</t>
  </si>
  <si>
    <t>Interest Income</t>
  </si>
  <si>
    <t>CFFO</t>
  </si>
  <si>
    <t>CapEx</t>
  </si>
  <si>
    <t>FCF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</si>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</sst>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.0"/>
    <numFmt numFmtId="167" formatCode="m/d/yy;@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164" fontId="0" fillId="0" borderId="0" xfId="0" applyNumberFormat="1" applyAlignment="1">
      <alignment horizontal="left"/>
    </xf>
    <xf numFmtId="167" fontId="0" fillId="0" borderId="0" xfId="0" applyNumberFormat="1"/>
    <xf numFmtId="167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9FD3036-D12F-4F03-B056-656B17D332F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E5532-AC9E-49C8-A412-60912A041460}">
  <dimension ref="K2:M7"/>
  <sheetViews>
    <sheetView zoomScale="175" zoomScaleNormal="175" workbookViewId="0"/>
  </sheetViews>
  <sheetFormatPr defaultRowHeight="12.75" x14ac:dyDescent="0.2"/>
  <sheetData>
    <row r="2" spans="11:13" x14ac:dyDescent="0.2">
      <c r="K2" t="s">
        <v>0</v>
      </c>
      <c r="L2" s="1">
        <v>2.61</v>
      </c>
    </row>
    <row r="3" spans="11:13" x14ac:dyDescent="0.2">
      <c r="K3" t="s">
        <v>1</v>
      </c>
      <c r="L3" s="3">
        <v>41.804112000000003</v>
      </c>
      <c r="M3" s="2" t="s">
        <v>6</v>
      </c>
    </row>
    <row r="4" spans="11:13" x14ac:dyDescent="0.2">
      <c r="K4" t="s">
        <v>2</v>
      </c>
      <c r="L4" s="3">
        <f>+L2*L3</f>
        <v>109.10873232</v>
      </c>
      <c r="M4" s="2"/>
    </row>
    <row r="5" spans="11:13" x14ac:dyDescent="0.2">
      <c r="K5" t="s">
        <v>3</v>
      </c>
      <c r="L5" s="3">
        <f>115.522+5.441+5.343</f>
        <v>126.30600000000001</v>
      </c>
      <c r="M5" s="2" t="s">
        <v>6</v>
      </c>
    </row>
    <row r="6" spans="11:13" x14ac:dyDescent="0.2">
      <c r="K6" t="s">
        <v>4</v>
      </c>
      <c r="L6" s="3">
        <f>86.945+193.435</f>
        <v>280.38</v>
      </c>
      <c r="M6" s="2" t="s">
        <v>6</v>
      </c>
    </row>
    <row r="7" spans="11:13" x14ac:dyDescent="0.2">
      <c r="K7" t="s">
        <v>5</v>
      </c>
      <c r="L7" s="3">
        <f>+L4-L5+L6</f>
        <v>263.18273232000001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10F30-DDE1-43E6-BF47-D3AEDD462142}">
  <dimension ref="A1:O23"/>
  <sheetViews>
    <sheetView tabSelected="1" zoomScale="160" zoomScaleNormal="160"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O23" sqref="O23"/>
    </sheetView>
  </sheetViews>
  <sheetFormatPr defaultRowHeight="12.75" x14ac:dyDescent="0.2"/>
  <cols>
    <col min="1" max="1" width="5" bestFit="1" customWidth="1"/>
    <col min="2" max="2" width="19.42578125" bestFit="1" customWidth="1"/>
    <col min="3" max="5" width="9.42578125" style="2" bestFit="1" customWidth="1"/>
    <col min="6" max="8" width="9.140625" style="2"/>
    <col min="9" max="9" width="9.42578125" style="2" bestFit="1" customWidth="1"/>
    <col min="10" max="11" width="9.140625" style="2"/>
  </cols>
  <sheetData>
    <row r="1" spans="1:15" x14ac:dyDescent="0.2">
      <c r="A1" t="s">
        <v>7</v>
      </c>
    </row>
    <row r="2" spans="1:15" s="12" customFormat="1" x14ac:dyDescent="0.2">
      <c r="C2" s="13">
        <v>44926</v>
      </c>
      <c r="D2" s="13">
        <v>45016</v>
      </c>
      <c r="E2" s="13">
        <v>45107</v>
      </c>
      <c r="F2" s="13"/>
      <c r="G2" s="13">
        <v>45291</v>
      </c>
      <c r="H2" s="13">
        <v>45382</v>
      </c>
      <c r="I2" s="13">
        <v>45473</v>
      </c>
      <c r="J2" s="13"/>
      <c r="K2" s="13"/>
      <c r="M2" s="12">
        <v>44469</v>
      </c>
      <c r="N2" s="12">
        <v>44834</v>
      </c>
      <c r="O2" s="12">
        <v>45199</v>
      </c>
    </row>
    <row r="3" spans="1:15" s="7" customFormat="1" x14ac:dyDescent="0.2">
      <c r="B3" s="7" t="s">
        <v>8</v>
      </c>
      <c r="C3" s="4">
        <v>45.417000000000002</v>
      </c>
      <c r="D3" s="4">
        <v>30.8</v>
      </c>
      <c r="E3" s="4">
        <v>25.837</v>
      </c>
      <c r="F3" s="4"/>
      <c r="G3" s="4">
        <v>20.823</v>
      </c>
      <c r="H3" s="4">
        <v>35.527000000000001</v>
      </c>
      <c r="I3" s="4">
        <v>43.055</v>
      </c>
      <c r="J3" s="8"/>
      <c r="K3" s="8"/>
      <c r="M3" s="3">
        <v>202.18299999999999</v>
      </c>
      <c r="N3" s="3">
        <v>158.61000000000001</v>
      </c>
      <c r="O3" s="3">
        <v>145.15899999999999</v>
      </c>
    </row>
    <row r="4" spans="1:15" s="7" customFormat="1" x14ac:dyDescent="0.2">
      <c r="B4" s="7" t="s">
        <v>9</v>
      </c>
      <c r="C4" s="4">
        <v>18.393999999999998</v>
      </c>
      <c r="D4" s="4">
        <v>18.925999999999998</v>
      </c>
      <c r="E4" s="4">
        <v>18.582999999999998</v>
      </c>
      <c r="F4" s="4"/>
      <c r="G4" s="4">
        <v>96.82</v>
      </c>
      <c r="H4" s="4">
        <v>13.597</v>
      </c>
      <c r="I4" s="4">
        <v>10.939</v>
      </c>
      <c r="J4" s="8"/>
      <c r="K4" s="8"/>
      <c r="M4" s="3">
        <v>109.53400000000001</v>
      </c>
      <c r="N4" s="3">
        <v>85.570999999999998</v>
      </c>
      <c r="O4" s="3">
        <v>75.070999999999998</v>
      </c>
    </row>
    <row r="5" spans="1:15" s="7" customFormat="1" x14ac:dyDescent="0.2">
      <c r="B5" s="7" t="s">
        <v>10</v>
      </c>
      <c r="C5" s="4">
        <v>19.847000000000001</v>
      </c>
      <c r="D5" s="4">
        <v>18.667000000000002</v>
      </c>
      <c r="E5" s="4">
        <v>17.239999999999998</v>
      </c>
      <c r="F5" s="4"/>
      <c r="G5" s="4">
        <v>20.692</v>
      </c>
      <c r="H5" s="4">
        <v>18.701000000000001</v>
      </c>
      <c r="I5" s="4">
        <v>16.545000000000002</v>
      </c>
      <c r="J5" s="8"/>
      <c r="K5" s="8"/>
      <c r="M5" s="3">
        <v>75.465000000000003</v>
      </c>
      <c r="N5" s="3">
        <v>83.71</v>
      </c>
      <c r="O5" s="3">
        <v>74.245000000000005</v>
      </c>
    </row>
    <row r="6" spans="1:15" s="9" customFormat="1" x14ac:dyDescent="0.2">
      <c r="B6" s="9" t="s">
        <v>11</v>
      </c>
      <c r="C6" s="6">
        <f>SUM(C3:C5)</f>
        <v>83.658000000000001</v>
      </c>
      <c r="D6" s="6">
        <f>SUM(D3:D5)</f>
        <v>68.393000000000001</v>
      </c>
      <c r="E6" s="6">
        <f>SUM(E3:E5)</f>
        <v>61.66</v>
      </c>
      <c r="F6" s="6"/>
      <c r="G6" s="6">
        <f>SUM(G3:G5)</f>
        <v>138.33500000000001</v>
      </c>
      <c r="H6" s="6">
        <f>SUM(H3:H5)</f>
        <v>67.825000000000003</v>
      </c>
      <c r="I6" s="6">
        <f>SUM(I3:I5)</f>
        <v>70.539000000000001</v>
      </c>
      <c r="J6" s="10"/>
      <c r="K6" s="10"/>
      <c r="M6" s="5">
        <f>SUM(M3:M5)</f>
        <v>387.18200000000002</v>
      </c>
      <c r="N6" s="5">
        <f>SUM(N3:N5)</f>
        <v>327.89100000000002</v>
      </c>
      <c r="O6" s="5">
        <f>SUM(O3:O5)</f>
        <v>294.47500000000002</v>
      </c>
    </row>
    <row r="7" spans="1:15" s="7" customFormat="1" x14ac:dyDescent="0.2">
      <c r="B7" s="7" t="s">
        <v>18</v>
      </c>
      <c r="C7" s="4">
        <f>1.614+6.542+17.924</f>
        <v>26.08</v>
      </c>
      <c r="D7" s="4">
        <f>2.209+6.114+16.587</f>
        <v>24.91</v>
      </c>
      <c r="E7" s="4">
        <v>20.105</v>
      </c>
      <c r="F7" s="4"/>
      <c r="G7" s="4">
        <f>1.604+7.303+17.325</f>
        <v>26.231999999999999</v>
      </c>
      <c r="H7" s="4">
        <f>1.404+5.359+14.119</f>
        <v>20.881999999999998</v>
      </c>
      <c r="I7" s="4">
        <v>20.105</v>
      </c>
      <c r="J7" s="8"/>
      <c r="K7" s="8"/>
      <c r="M7" s="3">
        <f>3.544+25.727+64.287</f>
        <v>93.558000000000007</v>
      </c>
      <c r="N7" s="3">
        <f>2.698+22.722+68.764</f>
        <v>94.183999999999997</v>
      </c>
      <c r="O7" s="3">
        <f>8.522+22.995+63.232</f>
        <v>94.748999999999995</v>
      </c>
    </row>
    <row r="8" spans="1:15" s="7" customFormat="1" x14ac:dyDescent="0.2">
      <c r="B8" s="7" t="s">
        <v>17</v>
      </c>
      <c r="C8" s="4">
        <f>+C6-C7</f>
        <v>57.578000000000003</v>
      </c>
      <c r="D8" s="4">
        <f>+D6-D7</f>
        <v>43.483000000000004</v>
      </c>
      <c r="E8" s="4">
        <f>+E6-E7</f>
        <v>41.554999999999993</v>
      </c>
      <c r="F8" s="4"/>
      <c r="G8" s="4">
        <f>+G6-G7</f>
        <v>112.10300000000001</v>
      </c>
      <c r="H8" s="4">
        <f>+H6-H7</f>
        <v>46.943000000000005</v>
      </c>
      <c r="I8" s="4">
        <f>+I6-I7</f>
        <v>50.433999999999997</v>
      </c>
      <c r="J8" s="8"/>
      <c r="K8" s="8"/>
      <c r="M8" s="3">
        <f>+M6-M7</f>
        <v>293.62400000000002</v>
      </c>
      <c r="N8" s="3">
        <f>+N6-N7</f>
        <v>233.70700000000002</v>
      </c>
      <c r="O8" s="3">
        <f>+O6-O7</f>
        <v>199.72600000000003</v>
      </c>
    </row>
    <row r="9" spans="1:15" s="7" customFormat="1" x14ac:dyDescent="0.2">
      <c r="B9" s="7" t="s">
        <v>16</v>
      </c>
      <c r="C9" s="4">
        <v>29.494</v>
      </c>
      <c r="D9" s="4">
        <v>28.494</v>
      </c>
      <c r="E9" s="4">
        <v>31.184000000000001</v>
      </c>
      <c r="F9" s="4"/>
      <c r="G9" s="4">
        <v>33.305999999999997</v>
      </c>
      <c r="H9" s="4">
        <v>31.846</v>
      </c>
      <c r="I9" s="4">
        <v>31.184000000000001</v>
      </c>
      <c r="J9" s="8"/>
      <c r="K9" s="8"/>
      <c r="M9" s="3">
        <v>112.07</v>
      </c>
      <c r="N9" s="3">
        <v>107.116</v>
      </c>
      <c r="O9" s="3">
        <v>123.333</v>
      </c>
    </row>
    <row r="10" spans="1:15" s="7" customFormat="1" x14ac:dyDescent="0.2">
      <c r="B10" s="7" t="s">
        <v>15</v>
      </c>
      <c r="C10" s="4">
        <v>9.1620000000000008</v>
      </c>
      <c r="D10" s="4">
        <v>8.2170000000000005</v>
      </c>
      <c r="E10" s="4">
        <v>5.2080000000000002</v>
      </c>
      <c r="F10" s="4"/>
      <c r="G10" s="4">
        <v>6.0709999999999997</v>
      </c>
      <c r="H10" s="4">
        <v>5.6189999999999998</v>
      </c>
      <c r="I10" s="4">
        <v>5.2080000000000002</v>
      </c>
      <c r="J10" s="8"/>
      <c r="K10" s="8"/>
      <c r="M10" s="3">
        <v>38.683</v>
      </c>
      <c r="N10" s="3">
        <v>31.097999999999999</v>
      </c>
      <c r="O10" s="3">
        <v>27.504000000000001</v>
      </c>
    </row>
    <row r="11" spans="1:15" s="7" customFormat="1" x14ac:dyDescent="0.2">
      <c r="B11" s="7" t="s">
        <v>14</v>
      </c>
      <c r="C11" s="4">
        <v>14.257</v>
      </c>
      <c r="D11" s="4">
        <v>19.177</v>
      </c>
      <c r="E11" s="4">
        <v>9.8309999999999995</v>
      </c>
      <c r="F11" s="4"/>
      <c r="G11" s="4">
        <v>12.792999999999999</v>
      </c>
      <c r="H11" s="4">
        <v>16.658999999999999</v>
      </c>
      <c r="I11" s="4">
        <v>9.8309999999999995</v>
      </c>
      <c r="J11" s="8"/>
      <c r="K11" s="8"/>
      <c r="M11" s="3">
        <v>56.978999999999999</v>
      </c>
      <c r="N11" s="3">
        <v>42.652999999999999</v>
      </c>
      <c r="O11" s="3">
        <v>57.902999999999999</v>
      </c>
    </row>
    <row r="12" spans="1:15" s="7" customFormat="1" x14ac:dyDescent="0.2">
      <c r="B12" s="7" t="s">
        <v>21</v>
      </c>
      <c r="C12" s="4">
        <f>SUM(C9:C11)</f>
        <v>52.912999999999997</v>
      </c>
      <c r="D12" s="4">
        <f>SUM(D9:D11)</f>
        <v>55.887999999999998</v>
      </c>
      <c r="E12" s="4">
        <f>SUM(E9:E11)</f>
        <v>46.222999999999999</v>
      </c>
      <c r="F12" s="4"/>
      <c r="G12" s="4">
        <f t="shared" ref="G12:H12" si="0">SUM(G9:G11)</f>
        <v>52.169999999999995</v>
      </c>
      <c r="H12" s="4">
        <f t="shared" si="0"/>
        <v>54.124000000000002</v>
      </c>
      <c r="I12" s="4">
        <f>SUM(I9:I11)</f>
        <v>46.222999999999999</v>
      </c>
      <c r="J12" s="8"/>
      <c r="K12" s="8"/>
      <c r="M12" s="4">
        <f>SUM(M9:M11)</f>
        <v>207.73199999999997</v>
      </c>
      <c r="N12" s="4">
        <f>SUM(N9:N11)</f>
        <v>180.86699999999999</v>
      </c>
      <c r="O12" s="4">
        <f>SUM(O9:O11)</f>
        <v>208.73999999999998</v>
      </c>
    </row>
    <row r="13" spans="1:15" s="7" customFormat="1" x14ac:dyDescent="0.2">
      <c r="B13" s="7" t="s">
        <v>12</v>
      </c>
      <c r="C13" s="4">
        <f>C8-C12</f>
        <v>4.6650000000000063</v>
      </c>
      <c r="D13" s="4">
        <f>D8-D12</f>
        <v>-12.404999999999994</v>
      </c>
      <c r="E13" s="4">
        <f>E8-E12</f>
        <v>-4.6680000000000064</v>
      </c>
      <c r="F13" s="4"/>
      <c r="G13" s="4">
        <f t="shared" ref="G13:H13" si="1">G8-G12</f>
        <v>59.933000000000014</v>
      </c>
      <c r="H13" s="4">
        <f t="shared" si="1"/>
        <v>-7.1809999999999974</v>
      </c>
      <c r="I13" s="4">
        <f>I8-I12</f>
        <v>4.2109999999999985</v>
      </c>
      <c r="J13" s="8"/>
      <c r="K13" s="8"/>
      <c r="M13" s="4">
        <f>M8-M12</f>
        <v>85.892000000000053</v>
      </c>
      <c r="N13" s="4">
        <f>N8-N12</f>
        <v>52.840000000000032</v>
      </c>
      <c r="O13" s="4">
        <f>O8-O12</f>
        <v>-9.0139999999999532</v>
      </c>
    </row>
    <row r="14" spans="1:15" x14ac:dyDescent="0.2">
      <c r="B14" s="7" t="s">
        <v>22</v>
      </c>
      <c r="C14" s="4">
        <f>0.87-3.514</f>
        <v>-2.6439999999999997</v>
      </c>
      <c r="D14" s="4">
        <f>-4.003+1.074</f>
        <v>-2.9290000000000003</v>
      </c>
      <c r="E14" s="4">
        <f>1.207-4.12-2.03</f>
        <v>-4.9429999999999996</v>
      </c>
      <c r="F14" s="4"/>
      <c r="G14" s="4">
        <f>1.432-3.236+1.422</f>
        <v>-0.38200000000000034</v>
      </c>
      <c r="H14" s="4">
        <f>1.19-3.111-0.025</f>
        <v>-1.9460000000000002</v>
      </c>
      <c r="I14" s="4">
        <f>1.87-3.104</f>
        <v>-1.234</v>
      </c>
      <c r="M14" s="3">
        <f>0.109-13.997+1.563</f>
        <v>-12.324999999999999</v>
      </c>
      <c r="N14" s="3">
        <f>1.007-14.394-1.019</f>
        <v>-14.406000000000001</v>
      </c>
      <c r="O14" s="3">
        <f>4.471-14.769+1.108</f>
        <v>-9.19</v>
      </c>
    </row>
    <row r="15" spans="1:15" x14ac:dyDescent="0.2">
      <c r="B15" s="7" t="s">
        <v>13</v>
      </c>
      <c r="C15" s="4">
        <f>+C13+C14</f>
        <v>2.0210000000000066</v>
      </c>
      <c r="D15" s="4">
        <f>+D13+D14</f>
        <v>-15.333999999999994</v>
      </c>
      <c r="E15" s="4">
        <f>+E13+E14</f>
        <v>-9.611000000000006</v>
      </c>
      <c r="F15" s="4"/>
      <c r="G15" s="4">
        <f>+G13+G14</f>
        <v>59.551000000000016</v>
      </c>
      <c r="H15" s="4">
        <f>+H13+H14</f>
        <v>-9.1269999999999971</v>
      </c>
      <c r="I15" s="4">
        <f>+I13+I14</f>
        <v>2.9769999999999985</v>
      </c>
      <c r="M15" s="3">
        <f>+M13+M14</f>
        <v>73.56700000000005</v>
      </c>
      <c r="N15" s="3">
        <f>+N13+N14</f>
        <v>38.434000000000033</v>
      </c>
      <c r="O15" s="3">
        <f>+O13+O14</f>
        <v>-18.203999999999951</v>
      </c>
    </row>
    <row r="16" spans="1:15" x14ac:dyDescent="0.2">
      <c r="B16" s="7" t="s">
        <v>20</v>
      </c>
      <c r="C16" s="4">
        <v>1.25</v>
      </c>
      <c r="D16" s="4">
        <v>3.706</v>
      </c>
      <c r="E16" s="4">
        <v>3.0110000000000001</v>
      </c>
      <c r="F16" s="4"/>
      <c r="G16" s="4">
        <v>34.341000000000001</v>
      </c>
      <c r="H16" s="4">
        <v>11.647</v>
      </c>
      <c r="I16" s="4">
        <v>0</v>
      </c>
      <c r="M16" s="3">
        <v>2.3759999999999999</v>
      </c>
      <c r="N16" s="3">
        <v>0</v>
      </c>
      <c r="O16" s="3">
        <v>19.864999999999998</v>
      </c>
    </row>
    <row r="17" spans="2:15" x14ac:dyDescent="0.2">
      <c r="B17" s="11" t="s">
        <v>19</v>
      </c>
      <c r="C17" s="4">
        <f t="shared" ref="C17:H17" si="2">+C15-C16</f>
        <v>0.77100000000000657</v>
      </c>
      <c r="D17" s="4">
        <f t="shared" si="2"/>
        <v>-19.039999999999996</v>
      </c>
      <c r="E17" s="4">
        <f t="shared" si="2"/>
        <v>-12.622000000000007</v>
      </c>
      <c r="F17" s="4">
        <f t="shared" si="2"/>
        <v>0</v>
      </c>
      <c r="G17" s="4">
        <f t="shared" si="2"/>
        <v>25.210000000000015</v>
      </c>
      <c r="H17" s="4">
        <f t="shared" si="2"/>
        <v>-20.773999999999997</v>
      </c>
      <c r="I17" s="4">
        <f>+I15-I16</f>
        <v>2.9769999999999985</v>
      </c>
      <c r="M17" s="3">
        <f>+M15-M16</f>
        <v>71.191000000000045</v>
      </c>
      <c r="N17" s="3">
        <f>+N15-N16</f>
        <v>38.434000000000033</v>
      </c>
      <c r="O17" s="3">
        <f>+O15-O16</f>
        <v>-38.068999999999946</v>
      </c>
    </row>
    <row r="18" spans="2:15" x14ac:dyDescent="0.2">
      <c r="B18" s="7" t="s">
        <v>26</v>
      </c>
      <c r="M18" s="1">
        <f>+M17/M19</f>
        <v>1.8119829977856408</v>
      </c>
      <c r="N18" s="1">
        <f>+N17/N19</f>
        <v>0.98078444382065566</v>
      </c>
      <c r="O18" s="1">
        <f>+O17/O19</f>
        <v>-0.94663682705458019</v>
      </c>
    </row>
    <row r="19" spans="2:15" x14ac:dyDescent="0.2">
      <c r="B19" s="7" t="s">
        <v>1</v>
      </c>
      <c r="M19" s="3">
        <v>39.289000000000001</v>
      </c>
      <c r="N19" s="3">
        <v>39.186999999999998</v>
      </c>
      <c r="O19" s="3">
        <v>40.215000000000003</v>
      </c>
    </row>
    <row r="21" spans="2:15" s="3" customFormat="1" x14ac:dyDescent="0.2">
      <c r="B21" s="3" t="s">
        <v>23</v>
      </c>
      <c r="C21" s="4">
        <v>-2.1179999999999999</v>
      </c>
      <c r="D21" s="4">
        <f>4.437-C21</f>
        <v>6.5549999999999997</v>
      </c>
      <c r="E21" s="4">
        <f>-3.76-D21-C21</f>
        <v>-8.1969999999999992</v>
      </c>
      <c r="F21" s="4"/>
      <c r="G21" s="4">
        <v>-2.8149999999999999</v>
      </c>
      <c r="H21" s="4">
        <f>-1.771-G21</f>
        <v>1.044</v>
      </c>
      <c r="I21" s="4">
        <f>11.081-H21-G21</f>
        <v>12.851999999999999</v>
      </c>
      <c r="J21" s="4"/>
      <c r="K21" s="4"/>
      <c r="M21" s="3">
        <v>74.388999999999996</v>
      </c>
      <c r="N21" s="3">
        <v>-2.1379999999999999</v>
      </c>
      <c r="O21" s="3">
        <v>7.4980000000000002</v>
      </c>
    </row>
    <row r="22" spans="2:15" s="3" customFormat="1" x14ac:dyDescent="0.2">
      <c r="B22" s="3" t="s">
        <v>24</v>
      </c>
      <c r="C22" s="4">
        <v>-0.68300000000000005</v>
      </c>
      <c r="D22" s="4">
        <f>-2.077-C22</f>
        <v>-1.3939999999999999</v>
      </c>
      <c r="E22" s="4">
        <f>-3.597-D22-C22</f>
        <v>-1.5200000000000002</v>
      </c>
      <c r="F22" s="4"/>
      <c r="G22" s="4">
        <v>-0.93100000000000005</v>
      </c>
      <c r="H22" s="4">
        <f>-2.776-G22</f>
        <v>-1.8449999999999998</v>
      </c>
      <c r="I22" s="4">
        <f>-3.55-H22-G22</f>
        <v>-0.77400000000000002</v>
      </c>
      <c r="J22" s="4"/>
      <c r="K22" s="4"/>
      <c r="M22" s="3">
        <v>-12.047000000000001</v>
      </c>
      <c r="N22" s="3">
        <v>-17.446000000000002</v>
      </c>
      <c r="O22" s="3">
        <v>-5.1239999999999997</v>
      </c>
    </row>
    <row r="23" spans="2:15" s="3" customFormat="1" x14ac:dyDescent="0.2">
      <c r="B23" s="3" t="s">
        <v>25</v>
      </c>
      <c r="C23" s="4">
        <f>+C21+C22</f>
        <v>-2.8010000000000002</v>
      </c>
      <c r="D23" s="4">
        <f>+D21+D22</f>
        <v>5.1609999999999996</v>
      </c>
      <c r="E23" s="4">
        <f>+E21+E22</f>
        <v>-9.7169999999999987</v>
      </c>
      <c r="F23" s="4"/>
      <c r="G23" s="4">
        <f>+G21+G22</f>
        <v>-3.746</v>
      </c>
      <c r="H23" s="4">
        <f>+H21+H22</f>
        <v>-0.80099999999999971</v>
      </c>
      <c r="I23" s="4">
        <f>+I21+I22</f>
        <v>12.077999999999999</v>
      </c>
      <c r="J23" s="4"/>
      <c r="K23" s="4"/>
      <c r="M23" s="3">
        <f>+M21+M22</f>
        <v>62.341999999999999</v>
      </c>
      <c r="N23" s="3">
        <f>+N21+N22</f>
        <v>-19.584000000000003</v>
      </c>
      <c r="O23" s="3">
        <f>+O21+O22</f>
        <v>2.3740000000000006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2024-10-04T14:05:43Z</dcterms:created>
  <dcterms:modified xsi:type="dcterms:W3CDTF">2024-10-04T14:38:17Z</dcterms:modified>
</cp:coreProperties>
</file>