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9CAB32-A695-4816-A132-0CB2CF5813AE}" xr6:coauthVersionLast="47" xr6:coauthVersionMax="47" xr10:uidLastSave="{00000000-0000-0000-0000-000000000000}"/>
  <bookViews>
    <workbookView xWindow="-24885" yWindow="855" windowWidth="23910" windowHeight="19410" xr2:uid="{00000000-000D-0000-FFFF-FFFF00000000}"/>
  </bookViews>
  <sheets>
    <sheet name="Main" sheetId="1" r:id="rId1"/>
    <sheet name="Model" sheetId="2" r:id="rId2"/>
    <sheet name="Idelv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BJ19" i="2"/>
  <c r="BI19" i="2"/>
  <c r="BH19" i="2"/>
  <c r="BG19" i="2"/>
  <c r="BG2" i="2"/>
  <c r="BH2" i="2" s="1"/>
  <c r="BI2" i="2" s="1"/>
  <c r="BJ2" i="2" s="1"/>
  <c r="BB2" i="2"/>
  <c r="BC2" i="2" s="1"/>
  <c r="BD2" i="2" s="1"/>
  <c r="BE2" i="2" s="1"/>
  <c r="BF2" i="2" s="1"/>
  <c r="BF19" i="2"/>
  <c r="BE19" i="2"/>
  <c r="BD19" i="2"/>
  <c r="BC19" i="2"/>
  <c r="BB19" i="2"/>
  <c r="BA19" i="2"/>
  <c r="AZ19" i="2"/>
  <c r="AY19" i="2"/>
  <c r="AX19" i="2"/>
  <c r="AV39" i="2"/>
  <c r="AU39" i="2"/>
  <c r="AT39" i="2"/>
  <c r="AW39" i="2"/>
  <c r="AT37" i="2"/>
  <c r="AS37" i="2"/>
  <c r="AS28" i="2"/>
  <c r="AS26" i="2"/>
  <c r="AS21" i="2"/>
  <c r="AT28" i="2"/>
  <c r="AT26" i="2"/>
  <c r="AT21" i="2"/>
  <c r="AW16" i="2"/>
  <c r="AW5" i="2"/>
  <c r="AU37" i="2"/>
  <c r="AV37" i="2"/>
  <c r="AW37" i="2"/>
  <c r="AW28" i="2"/>
  <c r="AW26" i="2"/>
  <c r="AW21" i="2"/>
  <c r="AU21" i="2"/>
  <c r="AV21" i="2"/>
  <c r="AU26" i="2"/>
  <c r="AV26" i="2"/>
  <c r="AU28" i="2"/>
  <c r="AV28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D8" i="2"/>
  <c r="D7" i="2"/>
  <c r="D6" i="2"/>
  <c r="D5" i="2"/>
  <c r="D30" i="2"/>
  <c r="D24" i="2"/>
  <c r="D23" i="2"/>
  <c r="D22" i="2"/>
  <c r="AJ25" i="2"/>
  <c r="D20" i="2"/>
  <c r="AJ21" i="2"/>
  <c r="D19" i="2"/>
  <c r="C25" i="2"/>
  <c r="C26" i="2" s="1"/>
  <c r="C21" i="2"/>
  <c r="E25" i="2"/>
  <c r="E26" i="2"/>
  <c r="E21" i="2"/>
  <c r="J4" i="1"/>
  <c r="J7" i="1" l="1"/>
  <c r="J8" i="1" s="1"/>
  <c r="AS27" i="2"/>
  <c r="AS29" i="2" s="1"/>
  <c r="AS31" i="2" s="1"/>
  <c r="AS32" i="2" s="1"/>
  <c r="AT27" i="2"/>
  <c r="AT29" i="2" s="1"/>
  <c r="AT31" i="2" s="1"/>
  <c r="AT32" i="2" s="1"/>
  <c r="E27" i="2"/>
  <c r="E31" i="2" s="1"/>
  <c r="E32" i="2" s="1"/>
  <c r="AU27" i="2"/>
  <c r="AU29" i="2" s="1"/>
  <c r="AU31" i="2" s="1"/>
  <c r="AU32" i="2" s="1"/>
  <c r="C27" i="2"/>
  <c r="C31" i="2" s="1"/>
  <c r="C32" i="2" s="1"/>
  <c r="AW27" i="2"/>
  <c r="AW29" i="2" s="1"/>
  <c r="AW31" i="2" s="1"/>
  <c r="AW32" i="2" s="1"/>
  <c r="D25" i="2"/>
  <c r="D26" i="2" s="1"/>
  <c r="AV27" i="2"/>
  <c r="AV29" i="2" s="1"/>
  <c r="AV31" i="2" s="1"/>
  <c r="AV32" i="2" s="1"/>
  <c r="D21" i="2"/>
  <c r="AJ26" i="2"/>
  <c r="AJ27" i="2" s="1"/>
  <c r="AJ31" i="2" s="1"/>
  <c r="AJ32" i="2" s="1"/>
  <c r="D27" i="2" l="1"/>
  <c r="D31" i="2" s="1"/>
  <c r="D32" i="2" s="1"/>
</calcChain>
</file>

<file path=xl/sharedStrings.xml><?xml version="1.0" encoding="utf-8"?>
<sst xmlns="http://schemas.openxmlformats.org/spreadsheetml/2006/main" count="193" uniqueCount="166">
  <si>
    <t>Shares</t>
  </si>
  <si>
    <t>Price AUD</t>
  </si>
  <si>
    <t>MC AUD</t>
  </si>
  <si>
    <t>Name</t>
  </si>
  <si>
    <t>Carimune</t>
  </si>
  <si>
    <t>Indication</t>
  </si>
  <si>
    <t>Mechanism</t>
  </si>
  <si>
    <t>IVIG</t>
  </si>
  <si>
    <t>Gamunex</t>
  </si>
  <si>
    <t>CIPD</t>
  </si>
  <si>
    <t>Gardasil</t>
  </si>
  <si>
    <t>HPV</t>
  </si>
  <si>
    <t>Vaccine</t>
  </si>
  <si>
    <t>MRK</t>
  </si>
  <si>
    <t>Rights</t>
  </si>
  <si>
    <t>Main</t>
  </si>
  <si>
    <t>Revenue</t>
  </si>
  <si>
    <t>1H09</t>
  </si>
  <si>
    <t>2H09</t>
  </si>
  <si>
    <t>1H10</t>
  </si>
  <si>
    <t>2H10</t>
  </si>
  <si>
    <t>COGS</t>
  </si>
  <si>
    <t>Gross Profit</t>
  </si>
  <si>
    <t>R&amp;D</t>
  </si>
  <si>
    <t>S&amp;M</t>
  </si>
  <si>
    <t>G&amp;A</t>
  </si>
  <si>
    <t>Other Income</t>
  </si>
  <si>
    <t>Operating Expenses</t>
  </si>
  <si>
    <t>Operating Income</t>
  </si>
  <si>
    <t>Taxes</t>
  </si>
  <si>
    <t>Net Income</t>
  </si>
  <si>
    <t>EPS</t>
  </si>
  <si>
    <t>pdCoag</t>
  </si>
  <si>
    <t>rFVIII</t>
  </si>
  <si>
    <t>Immunoglobulins</t>
  </si>
  <si>
    <t>Albumin</t>
  </si>
  <si>
    <t>Beriate P</t>
  </si>
  <si>
    <t>Monoclate-P</t>
  </si>
  <si>
    <t>Humate-P</t>
  </si>
  <si>
    <t>Haemate P</t>
  </si>
  <si>
    <t>Biostate</t>
  </si>
  <si>
    <t>Helixate FS</t>
  </si>
  <si>
    <t>Helixate NexGen</t>
  </si>
  <si>
    <t>Fluvax</t>
  </si>
  <si>
    <t>Australia</t>
  </si>
  <si>
    <t>Cash USD</t>
  </si>
  <si>
    <t>Debt USD</t>
  </si>
  <si>
    <t>Hizentra</t>
  </si>
  <si>
    <t>Haegarda</t>
  </si>
  <si>
    <t>Privigen</t>
  </si>
  <si>
    <t>garadacimab</t>
  </si>
  <si>
    <t>CSL324</t>
  </si>
  <si>
    <t>Hidradenitis Suppurativa</t>
  </si>
  <si>
    <t>Idelvion</t>
  </si>
  <si>
    <t>Haemophilia B</t>
  </si>
  <si>
    <t>Afstyla</t>
  </si>
  <si>
    <t>Haemophilia A</t>
  </si>
  <si>
    <t>C1 Esterase</t>
  </si>
  <si>
    <t>HAE</t>
  </si>
  <si>
    <t>G-CSFR mab</t>
  </si>
  <si>
    <t>CSL730</t>
  </si>
  <si>
    <t>CSL964</t>
  </si>
  <si>
    <t>GvHD</t>
  </si>
  <si>
    <t>alpha1-antitrypsin</t>
  </si>
  <si>
    <t>clazakizumab</t>
  </si>
  <si>
    <t>IL-6</t>
  </si>
  <si>
    <t>antibody-mediated rejection</t>
  </si>
  <si>
    <t>Fc multimer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</si>
  <si>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</si>
  <si>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</si>
  <si>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</si>
  <si>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</si>
  <si>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</si>
  <si>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</si>
  <si>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</si>
  <si>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</si>
  <si>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</si>
  <si>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</si>
  <si>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</si>
  <si>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</si>
  <si>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</si>
  <si>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</si>
  <si>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</si>
  <si>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</si>
  <si>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</si>
  <si>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</si>
  <si>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</si>
  <si>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</si>
  <si>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</si>
  <si>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</si>
  <si>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</si>
  <si>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</si>
  <si>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Interest Income</t>
  </si>
  <si>
    <t>Pretax Income</t>
  </si>
  <si>
    <t>CFFO</t>
  </si>
  <si>
    <t>CX</t>
  </si>
  <si>
    <t>1H23</t>
  </si>
  <si>
    <t>2H23</t>
  </si>
  <si>
    <t>CEO: Paul Perreault</t>
  </si>
  <si>
    <t>rFIX</t>
  </si>
  <si>
    <t>Brand</t>
  </si>
  <si>
    <t>Dosing</t>
  </si>
  <si>
    <t>7- and 14-day</t>
  </si>
  <si>
    <t>Hemophilia B prophylaxis, on-demand treatment</t>
  </si>
  <si>
    <t>SCIG</t>
  </si>
  <si>
    <t>Peri-operative</t>
  </si>
  <si>
    <t>Other Specialty</t>
  </si>
  <si>
    <t>Other Behring</t>
  </si>
  <si>
    <t>Other Seqirus</t>
  </si>
  <si>
    <t>Egg-based Vaccine</t>
  </si>
  <si>
    <t>Cell Culture Vaccine</t>
  </si>
  <si>
    <t>Adjuvanted Egg Vaccine</t>
  </si>
  <si>
    <t>Pandemic</t>
  </si>
  <si>
    <t>Fluad</t>
  </si>
  <si>
    <t>Influenza</t>
  </si>
  <si>
    <t>Hemophilia A</t>
  </si>
  <si>
    <t>FCF</t>
  </si>
  <si>
    <t>Revenue y/y</t>
  </si>
  <si>
    <t>Vifor acquisition</t>
  </si>
  <si>
    <t>$000s</t>
  </si>
  <si>
    <t>EV AUD</t>
  </si>
  <si>
    <t>EV USD</t>
  </si>
  <si>
    <t>Admin</t>
  </si>
  <si>
    <t>subcutaneous</t>
  </si>
  <si>
    <t>IV</t>
  </si>
  <si>
    <t>10% IG</t>
  </si>
  <si>
    <t>20% IG</t>
  </si>
  <si>
    <t>FXIIa</t>
  </si>
  <si>
    <t>ILD, HAE</t>
  </si>
  <si>
    <t>Approved</t>
  </si>
  <si>
    <t>Phase</t>
  </si>
  <si>
    <t>Etranacogene dezaparvovec</t>
  </si>
  <si>
    <t>Hemophilia B</t>
  </si>
  <si>
    <t>rFIX gene therapy</t>
  </si>
  <si>
    <t>Kcentra</t>
  </si>
  <si>
    <t>prothrombin</t>
  </si>
  <si>
    <t>Trauma</t>
  </si>
  <si>
    <t>CSL889 (hemopexin)</t>
  </si>
  <si>
    <t>Sickle Cell Disease</t>
  </si>
  <si>
    <t>Zemaira/Respreeza</t>
  </si>
  <si>
    <t>AAT</t>
  </si>
  <si>
    <t>trabikibart</t>
  </si>
  <si>
    <t>Asthma</t>
  </si>
  <si>
    <t>anti-beta common mab</t>
  </si>
  <si>
    <t>CSL787</t>
  </si>
  <si>
    <t>Non-CF Bronchiectasis</t>
  </si>
  <si>
    <t>nebulized IG</t>
  </si>
  <si>
    <t>CSL112</t>
  </si>
  <si>
    <t>Apolipoprotein A-I</t>
  </si>
  <si>
    <t>ACS</t>
  </si>
  <si>
    <t>CSL346</t>
  </si>
  <si>
    <t>DKD</t>
  </si>
  <si>
    <t>VEGFB mab</t>
  </si>
  <si>
    <t>Audenz</t>
  </si>
  <si>
    <t>H5N1 Influenza</t>
  </si>
  <si>
    <t>Flucelvax</t>
  </si>
  <si>
    <t>Foclivia/Focetria</t>
  </si>
  <si>
    <t>aQIVc</t>
  </si>
  <si>
    <t>quadrivalent</t>
  </si>
  <si>
    <t>eblasakimab</t>
  </si>
  <si>
    <t>mavrilimumab</t>
  </si>
  <si>
    <t>GM-CSF</t>
  </si>
  <si>
    <t>GCA, RA</t>
  </si>
  <si>
    <t>IL-13R mab</t>
  </si>
  <si>
    <t>Atopic Dermatitis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</si>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</sst>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Alignment="1" applyProtection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1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0" xfId="0" applyNumberFormat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/>
    <xf numFmtId="0" fontId="2" fillId="0" borderId="4" xfId="1" applyFill="1" applyBorder="1" applyAlignment="1" applyProtection="1"/>
    <xf numFmtId="0" fontId="3" fillId="0" borderId="8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E01F711A-1862-48EB-9392-444721FF5E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29818</xdr:colOff>
      <xdr:row>0</xdr:row>
      <xdr:rowOff>0</xdr:rowOff>
    </xdr:from>
    <xdr:to>
      <xdr:col>49</xdr:col>
      <xdr:colOff>29818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B567F7-9D19-BBA4-8C3D-0A01DDCA3517}"/>
            </a:ext>
          </a:extLst>
        </xdr:cNvPr>
        <xdr:cNvCxnSpPr/>
      </xdr:nvCxnSpPr>
      <xdr:spPr>
        <a:xfrm>
          <a:off x="30377296" y="0"/>
          <a:ext cx="0" cy="99391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0</xdr:row>
      <xdr:rowOff>47625</xdr:rowOff>
    </xdr:from>
    <xdr:to>
      <xdr:col>29</xdr:col>
      <xdr:colOff>57150</xdr:colOff>
      <xdr:row>66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236B1F-AC05-78D8-F21B-348DFE666F05}"/>
            </a:ext>
          </a:extLst>
        </xdr:cNvPr>
        <xdr:cNvCxnSpPr/>
      </xdr:nvCxnSpPr>
      <xdr:spPr>
        <a:xfrm>
          <a:off x="18059400" y="47625"/>
          <a:ext cx="0" cy="897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tabSelected="1" zoomScale="145" zoomScaleNormal="145" workbookViewId="0">
      <selection activeCell="J3" sqref="J3"/>
    </sheetView>
  </sheetViews>
  <sheetFormatPr defaultRowHeight="12.75" x14ac:dyDescent="0.2"/>
  <cols>
    <col min="1" max="1" width="4.140625" customWidth="1"/>
    <col min="2" max="2" width="25" customWidth="1"/>
    <col min="3" max="3" width="27.28515625" customWidth="1"/>
    <col min="4" max="4" width="12.140625" customWidth="1"/>
    <col min="6" max="6" width="12.42578125" customWidth="1"/>
    <col min="9" max="9" width="11" customWidth="1"/>
    <col min="10" max="10" width="8.85546875" customWidth="1"/>
    <col min="11" max="11" width="8.140625" customWidth="1"/>
  </cols>
  <sheetData>
    <row r="2" spans="2:11" x14ac:dyDescent="0.2">
      <c r="B2" s="16" t="s">
        <v>3</v>
      </c>
      <c r="C2" s="17" t="s">
        <v>5</v>
      </c>
      <c r="D2" s="17" t="s">
        <v>6</v>
      </c>
      <c r="E2" s="18" t="s">
        <v>14</v>
      </c>
      <c r="F2" s="18" t="s">
        <v>122</v>
      </c>
      <c r="G2" s="33" t="s">
        <v>129</v>
      </c>
      <c r="I2" t="s">
        <v>1</v>
      </c>
      <c r="J2" s="19">
        <v>307</v>
      </c>
    </row>
    <row r="3" spans="2:11" x14ac:dyDescent="0.2">
      <c r="B3" s="20" t="s">
        <v>4</v>
      </c>
      <c r="C3" s="21" t="s">
        <v>9</v>
      </c>
      <c r="D3" s="22" t="s">
        <v>7</v>
      </c>
      <c r="E3" s="22"/>
      <c r="F3" s="22"/>
      <c r="G3" s="23"/>
      <c r="I3" t="s">
        <v>0</v>
      </c>
      <c r="J3" s="4">
        <v>485.19930699999998</v>
      </c>
      <c r="K3" s="2" t="s">
        <v>165</v>
      </c>
    </row>
    <row r="4" spans="2:11" x14ac:dyDescent="0.2">
      <c r="B4" s="20" t="s">
        <v>8</v>
      </c>
      <c r="C4" s="22" t="s">
        <v>9</v>
      </c>
      <c r="D4" s="22" t="s">
        <v>7</v>
      </c>
      <c r="E4" s="22"/>
      <c r="F4" s="22"/>
      <c r="G4" s="23"/>
      <c r="I4" t="s">
        <v>2</v>
      </c>
      <c r="J4" s="4">
        <f>J3*J2</f>
        <v>148956.18724899998</v>
      </c>
    </row>
    <row r="5" spans="2:11" x14ac:dyDescent="0.2">
      <c r="B5" s="24" t="s">
        <v>10</v>
      </c>
      <c r="C5" s="21" t="s">
        <v>11</v>
      </c>
      <c r="D5" s="21" t="s">
        <v>12</v>
      </c>
      <c r="E5" s="21" t="s">
        <v>13</v>
      </c>
      <c r="F5" s="22"/>
      <c r="G5" s="23"/>
      <c r="I5" s="15" t="s">
        <v>45</v>
      </c>
      <c r="J5" s="4">
        <f>163+1657</f>
        <v>1820</v>
      </c>
      <c r="K5" s="2" t="s">
        <v>165</v>
      </c>
    </row>
    <row r="6" spans="2:11" x14ac:dyDescent="0.2">
      <c r="B6" s="24" t="s">
        <v>47</v>
      </c>
      <c r="C6" s="21" t="s">
        <v>9</v>
      </c>
      <c r="D6" s="21" t="s">
        <v>126</v>
      </c>
      <c r="E6" s="21"/>
      <c r="F6" s="21" t="s">
        <v>123</v>
      </c>
      <c r="G6" s="23"/>
      <c r="I6" s="15" t="s">
        <v>46</v>
      </c>
      <c r="J6" s="4">
        <f>11239+944</f>
        <v>12183</v>
      </c>
      <c r="K6" s="2" t="s">
        <v>165</v>
      </c>
    </row>
    <row r="7" spans="2:11" x14ac:dyDescent="0.2">
      <c r="B7" s="24" t="s">
        <v>41</v>
      </c>
      <c r="C7" s="22" t="s">
        <v>115</v>
      </c>
      <c r="D7" s="21" t="s">
        <v>33</v>
      </c>
      <c r="E7" s="22"/>
      <c r="F7" s="22"/>
      <c r="G7" s="23"/>
      <c r="I7" s="15" t="s">
        <v>120</v>
      </c>
      <c r="J7" s="4">
        <f>J4-J5+J6</f>
        <v>159319.18724899998</v>
      </c>
    </row>
    <row r="8" spans="2:11" x14ac:dyDescent="0.2">
      <c r="B8" s="24" t="s">
        <v>42</v>
      </c>
      <c r="C8" s="22" t="s">
        <v>115</v>
      </c>
      <c r="D8" s="21" t="s">
        <v>33</v>
      </c>
      <c r="E8" s="22"/>
      <c r="F8" s="22"/>
      <c r="G8" s="23"/>
      <c r="I8" s="15" t="s">
        <v>121</v>
      </c>
      <c r="J8" s="4">
        <f>J7/1.5</f>
        <v>106212.79149933333</v>
      </c>
    </row>
    <row r="9" spans="2:11" x14ac:dyDescent="0.2">
      <c r="B9" s="24" t="s">
        <v>43</v>
      </c>
      <c r="C9" s="22" t="s">
        <v>114</v>
      </c>
      <c r="D9" s="21" t="s">
        <v>12</v>
      </c>
      <c r="E9" s="21" t="s">
        <v>44</v>
      </c>
      <c r="F9" s="22"/>
      <c r="G9" s="23"/>
      <c r="J9" s="4"/>
    </row>
    <row r="10" spans="2:11" x14ac:dyDescent="0.2">
      <c r="B10" s="24" t="s">
        <v>113</v>
      </c>
      <c r="C10" s="22" t="s">
        <v>114</v>
      </c>
      <c r="D10" s="21" t="s">
        <v>12</v>
      </c>
      <c r="E10" s="21"/>
      <c r="F10" s="22"/>
      <c r="G10" s="23"/>
      <c r="J10" s="4"/>
    </row>
    <row r="11" spans="2:11" x14ac:dyDescent="0.2">
      <c r="B11" s="24" t="s">
        <v>155</v>
      </c>
      <c r="C11" s="21" t="s">
        <v>114</v>
      </c>
      <c r="D11" s="21" t="s">
        <v>12</v>
      </c>
      <c r="E11" s="21"/>
      <c r="F11" s="22"/>
      <c r="G11" s="23"/>
      <c r="J11" s="4"/>
    </row>
    <row r="12" spans="2:11" x14ac:dyDescent="0.2">
      <c r="B12" s="24" t="s">
        <v>156</v>
      </c>
      <c r="C12" s="21" t="s">
        <v>154</v>
      </c>
      <c r="D12" s="21" t="s">
        <v>12</v>
      </c>
      <c r="E12" s="21"/>
      <c r="F12" s="22"/>
      <c r="G12" s="23"/>
      <c r="J12" s="4"/>
    </row>
    <row r="13" spans="2:11" x14ac:dyDescent="0.2">
      <c r="B13" s="24" t="s">
        <v>153</v>
      </c>
      <c r="C13" s="21" t="s">
        <v>154</v>
      </c>
      <c r="D13" s="21" t="s">
        <v>12</v>
      </c>
      <c r="E13" s="21"/>
      <c r="F13" s="22"/>
      <c r="G13" s="23"/>
      <c r="J13" s="4"/>
    </row>
    <row r="14" spans="2:11" x14ac:dyDescent="0.2">
      <c r="B14" s="24" t="s">
        <v>48</v>
      </c>
      <c r="C14" s="21" t="s">
        <v>58</v>
      </c>
      <c r="D14" s="21" t="s">
        <v>57</v>
      </c>
      <c r="E14" s="21"/>
      <c r="F14" s="21" t="s">
        <v>123</v>
      </c>
      <c r="G14" s="23"/>
      <c r="J14" s="4"/>
    </row>
    <row r="15" spans="2:11" x14ac:dyDescent="0.2">
      <c r="B15" s="24" t="s">
        <v>49</v>
      </c>
      <c r="C15" s="21" t="s">
        <v>9</v>
      </c>
      <c r="D15" s="21" t="s">
        <v>125</v>
      </c>
      <c r="E15" s="21"/>
      <c r="F15" s="21" t="s">
        <v>124</v>
      </c>
      <c r="G15" s="23"/>
      <c r="J15" s="4"/>
    </row>
    <row r="16" spans="2:11" x14ac:dyDescent="0.2">
      <c r="B16" s="24" t="s">
        <v>32</v>
      </c>
      <c r="C16" s="22"/>
      <c r="D16" s="22"/>
      <c r="E16" s="22"/>
      <c r="F16" s="22"/>
      <c r="G16" s="23"/>
      <c r="I16" t="s">
        <v>98</v>
      </c>
      <c r="J16" s="4"/>
    </row>
    <row r="17" spans="2:10" x14ac:dyDescent="0.2">
      <c r="B17" s="24" t="s">
        <v>38</v>
      </c>
      <c r="C17" s="22"/>
      <c r="D17" s="21"/>
      <c r="E17" s="22"/>
      <c r="F17" s="22"/>
      <c r="G17" s="23"/>
      <c r="I17" s="15" t="s">
        <v>118</v>
      </c>
      <c r="J17" s="4"/>
    </row>
    <row r="18" spans="2:10" x14ac:dyDescent="0.2">
      <c r="B18" s="24" t="s">
        <v>39</v>
      </c>
      <c r="C18" s="22"/>
      <c r="D18" s="21"/>
      <c r="E18" s="22"/>
      <c r="F18" s="22"/>
      <c r="G18" s="23"/>
    </row>
    <row r="19" spans="2:10" x14ac:dyDescent="0.2">
      <c r="B19" s="24" t="s">
        <v>40</v>
      </c>
      <c r="C19" s="22"/>
      <c r="D19" s="22"/>
      <c r="E19" s="22"/>
      <c r="F19" s="22"/>
      <c r="G19" s="23"/>
    </row>
    <row r="20" spans="2:10" x14ac:dyDescent="0.2">
      <c r="B20" s="24" t="s">
        <v>55</v>
      </c>
      <c r="C20" s="21" t="s">
        <v>56</v>
      </c>
      <c r="D20" s="21" t="s">
        <v>33</v>
      </c>
      <c r="E20" s="22"/>
      <c r="F20" s="22"/>
      <c r="G20" s="23"/>
    </row>
    <row r="21" spans="2:10" x14ac:dyDescent="0.2">
      <c r="B21" s="24" t="s">
        <v>139</v>
      </c>
      <c r="C21" s="21" t="s">
        <v>140</v>
      </c>
      <c r="D21" s="21" t="s">
        <v>63</v>
      </c>
      <c r="E21" s="22"/>
      <c r="F21" s="22"/>
      <c r="G21" s="23"/>
    </row>
    <row r="22" spans="2:10" x14ac:dyDescent="0.2">
      <c r="B22" s="24" t="s">
        <v>37</v>
      </c>
      <c r="C22" s="22"/>
      <c r="D22" s="22"/>
      <c r="E22" s="22"/>
      <c r="F22" s="22"/>
      <c r="G22" s="23"/>
    </row>
    <row r="23" spans="2:10" x14ac:dyDescent="0.2">
      <c r="B23" s="25" t="s">
        <v>53</v>
      </c>
      <c r="C23" s="21" t="s">
        <v>54</v>
      </c>
      <c r="D23" s="22" t="s">
        <v>99</v>
      </c>
      <c r="E23" s="22"/>
      <c r="F23" s="22"/>
      <c r="G23" s="23"/>
    </row>
    <row r="24" spans="2:10" x14ac:dyDescent="0.2">
      <c r="B24" s="26" t="s">
        <v>36</v>
      </c>
      <c r="C24" s="27"/>
      <c r="D24" s="27"/>
      <c r="E24" s="27"/>
      <c r="F24" s="27"/>
      <c r="G24" s="28"/>
    </row>
    <row r="25" spans="2:10" x14ac:dyDescent="0.2">
      <c r="B25" s="16"/>
      <c r="C25" s="29"/>
      <c r="D25" s="29"/>
      <c r="E25" s="29"/>
      <c r="F25" s="29"/>
      <c r="G25" s="33" t="s">
        <v>130</v>
      </c>
    </row>
    <row r="26" spans="2:10" x14ac:dyDescent="0.2">
      <c r="B26" s="24" t="s">
        <v>50</v>
      </c>
      <c r="C26" s="21" t="s">
        <v>128</v>
      </c>
      <c r="D26" s="15" t="s">
        <v>127</v>
      </c>
      <c r="G26" s="30"/>
    </row>
    <row r="27" spans="2:10" x14ac:dyDescent="0.2">
      <c r="B27" s="24" t="s">
        <v>51</v>
      </c>
      <c r="C27" s="21" t="s">
        <v>52</v>
      </c>
      <c r="D27" s="15" t="s">
        <v>59</v>
      </c>
      <c r="G27" s="30"/>
    </row>
    <row r="28" spans="2:10" x14ac:dyDescent="0.2">
      <c r="B28" s="24" t="s">
        <v>60</v>
      </c>
      <c r="C28" s="22"/>
      <c r="D28" s="15" t="s">
        <v>67</v>
      </c>
      <c r="G28" s="30"/>
    </row>
    <row r="29" spans="2:10" x14ac:dyDescent="0.2">
      <c r="B29" s="24" t="s">
        <v>61</v>
      </c>
      <c r="C29" s="21" t="s">
        <v>62</v>
      </c>
      <c r="D29" s="15" t="s">
        <v>63</v>
      </c>
      <c r="G29" s="30"/>
    </row>
    <row r="30" spans="2:10" x14ac:dyDescent="0.2">
      <c r="B30" s="24" t="s">
        <v>64</v>
      </c>
      <c r="C30" s="21" t="s">
        <v>66</v>
      </c>
      <c r="D30" s="15" t="s">
        <v>65</v>
      </c>
      <c r="G30" s="30"/>
    </row>
    <row r="31" spans="2:10" x14ac:dyDescent="0.2">
      <c r="B31" s="24" t="s">
        <v>131</v>
      </c>
      <c r="C31" s="21" t="s">
        <v>132</v>
      </c>
      <c r="D31" s="15" t="s">
        <v>133</v>
      </c>
      <c r="G31" s="30"/>
    </row>
    <row r="32" spans="2:10" x14ac:dyDescent="0.2">
      <c r="B32" s="24" t="s">
        <v>134</v>
      </c>
      <c r="C32" s="21" t="s">
        <v>136</v>
      </c>
      <c r="D32" s="21" t="s">
        <v>135</v>
      </c>
      <c r="G32" s="30"/>
    </row>
    <row r="33" spans="2:7" x14ac:dyDescent="0.2">
      <c r="B33" s="24" t="s">
        <v>137</v>
      </c>
      <c r="C33" s="21" t="s">
        <v>138</v>
      </c>
      <c r="G33" s="30"/>
    </row>
    <row r="34" spans="2:7" x14ac:dyDescent="0.2">
      <c r="B34" s="24" t="s">
        <v>141</v>
      </c>
      <c r="C34" s="21" t="s">
        <v>142</v>
      </c>
      <c r="D34" t="s">
        <v>143</v>
      </c>
      <c r="G34" s="30"/>
    </row>
    <row r="35" spans="2:7" x14ac:dyDescent="0.2">
      <c r="B35" s="24" t="s">
        <v>144</v>
      </c>
      <c r="C35" s="21" t="s">
        <v>145</v>
      </c>
      <c r="D35" t="s">
        <v>146</v>
      </c>
      <c r="G35" s="30"/>
    </row>
    <row r="36" spans="2:7" x14ac:dyDescent="0.2">
      <c r="B36" s="24" t="s">
        <v>147</v>
      </c>
      <c r="C36" s="21" t="s">
        <v>148</v>
      </c>
      <c r="D36" t="s">
        <v>149</v>
      </c>
      <c r="G36" s="30"/>
    </row>
    <row r="37" spans="2:7" x14ac:dyDescent="0.2">
      <c r="B37" s="24" t="s">
        <v>150</v>
      </c>
      <c r="C37" s="21" t="s">
        <v>151</v>
      </c>
      <c r="D37" t="s">
        <v>152</v>
      </c>
      <c r="G37" s="30"/>
    </row>
    <row r="38" spans="2:7" x14ac:dyDescent="0.2">
      <c r="B38" s="24" t="s">
        <v>159</v>
      </c>
      <c r="C38" s="21" t="s">
        <v>164</v>
      </c>
      <c r="D38" t="s">
        <v>163</v>
      </c>
      <c r="G38" s="30"/>
    </row>
    <row r="39" spans="2:7" x14ac:dyDescent="0.2">
      <c r="B39" s="24" t="s">
        <v>160</v>
      </c>
      <c r="C39" s="21" t="s">
        <v>162</v>
      </c>
      <c r="D39" t="s">
        <v>161</v>
      </c>
      <c r="G39" s="30"/>
    </row>
    <row r="40" spans="2:7" x14ac:dyDescent="0.2">
      <c r="B40" s="26" t="s">
        <v>157</v>
      </c>
      <c r="C40" s="35" t="s">
        <v>114</v>
      </c>
      <c r="D40" s="34" t="s">
        <v>158</v>
      </c>
      <c r="E40" s="31"/>
      <c r="F40" s="31"/>
      <c r="G40" s="32"/>
    </row>
  </sheetData>
  <phoneticPr fontId="1" type="noConversion"/>
  <hyperlinks>
    <hyperlink ref="B23" location="Idelvion!A1" display="Idelvion" xr:uid="{9C6169F3-8E8B-48ED-8210-B49DC4D7C59C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9"/>
  <sheetViews>
    <sheetView zoomScale="160" zoomScaleNormal="160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W3" sqref="AW3"/>
    </sheetView>
  </sheetViews>
  <sheetFormatPr defaultRowHeight="12.75" x14ac:dyDescent="0.2"/>
  <cols>
    <col min="1" max="1" width="5" bestFit="1" customWidth="1"/>
    <col min="2" max="2" width="23.140625" customWidth="1"/>
    <col min="3" max="29" width="9.140625" style="1"/>
    <col min="45" max="52" width="9.28515625" customWidth="1"/>
  </cols>
  <sheetData>
    <row r="1" spans="1:62" x14ac:dyDescent="0.2">
      <c r="A1" s="3" t="s">
        <v>15</v>
      </c>
      <c r="C1" s="11">
        <v>39813</v>
      </c>
      <c r="D1" s="11">
        <v>39994</v>
      </c>
      <c r="E1" s="11">
        <v>40178</v>
      </c>
      <c r="F1" s="11">
        <v>40359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S1" s="13">
        <v>43281</v>
      </c>
      <c r="AT1" s="13">
        <v>43646</v>
      </c>
      <c r="AU1" s="13">
        <v>44012</v>
      </c>
      <c r="AV1" s="13">
        <v>44377</v>
      </c>
      <c r="AW1" s="13">
        <v>44742</v>
      </c>
    </row>
    <row r="2" spans="1:62" x14ac:dyDescent="0.2">
      <c r="B2" s="15" t="s">
        <v>119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74</v>
      </c>
      <c r="N2" s="2" t="s">
        <v>75</v>
      </c>
      <c r="O2" s="2" t="s">
        <v>76</v>
      </c>
      <c r="P2" s="2" t="s">
        <v>77</v>
      </c>
      <c r="Q2" s="2" t="s">
        <v>78</v>
      </c>
      <c r="R2" s="2" t="s">
        <v>79</v>
      </c>
      <c r="S2" s="2" t="s">
        <v>80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  <c r="Z2" s="2" t="s">
        <v>87</v>
      </c>
      <c r="AA2" s="2" t="s">
        <v>88</v>
      </c>
      <c r="AB2" s="2" t="s">
        <v>89</v>
      </c>
      <c r="AC2" s="2" t="s">
        <v>90</v>
      </c>
      <c r="AD2" s="2" t="s">
        <v>91</v>
      </c>
      <c r="AE2" s="2" t="s">
        <v>96</v>
      </c>
      <c r="AF2" s="2" t="s">
        <v>97</v>
      </c>
      <c r="AI2">
        <v>2008</v>
      </c>
      <c r="AJ2">
        <v>2009</v>
      </c>
      <c r="AK2">
        <v>2010</v>
      </c>
      <c r="AL2">
        <v>2011</v>
      </c>
      <c r="AM2">
        <f>AL2+1</f>
        <v>2012</v>
      </c>
      <c r="AN2">
        <f t="shared" ref="AN2:BA2" si="0">AM2+1</f>
        <v>2013</v>
      </c>
      <c r="AO2">
        <f t="shared" si="0"/>
        <v>2014</v>
      </c>
      <c r="AP2">
        <f t="shared" si="0"/>
        <v>2015</v>
      </c>
      <c r="AQ2">
        <f t="shared" si="0"/>
        <v>2016</v>
      </c>
      <c r="AR2">
        <f t="shared" si="0"/>
        <v>2017</v>
      </c>
      <c r="AS2">
        <f t="shared" si="0"/>
        <v>2018</v>
      </c>
      <c r="AT2">
        <f t="shared" si="0"/>
        <v>2019</v>
      </c>
      <c r="AU2">
        <f t="shared" si="0"/>
        <v>2020</v>
      </c>
      <c r="AV2">
        <f t="shared" si="0"/>
        <v>2021</v>
      </c>
      <c r="AW2">
        <f t="shared" si="0"/>
        <v>2022</v>
      </c>
      <c r="AX2">
        <f t="shared" si="0"/>
        <v>2023</v>
      </c>
      <c r="AY2">
        <f t="shared" si="0"/>
        <v>2024</v>
      </c>
      <c r="AZ2">
        <f t="shared" si="0"/>
        <v>2025</v>
      </c>
      <c r="BA2">
        <f t="shared" si="0"/>
        <v>2026</v>
      </c>
      <c r="BB2">
        <f t="shared" ref="BB2" si="1">BA2+1</f>
        <v>2027</v>
      </c>
      <c r="BC2">
        <f t="shared" ref="BC2" si="2">BB2+1</f>
        <v>2028</v>
      </c>
      <c r="BD2">
        <f t="shared" ref="BD2" si="3">BC2+1</f>
        <v>2029</v>
      </c>
      <c r="BE2">
        <f t="shared" ref="BE2" si="4">BD2+1</f>
        <v>2030</v>
      </c>
      <c r="BF2">
        <f t="shared" ref="BF2" si="5">BE2+1</f>
        <v>2031</v>
      </c>
      <c r="BG2">
        <f t="shared" ref="BG2" si="6">BF2+1</f>
        <v>2032</v>
      </c>
      <c r="BH2">
        <f t="shared" ref="BH2" si="7">BG2+1</f>
        <v>2033</v>
      </c>
      <c r="BI2">
        <f t="shared" ref="BI2" si="8">BH2+1</f>
        <v>2034</v>
      </c>
      <c r="BJ2">
        <f t="shared" ref="BJ2" si="9">BI2+1</f>
        <v>2035</v>
      </c>
    </row>
    <row r="3" spans="1:62" s="4" customFormat="1" x14ac:dyDescent="0.2">
      <c r="B3" s="4" t="s">
        <v>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W3" s="4">
        <v>2511</v>
      </c>
    </row>
    <row r="4" spans="1:62" s="4" customFormat="1" x14ac:dyDescent="0.2">
      <c r="B4" s="4" t="s">
        <v>104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W4" s="4">
        <v>1513</v>
      </c>
    </row>
    <row r="5" spans="1:62" s="4" customFormat="1" x14ac:dyDescent="0.2">
      <c r="B5" s="5" t="s">
        <v>34</v>
      </c>
      <c r="C5" s="12">
        <v>451</v>
      </c>
      <c r="D5" s="12">
        <f>+AJ5-C5</f>
        <v>461</v>
      </c>
      <c r="E5" s="12">
        <v>494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I5" s="4">
        <v>731</v>
      </c>
      <c r="AJ5" s="4">
        <v>912</v>
      </c>
      <c r="AW5" s="4">
        <f>+AW4+AW3</f>
        <v>4024</v>
      </c>
    </row>
    <row r="6" spans="1:62" s="4" customFormat="1" x14ac:dyDescent="0.2">
      <c r="B6" s="5" t="s">
        <v>32</v>
      </c>
      <c r="C6" s="12">
        <v>260</v>
      </c>
      <c r="D6" s="12">
        <f>+AJ6-C6</f>
        <v>257</v>
      </c>
      <c r="E6" s="12">
        <v>283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I6" s="4">
        <v>525</v>
      </c>
      <c r="AJ6" s="4">
        <v>517</v>
      </c>
      <c r="AW6" s="4">
        <v>407</v>
      </c>
    </row>
    <row r="7" spans="1:62" s="4" customFormat="1" x14ac:dyDescent="0.2">
      <c r="B7" s="5" t="s">
        <v>33</v>
      </c>
      <c r="C7" s="12">
        <v>220</v>
      </c>
      <c r="D7" s="12">
        <f>+AJ7-C7</f>
        <v>214</v>
      </c>
      <c r="E7" s="12">
        <v>247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I7" s="4">
        <v>407</v>
      </c>
      <c r="AJ7" s="4">
        <v>434</v>
      </c>
      <c r="AW7" s="4">
        <v>759</v>
      </c>
    </row>
    <row r="8" spans="1:62" s="4" customFormat="1" x14ac:dyDescent="0.2">
      <c r="B8" s="5" t="s">
        <v>35</v>
      </c>
      <c r="C8" s="12">
        <v>133</v>
      </c>
      <c r="D8" s="12">
        <f>+AJ8-C8</f>
        <v>134</v>
      </c>
      <c r="E8" s="12">
        <v>147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I8" s="4">
        <v>229</v>
      </c>
      <c r="AJ8" s="4">
        <v>267</v>
      </c>
      <c r="AW8" s="4">
        <v>1072</v>
      </c>
    </row>
    <row r="9" spans="1:62" s="4" customFormat="1" x14ac:dyDescent="0.2">
      <c r="B9" s="5" t="s">
        <v>105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W9" s="4">
        <v>924</v>
      </c>
    </row>
    <row r="10" spans="1:62" s="4" customFormat="1" x14ac:dyDescent="0.2">
      <c r="B10" s="5" t="s">
        <v>106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W10" s="4">
        <v>868</v>
      </c>
    </row>
    <row r="11" spans="1:62" s="4" customFormat="1" x14ac:dyDescent="0.2">
      <c r="B11" s="5" t="s">
        <v>107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W11" s="4">
        <v>544</v>
      </c>
    </row>
    <row r="12" spans="1:62" s="4" customFormat="1" x14ac:dyDescent="0.2">
      <c r="B12" s="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62" s="4" customFormat="1" x14ac:dyDescent="0.2">
      <c r="B13" s="5" t="s">
        <v>109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W13" s="4">
        <v>228</v>
      </c>
    </row>
    <row r="14" spans="1:62" s="4" customFormat="1" x14ac:dyDescent="0.2">
      <c r="B14" s="5" t="s">
        <v>110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W14" s="4">
        <v>486</v>
      </c>
    </row>
    <row r="15" spans="1:62" s="4" customFormat="1" x14ac:dyDescent="0.2">
      <c r="B15" s="5" t="s">
        <v>111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W15" s="4">
        <v>885</v>
      </c>
    </row>
    <row r="16" spans="1:62" s="4" customFormat="1" x14ac:dyDescent="0.2">
      <c r="B16" s="5" t="s">
        <v>108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W16" s="4">
        <f>178+25</f>
        <v>203</v>
      </c>
    </row>
    <row r="17" spans="2:62" s="4" customFormat="1" x14ac:dyDescent="0.2">
      <c r="B17" s="5" t="s">
        <v>112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W17" s="4">
        <v>162</v>
      </c>
    </row>
    <row r="18" spans="2:62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62" s="7" customFormat="1" x14ac:dyDescent="0.2">
      <c r="B19" s="7" t="s">
        <v>16</v>
      </c>
      <c r="C19" s="8">
        <v>2206.6550000000002</v>
      </c>
      <c r="D19" s="8">
        <f>AJ19-C19</f>
        <v>2415.7319999999995</v>
      </c>
      <c r="E19" s="8">
        <v>2317.3919999999998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I19" s="7">
        <v>3556.6619999999998</v>
      </c>
      <c r="AJ19" s="7">
        <v>4622.3869999999997</v>
      </c>
      <c r="AS19" s="7">
        <v>7915.3</v>
      </c>
      <c r="AT19" s="7">
        <v>8538.6</v>
      </c>
      <c r="AU19" s="7">
        <v>9150.7999999999993</v>
      </c>
      <c r="AV19" s="7">
        <v>10310</v>
      </c>
      <c r="AW19" s="7">
        <v>10561.9</v>
      </c>
      <c r="AX19" s="7">
        <f>SUM(AX5:AX17)</f>
        <v>0</v>
      </c>
      <c r="AY19" s="7">
        <f t="shared" ref="AY19:BJ19" si="10">SUM(AY5:AY17)</f>
        <v>0</v>
      </c>
      <c r="AZ19" s="7">
        <f t="shared" si="10"/>
        <v>0</v>
      </c>
      <c r="BA19" s="7">
        <f t="shared" si="10"/>
        <v>0</v>
      </c>
      <c r="BB19" s="7">
        <f t="shared" si="10"/>
        <v>0</v>
      </c>
      <c r="BC19" s="7">
        <f t="shared" si="10"/>
        <v>0</v>
      </c>
      <c r="BD19" s="7">
        <f t="shared" si="10"/>
        <v>0</v>
      </c>
      <c r="BE19" s="7">
        <f t="shared" si="10"/>
        <v>0</v>
      </c>
      <c r="BF19" s="7">
        <f t="shared" si="10"/>
        <v>0</v>
      </c>
      <c r="BG19" s="7">
        <f t="shared" si="10"/>
        <v>0</v>
      </c>
      <c r="BH19" s="7">
        <f t="shared" si="10"/>
        <v>0</v>
      </c>
      <c r="BI19" s="7">
        <f t="shared" si="10"/>
        <v>0</v>
      </c>
      <c r="BJ19" s="7">
        <f t="shared" si="10"/>
        <v>0</v>
      </c>
    </row>
    <row r="20" spans="2:62" s="4" customFormat="1" x14ac:dyDescent="0.2">
      <c r="B20" s="5" t="s">
        <v>21</v>
      </c>
      <c r="C20" s="6">
        <v>1192.431</v>
      </c>
      <c r="D20" s="12">
        <f>AJ20-C20</f>
        <v>1207.2889999999998</v>
      </c>
      <c r="E20" s="6">
        <v>1097.529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J20" s="4">
        <v>2399.7199999999998</v>
      </c>
      <c r="AS20" s="4">
        <v>3531.6</v>
      </c>
      <c r="AT20" s="4">
        <v>3761.2</v>
      </c>
      <c r="AU20" s="4">
        <v>3924.4</v>
      </c>
      <c r="AV20" s="4">
        <v>4466.7</v>
      </c>
      <c r="AW20" s="4">
        <v>4829.6000000000004</v>
      </c>
    </row>
    <row r="21" spans="2:62" s="4" customFormat="1" x14ac:dyDescent="0.2">
      <c r="B21" s="5" t="s">
        <v>22</v>
      </c>
      <c r="C21" s="6">
        <f>+C19-C20</f>
        <v>1014.2240000000002</v>
      </c>
      <c r="D21" s="6">
        <f>+D19-D20</f>
        <v>1208.4429999999998</v>
      </c>
      <c r="E21" s="6">
        <f>+E19-E20</f>
        <v>1219.8629999999998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J21" s="4">
        <f>+AJ19-AJ20</f>
        <v>2222.6669999999999</v>
      </c>
      <c r="AS21" s="4">
        <f t="shared" ref="AS21" si="11">+AS19-AS20</f>
        <v>4383.7000000000007</v>
      </c>
      <c r="AT21" s="4">
        <f>+AT19-AT20</f>
        <v>4777.4000000000005</v>
      </c>
      <c r="AU21" s="4">
        <f>AU19-AU20</f>
        <v>5226.3999999999996</v>
      </c>
      <c r="AV21" s="4">
        <f>AV19-AV20</f>
        <v>5843.3</v>
      </c>
      <c r="AW21" s="4">
        <f>AW19-AW20</f>
        <v>5732.2999999999993</v>
      </c>
    </row>
    <row r="22" spans="2:62" s="4" customFormat="1" x14ac:dyDescent="0.2">
      <c r="B22" s="5" t="s">
        <v>23</v>
      </c>
      <c r="C22" s="6">
        <v>153.03399999999999</v>
      </c>
      <c r="D22" s="12">
        <f>AJ22-C22</f>
        <v>158.58100000000002</v>
      </c>
      <c r="E22" s="6">
        <v>146.92400000000001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J22" s="4">
        <v>311.61500000000001</v>
      </c>
      <c r="AS22" s="4">
        <v>702.4</v>
      </c>
      <c r="AT22" s="4">
        <v>831.8</v>
      </c>
      <c r="AU22" s="4">
        <v>921.8</v>
      </c>
      <c r="AV22" s="4">
        <v>1001.4</v>
      </c>
      <c r="AW22" s="4">
        <v>1156.2</v>
      </c>
    </row>
    <row r="23" spans="2:62" s="4" customFormat="1" x14ac:dyDescent="0.2">
      <c r="B23" s="5" t="s">
        <v>24</v>
      </c>
      <c r="C23" s="6">
        <v>227.47800000000001</v>
      </c>
      <c r="D23" s="12">
        <f>AJ23-C23</f>
        <v>261.67199999999997</v>
      </c>
      <c r="E23" s="6">
        <v>226.17099999999999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J23" s="4">
        <v>489.15</v>
      </c>
      <c r="AS23" s="4">
        <v>786.2</v>
      </c>
      <c r="AT23" s="4">
        <v>866.8</v>
      </c>
      <c r="AU23" s="4">
        <v>896.2</v>
      </c>
      <c r="AV23" s="4">
        <v>980.2</v>
      </c>
      <c r="AW23" s="4">
        <v>960.7</v>
      </c>
    </row>
    <row r="24" spans="2:62" s="4" customFormat="1" x14ac:dyDescent="0.2">
      <c r="B24" s="5" t="s">
        <v>25</v>
      </c>
      <c r="C24" s="6">
        <v>121.86199999999999</v>
      </c>
      <c r="D24" s="12">
        <f>AJ24-C24</f>
        <v>285.40200000000004</v>
      </c>
      <c r="E24" s="6">
        <v>123.15900000000001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J24" s="4">
        <v>407.26400000000001</v>
      </c>
      <c r="AS24" s="4">
        <v>514.79999999999995</v>
      </c>
      <c r="AT24" s="4">
        <v>574.79999999999995</v>
      </c>
      <c r="AU24" s="4">
        <v>691.9</v>
      </c>
      <c r="AV24" s="4">
        <v>731.7</v>
      </c>
      <c r="AW24" s="4">
        <v>688</v>
      </c>
    </row>
    <row r="25" spans="2:62" s="4" customFormat="1" x14ac:dyDescent="0.2">
      <c r="B25" s="5" t="s">
        <v>26</v>
      </c>
      <c r="C25" s="6">
        <f>158.216-30.22</f>
        <v>127.99600000000001</v>
      </c>
      <c r="D25" s="12">
        <f>AJ25-C25</f>
        <v>-20.552999999999997</v>
      </c>
      <c r="E25" s="6">
        <f>97.581-9.846</f>
        <v>87.734999999999999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J25" s="4">
        <f>169.352-61.909</f>
        <v>107.44300000000001</v>
      </c>
    </row>
    <row r="26" spans="2:62" s="4" customFormat="1" x14ac:dyDescent="0.2">
      <c r="B26" s="5" t="s">
        <v>27</v>
      </c>
      <c r="C26" s="6">
        <f>C22+C23+C24-C25</f>
        <v>374.37800000000004</v>
      </c>
      <c r="D26" s="6">
        <f>D22+D23+D24-D25</f>
        <v>726.20799999999997</v>
      </c>
      <c r="E26" s="6">
        <f>E22+E23+E24-E25</f>
        <v>408.51900000000001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J26" s="6">
        <f>AJ22+AJ23+AJ24-AJ25</f>
        <v>1100.586</v>
      </c>
      <c r="AS26" s="4">
        <f t="shared" ref="AS26" si="12">SUM(AS22:AS24)</f>
        <v>2003.3999999999999</v>
      </c>
      <c r="AT26" s="4">
        <f>SUM(AT22:AT24)</f>
        <v>2273.3999999999996</v>
      </c>
      <c r="AU26" s="4">
        <f>SUM(AU22:AU24)</f>
        <v>2509.9</v>
      </c>
      <c r="AV26" s="4">
        <f>SUM(AV22:AV24)</f>
        <v>2713.3</v>
      </c>
      <c r="AW26" s="4">
        <f>SUM(AW22:AW24)</f>
        <v>2804.9</v>
      </c>
    </row>
    <row r="27" spans="2:62" s="4" customFormat="1" x14ac:dyDescent="0.2">
      <c r="B27" s="5" t="s">
        <v>28</v>
      </c>
      <c r="C27" s="6">
        <f>C21-C26</f>
        <v>639.84600000000012</v>
      </c>
      <c r="D27" s="6">
        <f>D21-D26</f>
        <v>482.23499999999979</v>
      </c>
      <c r="E27" s="6">
        <f>E21-E26</f>
        <v>811.34399999999982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J27" s="6">
        <f>AJ21-AJ26</f>
        <v>1122.0809999999999</v>
      </c>
      <c r="AS27" s="4">
        <f t="shared" ref="AS27" si="13">AS21-AS26</f>
        <v>2380.3000000000011</v>
      </c>
      <c r="AT27" s="4">
        <f>AT21-AT26</f>
        <v>2504.0000000000009</v>
      </c>
      <c r="AU27" s="4">
        <f>AU21-AU26</f>
        <v>2716.4999999999995</v>
      </c>
      <c r="AV27" s="4">
        <f>AV21-AV26</f>
        <v>3130</v>
      </c>
      <c r="AW27" s="4">
        <f>AW21-AW26</f>
        <v>2927.3999999999992</v>
      </c>
    </row>
    <row r="28" spans="2:62" s="4" customFormat="1" x14ac:dyDescent="0.2">
      <c r="B28" s="5" t="s">
        <v>92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J28" s="6"/>
      <c r="AS28" s="4">
        <f>-108.4+9.3</f>
        <v>-99.100000000000009</v>
      </c>
      <c r="AT28" s="4">
        <f>-176.7+13.8</f>
        <v>-162.89999999999998</v>
      </c>
      <c r="AU28" s="4">
        <f>-150.8+7</f>
        <v>-143.80000000000001</v>
      </c>
      <c r="AV28" s="4">
        <f>-170.8+3.9</f>
        <v>-166.9</v>
      </c>
      <c r="AW28" s="4">
        <f>-165.2+17.4</f>
        <v>-147.79999999999998</v>
      </c>
    </row>
    <row r="29" spans="2:62" s="4" customFormat="1" x14ac:dyDescent="0.2">
      <c r="B29" s="5" t="s">
        <v>93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J29" s="6"/>
      <c r="AS29" s="4">
        <f t="shared" ref="AS29" si="14">AS27+AS28</f>
        <v>2281.2000000000012</v>
      </c>
      <c r="AT29" s="4">
        <f>AT27+AT28</f>
        <v>2341.1000000000008</v>
      </c>
      <c r="AU29" s="4">
        <f>AU27+AU28</f>
        <v>2572.6999999999994</v>
      </c>
      <c r="AV29" s="4">
        <f>AV27+AV28</f>
        <v>2963.1</v>
      </c>
      <c r="AW29" s="4">
        <f>AW27+AW28</f>
        <v>2779.599999999999</v>
      </c>
    </row>
    <row r="30" spans="2:62" s="4" customFormat="1" x14ac:dyDescent="0.2">
      <c r="B30" s="5" t="s">
        <v>29</v>
      </c>
      <c r="C30" s="6">
        <v>137.989</v>
      </c>
      <c r="D30" s="12">
        <f>AJ30-C30</f>
        <v>85.825999999999993</v>
      </c>
      <c r="E30" s="6">
        <v>193.95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J30" s="4">
        <v>223.815</v>
      </c>
      <c r="AS30" s="4">
        <v>552.29999999999995</v>
      </c>
      <c r="AT30" s="4">
        <v>422.4</v>
      </c>
      <c r="AU30" s="4">
        <v>470.2</v>
      </c>
      <c r="AV30" s="4">
        <v>588.1</v>
      </c>
      <c r="AW30" s="4">
        <v>524.9</v>
      </c>
    </row>
    <row r="31" spans="2:62" s="4" customFormat="1" x14ac:dyDescent="0.2">
      <c r="B31" s="5" t="s">
        <v>30</v>
      </c>
      <c r="C31" s="6">
        <f>+C27-C30</f>
        <v>501.85700000000008</v>
      </c>
      <c r="D31" s="6">
        <f>+D27-D30</f>
        <v>396.40899999999976</v>
      </c>
      <c r="E31" s="6">
        <f>+E27-E30</f>
        <v>617.39399999999978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J31" s="6">
        <f>+AJ27-AJ30</f>
        <v>898.26599999999985</v>
      </c>
      <c r="AS31" s="4">
        <f t="shared" ref="AS31" si="15">AS29-AS30</f>
        <v>1728.9000000000012</v>
      </c>
      <c r="AT31" s="4">
        <f>AT29-AT30</f>
        <v>1918.7000000000007</v>
      </c>
      <c r="AU31" s="4">
        <f>AU29-AU30</f>
        <v>2102.4999999999995</v>
      </c>
      <c r="AV31" s="4">
        <f>AV29-AV30</f>
        <v>2375</v>
      </c>
      <c r="AW31" s="4">
        <f>AW29-AW30</f>
        <v>2254.6999999999989</v>
      </c>
    </row>
    <row r="32" spans="2:62" s="9" customFormat="1" x14ac:dyDescent="0.2">
      <c r="B32" s="9" t="s">
        <v>31</v>
      </c>
      <c r="C32" s="10">
        <f>+C31/C33</f>
        <v>0.85046300408995923</v>
      </c>
      <c r="D32" s="10">
        <f>+D31/D33</f>
        <v>0.66327492681548916</v>
      </c>
      <c r="E32" s="10">
        <f>+E31/E33</f>
        <v>1.0600336125949255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J32" s="10">
        <f>+AJ31/AJ33</f>
        <v>1.5029863484704999</v>
      </c>
      <c r="AS32" s="9">
        <f t="shared" ref="AS32" si="16">AS31/AS33</f>
        <v>3.8091850306462058</v>
      </c>
      <c r="AT32" s="9">
        <f>AT31/AT33</f>
        <v>4.2259526094930306</v>
      </c>
      <c r="AU32" s="9">
        <f>AU31/AU33</f>
        <v>4.6147429326995315</v>
      </c>
      <c r="AV32" s="9">
        <f>AV31/AV33</f>
        <v>5.2060065794760595</v>
      </c>
      <c r="AW32" s="9">
        <f>AW31/AW33</f>
        <v>4.7960382167520299</v>
      </c>
    </row>
    <row r="33" spans="2:49" s="4" customFormat="1" x14ac:dyDescent="0.2">
      <c r="B33" s="5" t="s">
        <v>0</v>
      </c>
      <c r="C33" s="6">
        <v>590.098567</v>
      </c>
      <c r="D33" s="6">
        <v>597.65413100000001</v>
      </c>
      <c r="E33" s="6">
        <v>582.42870100000005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J33" s="4">
        <v>597.65413100000001</v>
      </c>
      <c r="AS33" s="4">
        <v>453.87661300000002</v>
      </c>
      <c r="AT33" s="4">
        <v>454.02780799999999</v>
      </c>
      <c r="AU33" s="4">
        <v>455.60500999999999</v>
      </c>
      <c r="AV33" s="4">
        <v>456.20380299999999</v>
      </c>
      <c r="AW33" s="4">
        <v>470.117188</v>
      </c>
    </row>
    <row r="35" spans="2:49" s="4" customFormat="1" x14ac:dyDescent="0.2">
      <c r="B35" s="5" t="s">
        <v>94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S35" s="4">
        <v>1902.1</v>
      </c>
      <c r="AT35" s="4">
        <v>1644.4</v>
      </c>
      <c r="AU35" s="4">
        <v>2488.3000000000002</v>
      </c>
      <c r="AV35" s="4">
        <v>3621.9</v>
      </c>
      <c r="AW35" s="4">
        <v>2628.7</v>
      </c>
    </row>
    <row r="36" spans="2:49" x14ac:dyDescent="0.2">
      <c r="B36" s="5" t="s">
        <v>95</v>
      </c>
      <c r="AS36" s="4">
        <v>778.8</v>
      </c>
      <c r="AT36" s="4">
        <v>1117.5999999999999</v>
      </c>
      <c r="AU36" s="4">
        <v>1206.8</v>
      </c>
      <c r="AV36" s="4">
        <v>1196.3</v>
      </c>
      <c r="AW36" s="4">
        <v>1078.8</v>
      </c>
    </row>
    <row r="37" spans="2:49" x14ac:dyDescent="0.2">
      <c r="B37" s="5" t="s">
        <v>116</v>
      </c>
      <c r="AS37" s="4">
        <f t="shared" ref="AS37:AT37" si="17">+AS35-AS36</f>
        <v>1123.3</v>
      </c>
      <c r="AT37" s="4">
        <f t="shared" si="17"/>
        <v>526.80000000000018</v>
      </c>
      <c r="AU37" s="4">
        <f>+AU35-AU36</f>
        <v>1281.5000000000002</v>
      </c>
      <c r="AV37" s="4">
        <f>+AV35-AV36</f>
        <v>2425.6000000000004</v>
      </c>
      <c r="AW37" s="4">
        <f>+AW35-AW36</f>
        <v>1549.8999999999999</v>
      </c>
    </row>
    <row r="39" spans="2:49" x14ac:dyDescent="0.2">
      <c r="B39" s="5" t="s">
        <v>117</v>
      </c>
      <c r="AT39" s="14">
        <f t="shared" ref="AT39:AV39" si="18">AT19/AS19-1</f>
        <v>7.874622566421996E-2</v>
      </c>
      <c r="AU39" s="14">
        <f t="shared" si="18"/>
        <v>7.1697936429859555E-2</v>
      </c>
      <c r="AV39" s="14">
        <f t="shared" si="18"/>
        <v>0.1266774489662108</v>
      </c>
      <c r="AW39" s="14">
        <f>AW19/AV19-1</f>
        <v>2.4432589718719644E-2</v>
      </c>
    </row>
  </sheetData>
  <hyperlinks>
    <hyperlink ref="A1" location="Main!A1" display="Main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BA6-4B65-4711-929C-B9391A48EA8B}">
  <dimension ref="A1:C4"/>
  <sheetViews>
    <sheetView zoomScale="145" zoomScaleNormal="145" workbookViewId="0"/>
  </sheetViews>
  <sheetFormatPr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3" t="s">
        <v>15</v>
      </c>
    </row>
    <row r="2" spans="1:3" x14ac:dyDescent="0.2">
      <c r="B2" t="s">
        <v>100</v>
      </c>
      <c r="C2" t="s">
        <v>53</v>
      </c>
    </row>
    <row r="3" spans="1:3" x14ac:dyDescent="0.2">
      <c r="B3" t="s">
        <v>101</v>
      </c>
      <c r="C3" t="s">
        <v>102</v>
      </c>
    </row>
    <row r="4" spans="1:3" x14ac:dyDescent="0.2">
      <c r="B4" t="s">
        <v>5</v>
      </c>
      <c r="C4" t="s">
        <v>103</v>
      </c>
    </row>
  </sheetData>
  <hyperlinks>
    <hyperlink ref="A1" location="Main!A1" display="Main" xr:uid="{D14CF6E3-8A3D-4C60-8538-41848DB7E5F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7DD1E9-4570-4C5D-AEC3-37D82CF05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CB4BB-6234-4E6B-8AF1-174BA70561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B0DC62-5BCD-429F-A10A-38246373C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Idelvion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Martin Shkreli</cp:lastModifiedBy>
  <dcterms:created xsi:type="dcterms:W3CDTF">2008-03-16T22:32:49Z</dcterms:created>
  <dcterms:modified xsi:type="dcterms:W3CDTF">2024-08-31T05:50:35Z</dcterms:modified>
</cp:coreProperties>
</file>