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E5B8A3F-0F0E-4B3E-8047-F71B83154E3C}" xr6:coauthVersionLast="47" xr6:coauthVersionMax="47" xr10:uidLastSave="{00000000-0000-0000-0000-000000000000}"/>
  <bookViews>
    <workbookView xWindow="-22935" yWindow="2070" windowWidth="21960" windowHeight="18675" activeTab="1" xr2:uid="{02540D30-25A3-437A-B0E2-1FB6668503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M18" i="2"/>
  <c r="L10" i="2"/>
  <c r="K10" i="2"/>
  <c r="L6" i="2"/>
  <c r="K6" i="2"/>
  <c r="L17" i="2"/>
  <c r="M17" i="2"/>
  <c r="L2" i="2"/>
  <c r="K2" i="2" s="1"/>
  <c r="K5" i="2"/>
  <c r="K7" i="2" s="1"/>
  <c r="K19" i="2" s="1"/>
  <c r="L5" i="2"/>
  <c r="N18" i="2"/>
  <c r="N17" i="2"/>
  <c r="M10" i="2"/>
  <c r="M6" i="2"/>
  <c r="M5" i="2"/>
  <c r="M7" i="2" s="1"/>
  <c r="O18" i="2"/>
  <c r="O17" i="2"/>
  <c r="N10" i="2"/>
  <c r="N6" i="2"/>
  <c r="N5" i="2"/>
  <c r="R5" i="2"/>
  <c r="R7" i="2"/>
  <c r="R9" i="2" s="1"/>
  <c r="R11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M2" i="2"/>
  <c r="N2" i="2"/>
  <c r="Q69" i="2"/>
  <c r="P69" i="2"/>
  <c r="O69" i="2"/>
  <c r="Q10" i="2"/>
  <c r="P10" i="2"/>
  <c r="O10" i="2"/>
  <c r="P6" i="2"/>
  <c r="O6" i="2"/>
  <c r="Q6" i="2"/>
  <c r="Q5" i="2"/>
  <c r="P5" i="2"/>
  <c r="O5" i="2"/>
  <c r="P2" i="2"/>
  <c r="Q2" i="2" s="1"/>
  <c r="R2" i="2" s="1"/>
  <c r="S2" i="2" s="1"/>
  <c r="T2" i="2" s="1"/>
  <c r="H64" i="2"/>
  <c r="H57" i="2"/>
  <c r="H50" i="2"/>
  <c r="H51" i="2" s="1"/>
  <c r="H69" i="2" s="1"/>
  <c r="H36" i="2"/>
  <c r="L7" i="1"/>
  <c r="H39" i="2"/>
  <c r="H38" i="2"/>
  <c r="H37" i="2"/>
  <c r="L4" i="1"/>
  <c r="H23" i="2"/>
  <c r="D10" i="2"/>
  <c r="D6" i="2"/>
  <c r="H10" i="2"/>
  <c r="H6" i="2"/>
  <c r="G5" i="2"/>
  <c r="G7" i="2" s="1"/>
  <c r="G9" i="2" s="1"/>
  <c r="F5" i="2"/>
  <c r="F7" i="2" s="1"/>
  <c r="F9" i="2" s="1"/>
  <c r="E5" i="2"/>
  <c r="E7" i="2" s="1"/>
  <c r="E9" i="2" s="1"/>
  <c r="D5" i="2"/>
  <c r="H5" i="2"/>
  <c r="L7" i="2" l="1"/>
  <c r="K9" i="2"/>
  <c r="K11" i="2" s="1"/>
  <c r="K13" i="2" s="1"/>
  <c r="L19" i="2"/>
  <c r="L9" i="2"/>
  <c r="L11" i="2" s="1"/>
  <c r="L13" i="2" s="1"/>
  <c r="M19" i="2"/>
  <c r="M9" i="2"/>
  <c r="M11" i="2" s="1"/>
  <c r="M13" i="2" s="1"/>
  <c r="N7" i="2"/>
  <c r="N19" i="2" s="1"/>
  <c r="N9" i="2"/>
  <c r="N11" i="2" s="1"/>
  <c r="N13" i="2" s="1"/>
  <c r="P7" i="2"/>
  <c r="H66" i="2"/>
  <c r="Q17" i="2"/>
  <c r="P17" i="2"/>
  <c r="AM13" i="2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P19" i="2"/>
  <c r="P9" i="2"/>
  <c r="P11" i="2" s="1"/>
  <c r="P13" i="2" s="1"/>
  <c r="O7" i="2"/>
  <c r="Q7" i="2"/>
  <c r="H22" i="2"/>
  <c r="H41" i="2"/>
  <c r="H7" i="2"/>
  <c r="H33" i="2"/>
  <c r="H17" i="2"/>
  <c r="D7" i="2"/>
  <c r="D9" i="2" s="1"/>
  <c r="D11" i="2" s="1"/>
  <c r="D13" i="2" s="1"/>
  <c r="H19" i="2"/>
  <c r="H9" i="2"/>
  <c r="H11" i="2" s="1"/>
  <c r="H13" i="2" s="1"/>
  <c r="H44" i="2" s="1"/>
  <c r="T18" i="2" l="1"/>
  <c r="P44" i="2"/>
  <c r="Q19" i="2"/>
  <c r="Q9" i="2"/>
  <c r="Q11" i="2" s="1"/>
  <c r="Q13" i="2" s="1"/>
  <c r="O19" i="2"/>
  <c r="O9" i="2"/>
  <c r="O11" i="2" s="1"/>
  <c r="O13" i="2" s="1"/>
  <c r="O44" i="2" s="1"/>
  <c r="Q18" i="2" l="1"/>
  <c r="Q44" i="2"/>
  <c r="P18" i="2"/>
</calcChain>
</file>

<file path=xl/sharedStrings.xml><?xml version="1.0" encoding="utf-8"?>
<sst xmlns="http://schemas.openxmlformats.org/spreadsheetml/2006/main" count="69" uniqueCount="58">
  <si>
    <t>Price</t>
  </si>
  <si>
    <t>Shares</t>
  </si>
  <si>
    <t>MC</t>
  </si>
  <si>
    <t>Cash</t>
  </si>
  <si>
    <t>Debt</t>
  </si>
  <si>
    <t>EV</t>
  </si>
  <si>
    <t>Main</t>
  </si>
  <si>
    <t>Uniform</t>
  </si>
  <si>
    <t>Other</t>
  </si>
  <si>
    <t>Revenue</t>
  </si>
  <si>
    <t>COGS</t>
  </si>
  <si>
    <t>Gross Profit</t>
  </si>
  <si>
    <t>SG&amp;A</t>
  </si>
  <si>
    <t>Operating Income</t>
  </si>
  <si>
    <t>Gross Margin %</t>
  </si>
  <si>
    <t>Interest</t>
  </si>
  <si>
    <t>Pretax Income</t>
  </si>
  <si>
    <t>Taxes</t>
  </si>
  <si>
    <t>Net Income</t>
  </si>
  <si>
    <t>EPS</t>
  </si>
  <si>
    <t>Revenue y/y</t>
  </si>
  <si>
    <t>AR</t>
  </si>
  <si>
    <t>Inventories</t>
  </si>
  <si>
    <t>Prepaids</t>
  </si>
  <si>
    <t>PP&amp;E</t>
  </si>
  <si>
    <t>Goodwill</t>
  </si>
  <si>
    <t>Q224</t>
  </si>
  <si>
    <t>Assets</t>
  </si>
  <si>
    <t>ROU</t>
  </si>
  <si>
    <t>AP</t>
  </si>
  <si>
    <t>Accrued</t>
  </si>
  <si>
    <t>Leases</t>
  </si>
  <si>
    <t>Net Cash</t>
  </si>
  <si>
    <t>L+SE</t>
  </si>
  <si>
    <t>SE</t>
  </si>
  <si>
    <t>Model NI</t>
  </si>
  <si>
    <t>Reported NI</t>
  </si>
  <si>
    <t>CFFO</t>
  </si>
  <si>
    <t>WC</t>
  </si>
  <si>
    <t>Depreciation</t>
  </si>
  <si>
    <t>Amortization</t>
  </si>
  <si>
    <t>SBC</t>
  </si>
  <si>
    <t>DT</t>
  </si>
  <si>
    <t>CapEx</t>
  </si>
  <si>
    <t>FCF</t>
  </si>
  <si>
    <t>Investments</t>
  </si>
  <si>
    <t>Acquisitions</t>
  </si>
  <si>
    <t>CFFI</t>
  </si>
  <si>
    <t>Financing</t>
  </si>
  <si>
    <t>Dividends</t>
  </si>
  <si>
    <t>CIC</t>
  </si>
  <si>
    <t>FX</t>
  </si>
  <si>
    <t>CFFF</t>
  </si>
  <si>
    <t>Buyback</t>
  </si>
  <si>
    <t>Founded</t>
  </si>
  <si>
    <t>Earnings y/y</t>
  </si>
  <si>
    <t>Discount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</si>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</sst>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m/d/yy;@"/>
    <numFmt numFmtId="166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14" fontId="0" fillId="0" borderId="0" xfId="0" applyNumberFormat="1"/>
    <xf numFmtId="165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2" fillId="0" borderId="0" xfId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 applyFont="1"/>
    <xf numFmtId="0" fontId="0" fillId="0" borderId="0" xfId="0" applyFont="1"/>
    <xf numFmtId="166" fontId="0" fillId="0" borderId="0" xfId="0" applyNumberFormat="1"/>
    <xf numFmtId="9" fontId="1" fillId="0" borderId="0" xfId="0" applyNumberFormat="1" applyFont="1"/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6F1BACD-D47D-485E-8057-4851E334FF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4E16-FC0E-4827-8FA6-EC472923739E}">
  <dimension ref="K2:M10"/>
  <sheetViews>
    <sheetView zoomScale="160" zoomScaleNormal="160" workbookViewId="0">
      <selection activeCell="E5" sqref="E5"/>
    </sheetView>
  </sheetViews>
  <sheetFormatPr defaultRowHeight="12.75" x14ac:dyDescent="0.2"/>
  <sheetData>
    <row r="2" spans="11:13" x14ac:dyDescent="0.2">
      <c r="K2" t="s">
        <v>0</v>
      </c>
      <c r="L2" s="1">
        <v>209.67</v>
      </c>
    </row>
    <row r="3" spans="11:13" x14ac:dyDescent="0.2">
      <c r="K3" t="s">
        <v>1</v>
      </c>
      <c r="L3" s="4">
        <v>403.298633</v>
      </c>
      <c r="M3" s="9" t="s">
        <v>26</v>
      </c>
    </row>
    <row r="4" spans="11:13" x14ac:dyDescent="0.2">
      <c r="K4" s="11" t="s">
        <v>2</v>
      </c>
      <c r="L4" s="10">
        <f>+L2*L3</f>
        <v>84559.624381109999</v>
      </c>
    </row>
    <row r="5" spans="11:13" x14ac:dyDescent="0.2">
      <c r="K5" t="s">
        <v>3</v>
      </c>
      <c r="L5" s="4">
        <v>427</v>
      </c>
      <c r="M5" s="9" t="s">
        <v>26</v>
      </c>
    </row>
    <row r="6" spans="11:13" x14ac:dyDescent="0.2">
      <c r="K6" t="s">
        <v>4</v>
      </c>
      <c r="L6" s="4">
        <v>2642</v>
      </c>
      <c r="M6" s="9" t="s">
        <v>26</v>
      </c>
    </row>
    <row r="7" spans="11:13" x14ac:dyDescent="0.2">
      <c r="K7" s="11" t="s">
        <v>5</v>
      </c>
      <c r="L7" s="10">
        <f>+L4-L5+L6</f>
        <v>86774.624381109999</v>
      </c>
    </row>
    <row r="10" spans="11:13" x14ac:dyDescent="0.2">
      <c r="K10" t="s">
        <v>54</v>
      </c>
      <c r="L10">
        <v>1968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43F8-348C-499E-AE47-34E94AB2CEA1}">
  <dimension ref="A1:DB69"/>
  <sheetViews>
    <sheetView tabSelected="1" zoomScale="160" zoomScaleNormal="16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RowHeight="12.75" x14ac:dyDescent="0.2"/>
  <cols>
    <col min="1" max="1" width="5" bestFit="1" customWidth="1"/>
    <col min="2" max="2" width="16.7109375" customWidth="1"/>
    <col min="11" max="12" width="10.140625" customWidth="1"/>
    <col min="13" max="20" width="9.7109375" customWidth="1"/>
  </cols>
  <sheetData>
    <row r="1" spans="1:106" x14ac:dyDescent="0.2">
      <c r="A1" s="6" t="s">
        <v>6</v>
      </c>
    </row>
    <row r="2" spans="1:106" x14ac:dyDescent="0.2">
      <c r="D2" s="3">
        <v>45169</v>
      </c>
      <c r="H2" s="3">
        <v>45535</v>
      </c>
      <c r="K2" s="2">
        <f>+L2-365</f>
        <v>43251</v>
      </c>
      <c r="L2" s="2">
        <f>+M2-366</f>
        <v>43616</v>
      </c>
      <c r="M2" s="2">
        <f>+N2-365</f>
        <v>43982</v>
      </c>
      <c r="N2" s="2">
        <f>+O2-365</f>
        <v>44347</v>
      </c>
      <c r="O2" s="2">
        <v>44712</v>
      </c>
      <c r="P2" s="2">
        <f>+O2+365</f>
        <v>45077</v>
      </c>
      <c r="Q2" s="2">
        <f>+P2+365</f>
        <v>45442</v>
      </c>
      <c r="R2" s="2">
        <f>+Q2+365</f>
        <v>45807</v>
      </c>
      <c r="S2" s="2">
        <f>+R2+365</f>
        <v>46172</v>
      </c>
      <c r="T2" s="2">
        <f>+S2+365</f>
        <v>46537</v>
      </c>
    </row>
    <row r="3" spans="1:106" s="4" customFormat="1" x14ac:dyDescent="0.2">
      <c r="B3" s="4" t="s">
        <v>7</v>
      </c>
      <c r="D3" s="4">
        <v>1826.825</v>
      </c>
      <c r="H3" s="4">
        <v>1933.8389999999999</v>
      </c>
      <c r="K3" s="4">
        <v>5247.1239999999998</v>
      </c>
      <c r="L3" s="4">
        <v>5552.43</v>
      </c>
      <c r="M3" s="4">
        <v>5643.4939999999997</v>
      </c>
      <c r="N3" s="4">
        <v>5689.6319999999996</v>
      </c>
      <c r="O3" s="4">
        <v>6226.98</v>
      </c>
      <c r="P3" s="4">
        <v>6897.13</v>
      </c>
      <c r="Q3" s="4">
        <v>7465.1989999999996</v>
      </c>
    </row>
    <row r="4" spans="1:106" s="4" customFormat="1" x14ac:dyDescent="0.2">
      <c r="B4" s="4" t="s">
        <v>8</v>
      </c>
      <c r="D4" s="4">
        <v>515.505</v>
      </c>
      <c r="H4" s="4">
        <v>567.74800000000005</v>
      </c>
      <c r="K4" s="4">
        <v>1229.508</v>
      </c>
      <c r="L4" s="4">
        <v>1339.873</v>
      </c>
      <c r="M4" s="4">
        <v>1441.66</v>
      </c>
      <c r="N4" s="4">
        <v>1426.7080000000001</v>
      </c>
      <c r="O4" s="4">
        <v>1627.479</v>
      </c>
      <c r="P4" s="4">
        <v>1918.6389999999999</v>
      </c>
      <c r="Q4" s="4">
        <v>2131.4160000000002</v>
      </c>
    </row>
    <row r="5" spans="1:106" s="5" customFormat="1" x14ac:dyDescent="0.2">
      <c r="B5" s="5" t="s">
        <v>9</v>
      </c>
      <c r="D5" s="5">
        <f t="shared" ref="D5:G5" si="0">+D3+D4</f>
        <v>2342.33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+H3+H4</f>
        <v>2501.587</v>
      </c>
      <c r="K5" s="5">
        <f>+K3+K4</f>
        <v>6476.6319999999996</v>
      </c>
      <c r="L5" s="5">
        <f>+L3+L4</f>
        <v>6892.3029999999999</v>
      </c>
      <c r="M5" s="5">
        <f>+M3+M4</f>
        <v>7085.1539999999995</v>
      </c>
      <c r="N5" s="5">
        <f>+N3+N4</f>
        <v>7116.34</v>
      </c>
      <c r="O5" s="5">
        <f>+O3+O4</f>
        <v>7854.4589999999998</v>
      </c>
      <c r="P5" s="5">
        <f>+P3+P4</f>
        <v>8815.7690000000002</v>
      </c>
      <c r="Q5" s="5">
        <f>+Q3+Q4</f>
        <v>9596.6149999999998</v>
      </c>
      <c r="R5" s="5">
        <f>+R3+R4</f>
        <v>0</v>
      </c>
    </row>
    <row r="6" spans="1:106" s="4" customFormat="1" x14ac:dyDescent="0.2">
      <c r="B6" s="4" t="s">
        <v>10</v>
      </c>
      <c r="D6" s="4">
        <f>947.583+253.176</f>
        <v>1200.759</v>
      </c>
      <c r="H6" s="4">
        <f>981.163+268.293</f>
        <v>1249.4560000000001</v>
      </c>
      <c r="K6" s="4">
        <f>2886.959+681.15</f>
        <v>3568.1089999999999</v>
      </c>
      <c r="L6" s="4">
        <f>3027.599+736.116</f>
        <v>3763.7150000000001</v>
      </c>
      <c r="M6" s="4">
        <f>3055.145+796.227</f>
        <v>3851.3719999999998</v>
      </c>
      <c r="N6" s="4">
        <f>2983.514+818.175</f>
        <v>3801.6890000000003</v>
      </c>
      <c r="O6" s="4">
        <f>3316.433+905.78</f>
        <v>4222.2129999999997</v>
      </c>
      <c r="P6" s="4">
        <f>3632.175+1010.226</f>
        <v>4642.4009999999998</v>
      </c>
      <c r="Q6" s="4">
        <f>3865.071+1045.128</f>
        <v>4910.1989999999996</v>
      </c>
    </row>
    <row r="7" spans="1:106" s="4" customFormat="1" x14ac:dyDescent="0.2">
      <c r="B7" s="4" t="s">
        <v>11</v>
      </c>
      <c r="D7" s="4">
        <f t="shared" ref="D7:G7" si="1">+D5-D6</f>
        <v>1141.5709999999999</v>
      </c>
      <c r="E7" s="4">
        <f t="shared" si="1"/>
        <v>0</v>
      </c>
      <c r="F7" s="4">
        <f t="shared" si="1"/>
        <v>0</v>
      </c>
      <c r="G7" s="4">
        <f t="shared" si="1"/>
        <v>0</v>
      </c>
      <c r="H7" s="4">
        <f>+H5-H6</f>
        <v>1252.1309999999999</v>
      </c>
      <c r="K7" s="4">
        <f>+K5-K6</f>
        <v>2908.5229999999997</v>
      </c>
      <c r="L7" s="4">
        <f>+L5-L6</f>
        <v>3128.5879999999997</v>
      </c>
      <c r="M7" s="4">
        <f>+M5-M6</f>
        <v>3233.7819999999997</v>
      </c>
      <c r="N7" s="4">
        <f>+N5-N6</f>
        <v>3314.6509999999998</v>
      </c>
      <c r="O7" s="4">
        <f>+O5-O6</f>
        <v>3632.2460000000001</v>
      </c>
      <c r="P7" s="4">
        <f>+P5-P6</f>
        <v>4173.3680000000004</v>
      </c>
      <c r="Q7" s="4">
        <f>+Q5-Q6</f>
        <v>4686.4160000000002</v>
      </c>
      <c r="R7" s="4">
        <f>+R5-R6</f>
        <v>0</v>
      </c>
    </row>
    <row r="8" spans="1:106" s="4" customFormat="1" x14ac:dyDescent="0.2">
      <c r="B8" s="4" t="s">
        <v>12</v>
      </c>
      <c r="D8" s="4">
        <v>641.01499999999999</v>
      </c>
      <c r="H8" s="4">
        <v>691.1</v>
      </c>
      <c r="K8" s="4">
        <v>1916.7919999999999</v>
      </c>
      <c r="L8" s="4">
        <v>1980.644</v>
      </c>
      <c r="M8" s="4">
        <v>2071.0520000000001</v>
      </c>
      <c r="N8" s="4">
        <v>1929.1590000000001</v>
      </c>
      <c r="O8" s="4">
        <v>2044.876</v>
      </c>
      <c r="P8" s="4">
        <v>2370.7040000000002</v>
      </c>
      <c r="Q8" s="4">
        <v>2617.7829999999999</v>
      </c>
    </row>
    <row r="9" spans="1:106" s="4" customFormat="1" x14ac:dyDescent="0.2">
      <c r="B9" s="4" t="s">
        <v>13</v>
      </c>
      <c r="D9" s="4">
        <f t="shared" ref="D9:G9" si="2">+D7-D8</f>
        <v>500.55599999999993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>+H7-H8</f>
        <v>561.03099999999984</v>
      </c>
      <c r="K9" s="4">
        <f>+K7-K8</f>
        <v>991.73099999999977</v>
      </c>
      <c r="L9" s="4">
        <f>+L7-L8</f>
        <v>1147.9439999999997</v>
      </c>
      <c r="M9" s="4">
        <f>+M7-M8</f>
        <v>1162.7299999999996</v>
      </c>
      <c r="N9" s="4">
        <f>+N7-N8</f>
        <v>1385.4919999999997</v>
      </c>
      <c r="O9" s="4">
        <f>+O7-O8</f>
        <v>1587.3700000000001</v>
      </c>
      <c r="P9" s="4">
        <f>+P7-P8</f>
        <v>1802.6640000000002</v>
      </c>
      <c r="Q9" s="4">
        <f>+Q7-Q8</f>
        <v>2068.6330000000003</v>
      </c>
      <c r="R9" s="4">
        <f>+R7-R8</f>
        <v>0</v>
      </c>
    </row>
    <row r="10" spans="1:106" s="4" customFormat="1" x14ac:dyDescent="0.2">
      <c r="B10" s="4" t="s">
        <v>15</v>
      </c>
      <c r="D10" s="4">
        <f>-24.544+0.422</f>
        <v>-24.122</v>
      </c>
      <c r="H10" s="4">
        <f>-25.619+1.25</f>
        <v>-24.369</v>
      </c>
      <c r="K10" s="4">
        <f>-110.175+1.342</f>
        <v>-108.833</v>
      </c>
      <c r="L10" s="4">
        <f>-101.736+1.228</f>
        <v>-100.50800000000001</v>
      </c>
      <c r="M10" s="4">
        <f>-105.393+0.988</f>
        <v>-104.405</v>
      </c>
      <c r="N10" s="4">
        <f>-98.21+0.467</f>
        <v>-97.742999999999995</v>
      </c>
      <c r="O10" s="4">
        <f>-88.844+0.242</f>
        <v>-88.60199999999999</v>
      </c>
      <c r="P10" s="4">
        <f>-111.232+1.716</f>
        <v>-109.51600000000001</v>
      </c>
      <c r="Q10" s="4">
        <f>-100.74+5.742</f>
        <v>-94.99799999999999</v>
      </c>
    </row>
    <row r="11" spans="1:106" s="4" customFormat="1" x14ac:dyDescent="0.2">
      <c r="B11" s="4" t="s">
        <v>16</v>
      </c>
      <c r="D11" s="4">
        <f>+D9+D10</f>
        <v>476.43399999999991</v>
      </c>
      <c r="H11" s="4">
        <f>+H9+H10</f>
        <v>536.66199999999981</v>
      </c>
      <c r="K11" s="4">
        <f>+K9+K10</f>
        <v>882.8979999999998</v>
      </c>
      <c r="L11" s="4">
        <f>+L9+L10</f>
        <v>1047.4359999999997</v>
      </c>
      <c r="M11" s="4">
        <f>+M9+M10</f>
        <v>1058.3249999999996</v>
      </c>
      <c r="N11" s="4">
        <f>+N9+N10</f>
        <v>1287.7489999999998</v>
      </c>
      <c r="O11" s="4">
        <f>+O9+O10</f>
        <v>1498.768</v>
      </c>
      <c r="P11" s="4">
        <f>+P9+P10</f>
        <v>1693.1480000000001</v>
      </c>
      <c r="Q11" s="4">
        <f>+Q9+Q10</f>
        <v>1973.6350000000002</v>
      </c>
      <c r="R11" s="4">
        <f>+R9+R10</f>
        <v>0</v>
      </c>
    </row>
    <row r="12" spans="1:106" s="4" customFormat="1" x14ac:dyDescent="0.2">
      <c r="B12" s="4" t="s">
        <v>17</v>
      </c>
      <c r="D12" s="4">
        <v>91.349000000000004</v>
      </c>
      <c r="H12" s="4">
        <v>84.629000000000005</v>
      </c>
      <c r="K12" s="4">
        <v>57.069000000000003</v>
      </c>
      <c r="L12" s="4">
        <v>219.76400000000001</v>
      </c>
      <c r="M12" s="4">
        <v>181.93100000000001</v>
      </c>
      <c r="N12" s="4">
        <v>176.78100000000001</v>
      </c>
      <c r="O12" s="4">
        <v>263.01100000000002</v>
      </c>
      <c r="P12" s="4">
        <v>345.13799999999998</v>
      </c>
      <c r="Q12" s="4">
        <v>402.04300000000001</v>
      </c>
    </row>
    <row r="13" spans="1:106" s="4" customFormat="1" x14ac:dyDescent="0.2">
      <c r="B13" s="4" t="s">
        <v>18</v>
      </c>
      <c r="D13" s="4">
        <f>+D11-D12</f>
        <v>385.08499999999992</v>
      </c>
      <c r="H13" s="4">
        <f>+H11-H12</f>
        <v>452.03299999999979</v>
      </c>
      <c r="K13" s="4">
        <f>+K11-K12</f>
        <v>825.82899999999984</v>
      </c>
      <c r="L13" s="4">
        <f>+L11-L12</f>
        <v>827.67199999999968</v>
      </c>
      <c r="M13" s="4">
        <f>+M11-M12</f>
        <v>876.39399999999955</v>
      </c>
      <c r="N13" s="4">
        <f>+N11-N12</f>
        <v>1110.9679999999998</v>
      </c>
      <c r="O13" s="4">
        <f>+O11-O12</f>
        <v>1235.7570000000001</v>
      </c>
      <c r="P13" s="4">
        <f>+P11-P12</f>
        <v>1348.0100000000002</v>
      </c>
      <c r="Q13" s="4">
        <f>+Q11-Q12</f>
        <v>1571.5920000000001</v>
      </c>
      <c r="R13" s="4">
        <f>+R11-R12</f>
        <v>0</v>
      </c>
      <c r="S13" s="4">
        <f>+R13*1.15</f>
        <v>0</v>
      </c>
      <c r="T13" s="4">
        <f>+S13*1.15</f>
        <v>0</v>
      </c>
      <c r="U13" s="4">
        <f>+T13*1.15</f>
        <v>0</v>
      </c>
      <c r="V13" s="4">
        <f>+U13*1.15</f>
        <v>0</v>
      </c>
      <c r="W13" s="4">
        <f>+V13*1.1</f>
        <v>0</v>
      </c>
      <c r="X13" s="4">
        <f>+W13*1.1</f>
        <v>0</v>
      </c>
      <c r="Y13" s="4">
        <f>+X13*1.1</f>
        <v>0</v>
      </c>
      <c r="Z13" s="4">
        <f>+Y13*1.1</f>
        <v>0</v>
      </c>
      <c r="AA13" s="4">
        <f>+Z13*1.07</f>
        <v>0</v>
      </c>
      <c r="AB13" s="4">
        <f>+AA13*1.07</f>
        <v>0</v>
      </c>
      <c r="AC13" s="4">
        <f>+AB13*1.07</f>
        <v>0</v>
      </c>
      <c r="AD13" s="4">
        <f>+AC13*1.07</f>
        <v>0</v>
      </c>
      <c r="AE13" s="4">
        <f>+AD13*1.07</f>
        <v>0</v>
      </c>
      <c r="AF13" s="4">
        <f>+AE13*1.05</f>
        <v>0</v>
      </c>
      <c r="AG13" s="4">
        <f>+AF13*1.05</f>
        <v>0</v>
      </c>
      <c r="AH13" s="4">
        <f>+AG13*1.05</f>
        <v>0</v>
      </c>
      <c r="AI13" s="4">
        <f>+AH13*1.05</f>
        <v>0</v>
      </c>
      <c r="AJ13" s="4">
        <f>+AI13*1.05</f>
        <v>0</v>
      </c>
      <c r="AK13" s="4">
        <f>+AJ13*1.05</f>
        <v>0</v>
      </c>
      <c r="AL13" s="4">
        <f>+AK13*1.05</f>
        <v>0</v>
      </c>
      <c r="AM13" s="4">
        <f t="shared" ref="AM13:CN13" si="3">+AL13*1.03</f>
        <v>0</v>
      </c>
      <c r="AN13" s="4">
        <f t="shared" si="3"/>
        <v>0</v>
      </c>
      <c r="AO13" s="4">
        <f t="shared" si="3"/>
        <v>0</v>
      </c>
      <c r="AP13" s="4">
        <f t="shared" si="3"/>
        <v>0</v>
      </c>
      <c r="AQ13" s="4">
        <f t="shared" si="3"/>
        <v>0</v>
      </c>
      <c r="AR13" s="4">
        <f t="shared" si="3"/>
        <v>0</v>
      </c>
      <c r="AS13" s="4">
        <f t="shared" si="3"/>
        <v>0</v>
      </c>
      <c r="AT13" s="4">
        <f t="shared" si="3"/>
        <v>0</v>
      </c>
      <c r="AU13" s="4">
        <f t="shared" si="3"/>
        <v>0</v>
      </c>
      <c r="AV13" s="4">
        <f t="shared" si="3"/>
        <v>0</v>
      </c>
      <c r="AW13" s="4">
        <f t="shared" si="3"/>
        <v>0</v>
      </c>
      <c r="AX13" s="4">
        <f t="shared" si="3"/>
        <v>0</v>
      </c>
      <c r="AY13" s="4">
        <f t="shared" si="3"/>
        <v>0</v>
      </c>
      <c r="AZ13" s="4">
        <f t="shared" si="3"/>
        <v>0</v>
      </c>
      <c r="BA13" s="4">
        <f t="shared" si="3"/>
        <v>0</v>
      </c>
      <c r="BB13" s="4">
        <f t="shared" si="3"/>
        <v>0</v>
      </c>
      <c r="BC13" s="4">
        <f t="shared" si="3"/>
        <v>0</v>
      </c>
      <c r="BD13" s="4">
        <f t="shared" si="3"/>
        <v>0</v>
      </c>
      <c r="BE13" s="4">
        <f t="shared" si="3"/>
        <v>0</v>
      </c>
      <c r="BF13" s="4">
        <f t="shared" si="3"/>
        <v>0</v>
      </c>
      <c r="BG13" s="4">
        <f t="shared" si="3"/>
        <v>0</v>
      </c>
      <c r="BH13" s="4">
        <f t="shared" si="3"/>
        <v>0</v>
      </c>
      <c r="BI13" s="4">
        <f t="shared" si="3"/>
        <v>0</v>
      </c>
      <c r="BJ13" s="4">
        <f t="shared" si="3"/>
        <v>0</v>
      </c>
      <c r="BK13" s="4">
        <f t="shared" si="3"/>
        <v>0</v>
      </c>
      <c r="BL13" s="4">
        <f t="shared" si="3"/>
        <v>0</v>
      </c>
      <c r="BM13" s="4">
        <f t="shared" si="3"/>
        <v>0</v>
      </c>
      <c r="BN13" s="4">
        <f t="shared" si="3"/>
        <v>0</v>
      </c>
      <c r="BO13" s="4">
        <f t="shared" si="3"/>
        <v>0</v>
      </c>
      <c r="BP13" s="4">
        <f t="shared" si="3"/>
        <v>0</v>
      </c>
      <c r="BQ13" s="4">
        <f t="shared" si="3"/>
        <v>0</v>
      </c>
      <c r="BR13" s="4">
        <f t="shared" si="3"/>
        <v>0</v>
      </c>
      <c r="BS13" s="4">
        <f t="shared" si="3"/>
        <v>0</v>
      </c>
      <c r="BT13" s="4">
        <f t="shared" si="3"/>
        <v>0</v>
      </c>
      <c r="BU13" s="4">
        <f t="shared" si="3"/>
        <v>0</v>
      </c>
      <c r="BV13" s="4">
        <f t="shared" si="3"/>
        <v>0</v>
      </c>
      <c r="BW13" s="4">
        <f t="shared" si="3"/>
        <v>0</v>
      </c>
      <c r="BX13" s="4">
        <f t="shared" si="3"/>
        <v>0</v>
      </c>
      <c r="BY13" s="4">
        <f t="shared" si="3"/>
        <v>0</v>
      </c>
      <c r="BZ13" s="4">
        <f t="shared" si="3"/>
        <v>0</v>
      </c>
      <c r="CA13" s="4">
        <f t="shared" si="3"/>
        <v>0</v>
      </c>
      <c r="CB13" s="4">
        <f t="shared" si="3"/>
        <v>0</v>
      </c>
      <c r="CC13" s="4">
        <f t="shared" si="3"/>
        <v>0</v>
      </c>
      <c r="CD13" s="4">
        <f t="shared" si="3"/>
        <v>0</v>
      </c>
      <c r="CE13" s="4">
        <f t="shared" si="3"/>
        <v>0</v>
      </c>
      <c r="CF13" s="4">
        <f t="shared" si="3"/>
        <v>0</v>
      </c>
      <c r="CG13" s="4">
        <f t="shared" si="3"/>
        <v>0</v>
      </c>
      <c r="CH13" s="4">
        <f t="shared" si="3"/>
        <v>0</v>
      </c>
      <c r="CI13" s="4">
        <f t="shared" si="3"/>
        <v>0</v>
      </c>
      <c r="CJ13" s="4">
        <f t="shared" si="3"/>
        <v>0</v>
      </c>
      <c r="CK13" s="4">
        <f t="shared" si="3"/>
        <v>0</v>
      </c>
      <c r="CL13" s="4">
        <f t="shared" si="3"/>
        <v>0</v>
      </c>
      <c r="CM13" s="4">
        <f t="shared" si="3"/>
        <v>0</v>
      </c>
      <c r="CN13" s="4">
        <f t="shared" si="3"/>
        <v>0</v>
      </c>
      <c r="CO13" s="4">
        <f t="shared" ref="CO13:DB13" si="4">+CN13*1.03</f>
        <v>0</v>
      </c>
      <c r="CP13" s="4">
        <f t="shared" si="4"/>
        <v>0</v>
      </c>
      <c r="CQ13" s="4">
        <f t="shared" si="4"/>
        <v>0</v>
      </c>
      <c r="CR13" s="4">
        <f t="shared" si="4"/>
        <v>0</v>
      </c>
      <c r="CS13" s="4">
        <f t="shared" si="4"/>
        <v>0</v>
      </c>
      <c r="CT13" s="4">
        <f t="shared" si="4"/>
        <v>0</v>
      </c>
      <c r="CU13" s="4">
        <f t="shared" si="4"/>
        <v>0</v>
      </c>
      <c r="CV13" s="4">
        <f t="shared" si="4"/>
        <v>0</v>
      </c>
      <c r="CW13" s="4">
        <f t="shared" si="4"/>
        <v>0</v>
      </c>
      <c r="CX13" s="4">
        <f t="shared" si="4"/>
        <v>0</v>
      </c>
      <c r="CY13" s="4">
        <f t="shared" si="4"/>
        <v>0</v>
      </c>
      <c r="CZ13" s="4">
        <f t="shared" si="4"/>
        <v>0</v>
      </c>
      <c r="DA13" s="4">
        <f t="shared" si="4"/>
        <v>0</v>
      </c>
      <c r="DB13" s="4">
        <f t="shared" si="4"/>
        <v>0</v>
      </c>
    </row>
    <row r="14" spans="1:106" x14ac:dyDescent="0.2">
      <c r="B14" s="4" t="s">
        <v>19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106" x14ac:dyDescent="0.2">
      <c r="B15" s="4" t="s">
        <v>1</v>
      </c>
    </row>
    <row r="17" spans="1:20" x14ac:dyDescent="0.2">
      <c r="B17" s="4" t="s">
        <v>20</v>
      </c>
      <c r="H17" s="7">
        <f>+H5/D5-1</f>
        <v>6.7990846720999976E-2</v>
      </c>
      <c r="L17" s="13">
        <f t="shared" ref="L17:O17" si="5">+L5/K5-1</f>
        <v>6.418011707319482E-2</v>
      </c>
      <c r="M17" s="13">
        <f t="shared" si="5"/>
        <v>2.7980632888600532E-2</v>
      </c>
      <c r="N17" s="13">
        <f t="shared" si="5"/>
        <v>4.4015980457166037E-3</v>
      </c>
      <c r="O17" s="13">
        <f>+O5/N5-1</f>
        <v>0.1037217165003359</v>
      </c>
      <c r="P17" s="13">
        <f>+P5/O5-1</f>
        <v>0.12239035177343216</v>
      </c>
      <c r="Q17" s="13">
        <f>+Q5/P5-1</f>
        <v>8.8573781822096187E-2</v>
      </c>
      <c r="S17" t="s">
        <v>56</v>
      </c>
      <c r="T17" s="12">
        <v>0.08</v>
      </c>
    </row>
    <row r="18" spans="1:20" x14ac:dyDescent="0.2">
      <c r="B18" s="4" t="s">
        <v>55</v>
      </c>
      <c r="H18" s="7"/>
      <c r="L18" s="14">
        <f t="shared" ref="L18:O18" si="6">+L13/K13-1</f>
        <v>2.2316968767139844E-3</v>
      </c>
      <c r="M18" s="14">
        <f t="shared" si="6"/>
        <v>5.8866314192095315E-2</v>
      </c>
      <c r="N18" s="14">
        <f t="shared" si="6"/>
        <v>0.26765815375276469</v>
      </c>
      <c r="O18" s="7">
        <f>+O13/N13-1</f>
        <v>0.11232456740428187</v>
      </c>
      <c r="P18" s="7">
        <f>+P13/O13-1</f>
        <v>9.0837438104740764E-2</v>
      </c>
      <c r="Q18" s="7">
        <f>+Q13/P13-1</f>
        <v>0.16586078738288279</v>
      </c>
      <c r="S18" t="s">
        <v>57</v>
      </c>
      <c r="T18" s="4">
        <f>NPV(T17,R13:DB13)</f>
        <v>0</v>
      </c>
    </row>
    <row r="19" spans="1:20" x14ac:dyDescent="0.2">
      <c r="B19" t="s">
        <v>14</v>
      </c>
      <c r="H19" s="7">
        <f>+H7/H5</f>
        <v>0.50053466059745266</v>
      </c>
      <c r="K19" s="7">
        <f>+K7/K5</f>
        <v>0.44907955245874703</v>
      </c>
      <c r="L19" s="7">
        <f>+L7/L5</f>
        <v>0.45392490724798368</v>
      </c>
      <c r="M19" s="7">
        <f>+M7/M5</f>
        <v>0.45641661423308511</v>
      </c>
      <c r="N19" s="7">
        <f>+N7/N5</f>
        <v>0.46578030279610022</v>
      </c>
      <c r="O19" s="7">
        <f>+O7/O5</f>
        <v>0.46244381694525366</v>
      </c>
      <c r="P19" s="7">
        <f>+P7/P5</f>
        <v>0.47339806657819644</v>
      </c>
      <c r="Q19" s="7">
        <f>+Q7/Q5</f>
        <v>0.48834052423693147</v>
      </c>
    </row>
    <row r="22" spans="1:20" x14ac:dyDescent="0.2">
      <c r="B22" t="s">
        <v>32</v>
      </c>
      <c r="H22" s="5">
        <f>+H23-H39</f>
        <v>-2215.1260000000002</v>
      </c>
    </row>
    <row r="23" spans="1:20" s="4" customFormat="1" x14ac:dyDescent="0.2">
      <c r="B23" s="4" t="s">
        <v>3</v>
      </c>
      <c r="H23" s="4">
        <f>101.373+325.651</f>
        <v>427.024</v>
      </c>
    </row>
    <row r="24" spans="1:20" s="4" customFormat="1" x14ac:dyDescent="0.2">
      <c r="B24" s="4" t="s">
        <v>21</v>
      </c>
      <c r="H24" s="4">
        <v>1293.7909999999999</v>
      </c>
    </row>
    <row r="25" spans="1:20" x14ac:dyDescent="0.2">
      <c r="B25" t="s">
        <v>22</v>
      </c>
      <c r="H25" s="4">
        <v>399.07799999999997</v>
      </c>
    </row>
    <row r="26" spans="1:20" x14ac:dyDescent="0.2">
      <c r="B26" t="s">
        <v>7</v>
      </c>
      <c r="H26" s="4">
        <v>1061.0650000000001</v>
      </c>
    </row>
    <row r="27" spans="1:20" x14ac:dyDescent="0.2">
      <c r="B27" t="s">
        <v>23</v>
      </c>
      <c r="H27" s="4">
        <v>188.08500000000001</v>
      </c>
    </row>
    <row r="28" spans="1:20" x14ac:dyDescent="0.2">
      <c r="A28" s="8"/>
      <c r="B28" s="8" t="s">
        <v>24</v>
      </c>
      <c r="C28" s="8"/>
      <c r="D28" s="8"/>
      <c r="E28" s="8"/>
      <c r="F28" s="8"/>
      <c r="G28" s="8"/>
      <c r="H28" s="10">
        <v>1554.64</v>
      </c>
    </row>
    <row r="29" spans="1:20" x14ac:dyDescent="0.2">
      <c r="B29" t="s">
        <v>25</v>
      </c>
      <c r="H29" s="4">
        <v>3223.5279999999998</v>
      </c>
    </row>
    <row r="30" spans="1:20" x14ac:dyDescent="0.2">
      <c r="H30" s="4">
        <v>311.19900000000001</v>
      </c>
    </row>
    <row r="31" spans="1:20" x14ac:dyDescent="0.2">
      <c r="B31" t="s">
        <v>28</v>
      </c>
      <c r="H31" s="4">
        <v>190.965</v>
      </c>
    </row>
    <row r="32" spans="1:20" x14ac:dyDescent="0.2">
      <c r="B32" t="s">
        <v>8</v>
      </c>
      <c r="H32" s="4">
        <v>419.33199999999999</v>
      </c>
    </row>
    <row r="33" spans="2:17" x14ac:dyDescent="0.2">
      <c r="B33" t="s">
        <v>27</v>
      </c>
      <c r="H33" s="4">
        <f>SUM(H23:H32)</f>
        <v>9068.7070000000003</v>
      </c>
    </row>
    <row r="35" spans="2:17" x14ac:dyDescent="0.2">
      <c r="B35" t="s">
        <v>29</v>
      </c>
      <c r="H35" s="4">
        <v>395.93099999999998</v>
      </c>
    </row>
    <row r="36" spans="2:17" x14ac:dyDescent="0.2">
      <c r="B36" t="s">
        <v>30</v>
      </c>
      <c r="H36" s="4">
        <f>125.004+717.093+412.141</f>
        <v>1254.2380000000001</v>
      </c>
    </row>
    <row r="37" spans="2:17" x14ac:dyDescent="0.2">
      <c r="B37" t="s">
        <v>17</v>
      </c>
      <c r="H37" s="4">
        <f>84.622+474.461</f>
        <v>559.08299999999997</v>
      </c>
    </row>
    <row r="38" spans="2:17" x14ac:dyDescent="0.2">
      <c r="B38" t="s">
        <v>31</v>
      </c>
      <c r="H38" s="4">
        <f>46.537+149.345</f>
        <v>195.88200000000001</v>
      </c>
    </row>
    <row r="39" spans="2:17" x14ac:dyDescent="0.2">
      <c r="B39" t="s">
        <v>4</v>
      </c>
      <c r="H39" s="5">
        <f>2026.448+615.702</f>
        <v>2642.15</v>
      </c>
    </row>
    <row r="40" spans="2:17" x14ac:dyDescent="0.2">
      <c r="B40" t="s">
        <v>34</v>
      </c>
      <c r="H40" s="4">
        <v>4021.4229999999998</v>
      </c>
    </row>
    <row r="41" spans="2:17" x14ac:dyDescent="0.2">
      <c r="B41" t="s">
        <v>33</v>
      </c>
      <c r="H41" s="4">
        <f>SUM(H35:H40)</f>
        <v>9068.7069999999985</v>
      </c>
    </row>
    <row r="44" spans="2:17" x14ac:dyDescent="0.2">
      <c r="B44" t="s">
        <v>35</v>
      </c>
      <c r="H44" s="4">
        <f>+H13</f>
        <v>452.03299999999979</v>
      </c>
      <c r="O44" s="4">
        <f t="shared" ref="O44:Q44" si="7">+O13</f>
        <v>1235.7570000000001</v>
      </c>
      <c r="P44" s="4">
        <f t="shared" si="7"/>
        <v>1348.0100000000002</v>
      </c>
      <c r="Q44" s="4">
        <f t="shared" si="7"/>
        <v>1571.5920000000001</v>
      </c>
    </row>
    <row r="45" spans="2:17" x14ac:dyDescent="0.2">
      <c r="B45" t="s">
        <v>36</v>
      </c>
      <c r="H45" s="10">
        <v>452.03300000000002</v>
      </c>
    </row>
    <row r="46" spans="2:17" x14ac:dyDescent="0.2">
      <c r="B46" t="s">
        <v>39</v>
      </c>
      <c r="H46" s="4">
        <v>73.837999999999994</v>
      </c>
    </row>
    <row r="47" spans="2:17" x14ac:dyDescent="0.2">
      <c r="B47" t="s">
        <v>40</v>
      </c>
      <c r="H47" s="4">
        <v>41.366</v>
      </c>
    </row>
    <row r="48" spans="2:17" x14ac:dyDescent="0.2">
      <c r="B48" t="s">
        <v>41</v>
      </c>
      <c r="H48" s="4">
        <v>33.366999999999997</v>
      </c>
    </row>
    <row r="49" spans="2:17" x14ac:dyDescent="0.2">
      <c r="B49" t="s">
        <v>42</v>
      </c>
      <c r="H49" s="4">
        <v>1.887</v>
      </c>
    </row>
    <row r="50" spans="2:17" x14ac:dyDescent="0.2">
      <c r="B50" t="s">
        <v>38</v>
      </c>
      <c r="H50" s="4">
        <f>-49.129+11.318-20.144-68.719+56.698-86.965-44.268+65.45</f>
        <v>-135.75900000000001</v>
      </c>
    </row>
    <row r="51" spans="2:17" x14ac:dyDescent="0.2">
      <c r="B51" t="s">
        <v>37</v>
      </c>
      <c r="H51" s="4">
        <f>SUM(H45:H50)</f>
        <v>466.73199999999986</v>
      </c>
      <c r="O51">
        <v>1537.625</v>
      </c>
      <c r="P51">
        <v>1597.8140000000001</v>
      </c>
      <c r="Q51">
        <v>2079.7809999999999</v>
      </c>
    </row>
    <row r="53" spans="2:17" x14ac:dyDescent="0.2">
      <c r="B53" t="s">
        <v>43</v>
      </c>
      <c r="H53" s="4">
        <v>-92.921000000000006</v>
      </c>
      <c r="O53">
        <v>-240.672</v>
      </c>
      <c r="P53">
        <v>-331.10899999999998</v>
      </c>
      <c r="Q53">
        <v>-409.46899999999999</v>
      </c>
    </row>
    <row r="54" spans="2:17" x14ac:dyDescent="0.2">
      <c r="B54" t="s">
        <v>45</v>
      </c>
      <c r="H54" s="4">
        <v>-7.1239999999999997</v>
      </c>
    </row>
    <row r="55" spans="2:17" x14ac:dyDescent="0.2">
      <c r="B55" t="s">
        <v>46</v>
      </c>
      <c r="H55" s="4">
        <v>-9.4359999999999999</v>
      </c>
    </row>
    <row r="56" spans="2:17" x14ac:dyDescent="0.2">
      <c r="B56" t="s">
        <v>8</v>
      </c>
      <c r="H56" s="4">
        <v>-4.851</v>
      </c>
    </row>
    <row r="57" spans="2:17" x14ac:dyDescent="0.2">
      <c r="B57" t="s">
        <v>47</v>
      </c>
      <c r="H57" s="4">
        <f>SUM(H53:H56)</f>
        <v>-114.33199999999999</v>
      </c>
    </row>
    <row r="59" spans="2:17" x14ac:dyDescent="0.2">
      <c r="B59" t="s">
        <v>48</v>
      </c>
      <c r="H59" s="4">
        <v>166</v>
      </c>
    </row>
    <row r="60" spans="2:17" x14ac:dyDescent="0.2">
      <c r="B60" t="s">
        <v>41</v>
      </c>
      <c r="H60" s="4">
        <v>0.23100000000000001</v>
      </c>
    </row>
    <row r="61" spans="2:17" x14ac:dyDescent="0.2">
      <c r="B61" t="s">
        <v>49</v>
      </c>
      <c r="H61" s="4">
        <v>-138.23699999999999</v>
      </c>
    </row>
    <row r="62" spans="2:17" x14ac:dyDescent="0.2">
      <c r="B62" t="s">
        <v>53</v>
      </c>
      <c r="H62" s="4">
        <v>-614.80200000000002</v>
      </c>
    </row>
    <row r="63" spans="2:17" x14ac:dyDescent="0.2">
      <c r="B63" t="s">
        <v>8</v>
      </c>
      <c r="H63" s="4">
        <v>-5.984</v>
      </c>
    </row>
    <row r="64" spans="2:17" x14ac:dyDescent="0.2">
      <c r="B64" t="s">
        <v>52</v>
      </c>
      <c r="H64" s="4">
        <f>SUM(H59:H63)</f>
        <v>-592.79200000000003</v>
      </c>
    </row>
    <row r="65" spans="2:17" x14ac:dyDescent="0.2">
      <c r="B65" t="s">
        <v>51</v>
      </c>
      <c r="H65" s="4">
        <v>-0.25</v>
      </c>
    </row>
    <row r="66" spans="2:17" x14ac:dyDescent="0.2">
      <c r="B66" t="s">
        <v>50</v>
      </c>
      <c r="H66" s="4">
        <f>+H65+H64+H57+H51</f>
        <v>-240.64200000000017</v>
      </c>
    </row>
    <row r="67" spans="2:17" x14ac:dyDescent="0.2">
      <c r="H67" s="4"/>
    </row>
    <row r="69" spans="2:17" x14ac:dyDescent="0.2">
      <c r="B69" t="s">
        <v>44</v>
      </c>
      <c r="H69" s="10">
        <f>+H51+H53</f>
        <v>373.81099999999986</v>
      </c>
      <c r="O69" s="10">
        <f t="shared" ref="O69:Q69" si="8">+O51+O53</f>
        <v>1296.953</v>
      </c>
      <c r="P69" s="10">
        <f t="shared" si="8"/>
        <v>1266.7050000000002</v>
      </c>
      <c r="Q69" s="10">
        <f t="shared" si="8"/>
        <v>1670.3119999999999</v>
      </c>
    </row>
  </sheetData>
  <hyperlinks>
    <hyperlink ref="A1" location="Main!A1" display="Main" xr:uid="{E14680D3-CF9E-4114-A707-7C3D9F8BBE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2024-10-14T14:59:21Z</dcterms:created>
  <dcterms:modified xsi:type="dcterms:W3CDTF">2024-10-14T15:57:21Z</dcterms:modified>
</cp:coreProperties>
</file>