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72B1EFE-4041-417D-A9A2-1F0122267EE0}" xr6:coauthVersionLast="47" xr6:coauthVersionMax="47" xr10:uidLastSave="{00000000-0000-0000-0000-000000000000}"/>
  <bookViews>
    <workbookView xWindow="54660" yWindow="6470" windowWidth="20750" windowHeight="15050" activeTab="1" xr2:uid="{6C567CA9-0E11-4C72-97D0-DE6EA1E5BA4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2" l="1"/>
  <c r="Q49" i="2"/>
  <c r="AD27" i="2"/>
  <c r="AC27" i="2"/>
  <c r="AB27" i="2"/>
  <c r="AA27" i="2"/>
  <c r="Z27" i="2"/>
  <c r="X27" i="2"/>
  <c r="Y27" i="2"/>
  <c r="R50" i="2"/>
  <c r="N27" i="2"/>
  <c r="M27" i="2"/>
  <c r="L27" i="2"/>
  <c r="S27" i="2"/>
  <c r="R27" i="2"/>
  <c r="Q27" i="2"/>
  <c r="P27" i="2"/>
  <c r="N18" i="2"/>
  <c r="N13" i="2"/>
  <c r="N15" i="2" s="1"/>
  <c r="N17" i="2" s="1"/>
  <c r="R22" i="2"/>
  <c r="R18" i="2"/>
  <c r="R15" i="2"/>
  <c r="O51" i="2"/>
  <c r="S51" i="2"/>
  <c r="S22" i="2"/>
  <c r="S21" i="2"/>
  <c r="O18" i="2"/>
  <c r="S18" i="2"/>
  <c r="S19" i="2"/>
  <c r="S17" i="2"/>
  <c r="R17" i="2"/>
  <c r="R19" i="2" s="1"/>
  <c r="R21" i="2" s="1"/>
  <c r="O13" i="2"/>
  <c r="S42" i="2"/>
  <c r="S47" i="2" s="1"/>
  <c r="S37" i="2"/>
  <c r="S29" i="2"/>
  <c r="S39" i="2" s="1"/>
  <c r="S13" i="2"/>
  <c r="S15" i="2" s="1"/>
  <c r="Y55" i="2"/>
  <c r="X55" i="2"/>
  <c r="Y51" i="2"/>
  <c r="X51" i="2"/>
  <c r="Y13" i="2"/>
  <c r="Y15" i="2" s="1"/>
  <c r="Y17" i="2" s="1"/>
  <c r="Y19" i="2" s="1"/>
  <c r="Y21" i="2" s="1"/>
  <c r="Y22" i="2" s="1"/>
  <c r="X13" i="2"/>
  <c r="X15" i="2" s="1"/>
  <c r="X17" i="2" s="1"/>
  <c r="X19" i="2" s="1"/>
  <c r="X21" i="2" s="1"/>
  <c r="X22" i="2" s="1"/>
  <c r="Z55" i="2"/>
  <c r="Z51" i="2"/>
  <c r="Z13" i="2"/>
  <c r="Z15" i="2" s="1"/>
  <c r="Z17" i="2" s="1"/>
  <c r="Z19" i="2" s="1"/>
  <c r="Z21" i="2" s="1"/>
  <c r="Z22" i="2" s="1"/>
  <c r="AA55" i="2"/>
  <c r="AA51" i="2"/>
  <c r="AA13" i="2"/>
  <c r="AA15" i="2" s="1"/>
  <c r="AA17" i="2" s="1"/>
  <c r="AA19" i="2" s="1"/>
  <c r="AA21" i="2" s="1"/>
  <c r="AA22" i="2" s="1"/>
  <c r="AD55" i="2"/>
  <c r="AC55" i="2"/>
  <c r="AB55" i="2"/>
  <c r="AD51" i="2"/>
  <c r="AC51" i="2"/>
  <c r="AB51" i="2"/>
  <c r="AB13" i="2"/>
  <c r="AB15" i="2" s="1"/>
  <c r="AB17" i="2" s="1"/>
  <c r="AB19" i="2" s="1"/>
  <c r="AB21" i="2" s="1"/>
  <c r="AB22" i="2" s="1"/>
  <c r="AC13" i="2"/>
  <c r="AC15" i="2" s="1"/>
  <c r="AC17" i="2" s="1"/>
  <c r="AC19" i="2" s="1"/>
  <c r="AC21" i="2" s="1"/>
  <c r="AC22" i="2" s="1"/>
  <c r="AD13" i="2"/>
  <c r="AD15" i="2" s="1"/>
  <c r="AD17" i="2" s="1"/>
  <c r="AD19" i="2" s="1"/>
  <c r="AD21" i="2" s="1"/>
  <c r="AD22" i="2" s="1"/>
  <c r="R13" i="2"/>
  <c r="AC2" i="2"/>
  <c r="AD2" i="2" s="1"/>
  <c r="AE2" i="2" s="1"/>
  <c r="AF2" i="2" s="1"/>
  <c r="AG2" i="2" s="1"/>
  <c r="AH2" i="2" s="1"/>
  <c r="AI2" i="2" s="1"/>
  <c r="AJ2" i="2" s="1"/>
  <c r="M3" i="1"/>
  <c r="M4" i="1" s="1"/>
  <c r="M7" i="1" s="1"/>
  <c r="M13" i="2"/>
  <c r="M15" i="2" s="1"/>
  <c r="M17" i="2" s="1"/>
  <c r="M19" i="2" s="1"/>
  <c r="M21" i="2" s="1"/>
  <c r="M22" i="2" s="1"/>
  <c r="Q13" i="2"/>
  <c r="Q15" i="2" s="1"/>
  <c r="Q17" i="2" s="1"/>
  <c r="Q19" i="2" s="1"/>
  <c r="Q21" i="2" s="1"/>
  <c r="Q22" i="2" s="1"/>
  <c r="L20" i="2"/>
  <c r="L18" i="2"/>
  <c r="L13" i="2"/>
  <c r="L15" i="2" s="1"/>
  <c r="L17" i="2" s="1"/>
  <c r="P51" i="2"/>
  <c r="P20" i="2"/>
  <c r="P18" i="2"/>
  <c r="P13" i="2"/>
  <c r="M6" i="1"/>
  <c r="M5" i="1"/>
  <c r="Q51" i="2" l="1"/>
  <c r="R49" i="2"/>
  <c r="R51" i="2" s="1"/>
  <c r="N19" i="2"/>
  <c r="N21" i="2" s="1"/>
  <c r="N22" i="2" s="1"/>
  <c r="R26" i="2"/>
  <c r="S26" i="2"/>
  <c r="O15" i="2"/>
  <c r="Y26" i="2"/>
  <c r="Z26" i="2"/>
  <c r="AA26" i="2"/>
  <c r="P26" i="2"/>
  <c r="AB26" i="2"/>
  <c r="AD26" i="2"/>
  <c r="AC26" i="2"/>
  <c r="Q26" i="2"/>
  <c r="L19" i="2"/>
  <c r="L21" i="2" s="1"/>
  <c r="L22" i="2" s="1"/>
  <c r="P15" i="2"/>
  <c r="P17" i="2" s="1"/>
  <c r="P19" i="2" s="1"/>
  <c r="P21" i="2" s="1"/>
  <c r="P22" i="2" s="1"/>
  <c r="O17" i="2" l="1"/>
  <c r="O19" i="2" s="1"/>
  <c r="O21" i="2" s="1"/>
  <c r="O22" i="2" s="1"/>
  <c r="O27" i="2"/>
</calcChain>
</file>

<file path=xl/sharedStrings.xml><?xml version="1.0" encoding="utf-8"?>
<sst xmlns="http://schemas.openxmlformats.org/spreadsheetml/2006/main" count="80" uniqueCount="73">
  <si>
    <t>Shares</t>
  </si>
  <si>
    <t>Price</t>
  </si>
  <si>
    <t>MC</t>
  </si>
  <si>
    <t>Cash</t>
  </si>
  <si>
    <t>Debt</t>
  </si>
  <si>
    <t>EV</t>
  </si>
  <si>
    <t>Main</t>
  </si>
  <si>
    <t>Retail vehicle</t>
  </si>
  <si>
    <t>Wholesale vehicle</t>
  </si>
  <si>
    <t>Other sales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</si>
  <si>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</si>
  <si>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</si>
  <si>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</si>
  <si>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</si>
  <si>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</si>
  <si>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</si>
  <si>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</si>
  <si>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</si>
  <si>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</si>
  <si>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</si>
  <si>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</si>
  <si>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</si>
  <si>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</si>
  <si>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COGS</t>
  </si>
  <si>
    <t>Gross Profit</t>
  </si>
  <si>
    <t>SG&amp;A</t>
  </si>
  <si>
    <t>Interest Expense</t>
  </si>
  <si>
    <t>Operating Profit</t>
  </si>
  <si>
    <t>Pretax Income</t>
  </si>
  <si>
    <t>Taxes</t>
  </si>
  <si>
    <t>Net Income</t>
  </si>
  <si>
    <t>EPS</t>
  </si>
  <si>
    <t>FCF</t>
  </si>
  <si>
    <t>CFFO</t>
  </si>
  <si>
    <t>CX</t>
  </si>
  <si>
    <t>Revenue y/y</t>
  </si>
  <si>
    <t>36 million auto retail transactions/annually</t>
  </si>
  <si>
    <t>17m SAAR?</t>
  </si>
  <si>
    <t>2.2m vehicles since inception ($63.7B)</t>
  </si>
  <si>
    <t>53000 car inventory</t>
  </si>
  <si>
    <t>DriveTime?</t>
  </si>
  <si>
    <t>Company owns LLC units in Carvana Group.</t>
  </si>
  <si>
    <t>Cars</t>
  </si>
  <si>
    <t>Site Visits</t>
  </si>
  <si>
    <t>Inventory</t>
  </si>
  <si>
    <t>Q125</t>
  </si>
  <si>
    <t>Q225</t>
  </si>
  <si>
    <t>Q325</t>
  </si>
  <si>
    <t>Q425</t>
  </si>
  <si>
    <t>Originations</t>
  </si>
  <si>
    <t>Sales</t>
  </si>
  <si>
    <t>Net Origination</t>
  </si>
  <si>
    <t>Q121</t>
  </si>
  <si>
    <t>Q221</t>
  </si>
  <si>
    <t>Q321</t>
  </si>
  <si>
    <t>Q421</t>
  </si>
  <si>
    <t>Retail units sold</t>
  </si>
  <si>
    <t>AR</t>
  </si>
  <si>
    <t>Finance Receivables</t>
  </si>
  <si>
    <t>Assets</t>
  </si>
  <si>
    <t>Other</t>
  </si>
  <si>
    <t>Goodwill</t>
  </si>
  <si>
    <t>Lease</t>
  </si>
  <si>
    <t>PP&amp;E</t>
  </si>
  <si>
    <t>OCA</t>
  </si>
  <si>
    <t>Securitizations</t>
  </si>
  <si>
    <t>Vehicle Inventory</t>
  </si>
  <si>
    <t>AP</t>
  </si>
  <si>
    <t>OCL</t>
  </si>
  <si>
    <t>OL</t>
  </si>
  <si>
    <t>S/E</t>
  </si>
  <si>
    <t>L+SE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</si>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</sst>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left"/>
    </xf>
    <xf numFmtId="9" fontId="3" fillId="0" borderId="0" xfId="0" applyNumberFormat="1" applyFont="1"/>
    <xf numFmtId="3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A8547AC-0695-4148-B3B6-444A340EB1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36634</xdr:colOff>
      <xdr:row>0</xdr:row>
      <xdr:rowOff>39077</xdr:rowOff>
    </xdr:from>
    <xdr:to>
      <xdr:col>19</xdr:col>
      <xdr:colOff>36634</xdr:colOff>
      <xdr:row>65</xdr:row>
      <xdr:rowOff>122115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6AE8FF-2A60-9E9D-C7A6-78E35B187143}"/>
            </a:ext>
          </a:extLst>
        </xdr:cNvPr>
        <xdr:cNvCxnSpPr/>
      </xdr:nvCxnSpPr>
      <xdr:spPr>
        <a:xfrm>
          <a:off x="12145596" y="39077"/>
          <a:ext cx="0" cy="7996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5862</xdr:colOff>
      <xdr:row>0</xdr:row>
      <xdr:rowOff>0</xdr:rowOff>
    </xdr:from>
    <xdr:to>
      <xdr:col>30</xdr:col>
      <xdr:colOff>5862</xdr:colOff>
      <xdr:row>62</xdr:row>
      <xdr:rowOff>124558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84E69B9-C190-4EA3-950C-873384A6E89C}"/>
            </a:ext>
          </a:extLst>
        </xdr:cNvPr>
        <xdr:cNvCxnSpPr/>
      </xdr:nvCxnSpPr>
      <xdr:spPr>
        <a:xfrm>
          <a:off x="13502054" y="0"/>
          <a:ext cx="0" cy="70558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34F3-84EB-44A0-AF2C-DE464C798CE3}">
  <dimension ref="B2:N10"/>
  <sheetViews>
    <sheetView zoomScale="115" zoomScaleNormal="115" workbookViewId="0"/>
  </sheetViews>
  <sheetFormatPr defaultColWidth="8.7265625" defaultRowHeight="12.5" x14ac:dyDescent="0.25"/>
  <cols>
    <col min="1" max="1" width="4.1796875" style="1" customWidth="1"/>
    <col min="2" max="16384" width="8.7265625" style="1"/>
  </cols>
  <sheetData>
    <row r="2" spans="2:14" x14ac:dyDescent="0.25">
      <c r="B2" s="15" t="s">
        <v>36</v>
      </c>
      <c r="L2" s="1" t="s">
        <v>1</v>
      </c>
      <c r="M2" s="2">
        <v>175</v>
      </c>
    </row>
    <row r="3" spans="2:14" x14ac:dyDescent="0.25">
      <c r="B3" s="15" t="s">
        <v>37</v>
      </c>
      <c r="L3" s="1" t="s">
        <v>0</v>
      </c>
      <c r="M3" s="3">
        <f>134.04688+79.119471</f>
        <v>213.16635099999999</v>
      </c>
      <c r="N3" s="16" t="s">
        <v>22</v>
      </c>
    </row>
    <row r="4" spans="2:14" x14ac:dyDescent="0.25">
      <c r="F4" s="15"/>
      <c r="L4" s="1" t="s">
        <v>2</v>
      </c>
      <c r="M4" s="3">
        <f>+M2*M3</f>
        <v>37304.111424999996</v>
      </c>
    </row>
    <row r="5" spans="2:14" x14ac:dyDescent="0.25">
      <c r="B5" s="15" t="s">
        <v>38</v>
      </c>
      <c r="L5" s="1" t="s">
        <v>3</v>
      </c>
      <c r="M5" s="3">
        <f>542+65</f>
        <v>607</v>
      </c>
      <c r="N5" s="16" t="s">
        <v>22</v>
      </c>
    </row>
    <row r="6" spans="2:14" x14ac:dyDescent="0.25">
      <c r="B6" s="15" t="s">
        <v>39</v>
      </c>
      <c r="L6" s="1" t="s">
        <v>4</v>
      </c>
      <c r="M6" s="3">
        <f>5428+203+72</f>
        <v>5703</v>
      </c>
      <c r="N6" s="16" t="s">
        <v>22</v>
      </c>
    </row>
    <row r="7" spans="2:14" x14ac:dyDescent="0.25">
      <c r="L7" s="1" t="s">
        <v>5</v>
      </c>
      <c r="M7" s="3">
        <f>+M4-M5+M6</f>
        <v>42400.111424999996</v>
      </c>
    </row>
    <row r="8" spans="2:14" x14ac:dyDescent="0.25">
      <c r="B8" s="15" t="s">
        <v>40</v>
      </c>
    </row>
    <row r="10" spans="2:14" x14ac:dyDescent="0.25">
      <c r="B10" s="1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C054-99FF-4927-A84A-EBCDF5ACDC4F}">
  <dimension ref="A1:AJ55"/>
  <sheetViews>
    <sheetView tabSelected="1" zoomScale="130" zoomScaleNormal="130" workbookViewId="0">
      <pane xSplit="2" ySplit="2" topLeftCell="O35" activePane="bottomRight" state="frozen"/>
      <selection pane="topRight" activeCell="C1" sqref="C1"/>
      <selection pane="bottomLeft" activeCell="A3" sqref="A3"/>
      <selection pane="bottomRight" activeCell="O51" sqref="O51:S51"/>
    </sheetView>
  </sheetViews>
  <sheetFormatPr defaultColWidth="8.7265625" defaultRowHeight="12.5" x14ac:dyDescent="0.25"/>
  <cols>
    <col min="1" max="1" width="4.7265625" style="1" bestFit="1" customWidth="1"/>
    <col min="2" max="2" width="20" style="4" customWidth="1"/>
    <col min="3" max="22" width="8.7265625" style="5"/>
    <col min="23" max="16384" width="8.7265625" style="1"/>
  </cols>
  <sheetData>
    <row r="1" spans="1:36" x14ac:dyDescent="0.25">
      <c r="A1" s="13" t="s">
        <v>6</v>
      </c>
    </row>
    <row r="2" spans="1:36" x14ac:dyDescent="0.25">
      <c r="C2" s="16" t="s">
        <v>52</v>
      </c>
      <c r="D2" s="16" t="s">
        <v>53</v>
      </c>
      <c r="E2" s="16" t="s">
        <v>54</v>
      </c>
      <c r="F2" s="16" t="s">
        <v>55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16" t="s">
        <v>45</v>
      </c>
      <c r="T2" s="16" t="s">
        <v>46</v>
      </c>
      <c r="U2" s="16" t="s">
        <v>47</v>
      </c>
      <c r="V2" s="16" t="s">
        <v>48</v>
      </c>
      <c r="X2" s="1">
        <v>2018</v>
      </c>
      <c r="Y2" s="1">
        <v>2019</v>
      </c>
      <c r="Z2" s="1">
        <v>2020</v>
      </c>
      <c r="AA2" s="1">
        <v>2021</v>
      </c>
      <c r="AB2" s="1">
        <v>2022</v>
      </c>
      <c r="AC2" s="1">
        <f t="shared" ref="AC2:AJ2" si="0">+AB2+1</f>
        <v>2023</v>
      </c>
      <c r="AD2" s="1">
        <f t="shared" si="0"/>
        <v>2024</v>
      </c>
      <c r="AE2" s="1">
        <f t="shared" si="0"/>
        <v>2025</v>
      </c>
      <c r="AF2" s="1">
        <f t="shared" si="0"/>
        <v>2026</v>
      </c>
      <c r="AG2" s="1">
        <f t="shared" si="0"/>
        <v>2027</v>
      </c>
      <c r="AH2" s="1">
        <f t="shared" si="0"/>
        <v>2028</v>
      </c>
      <c r="AI2" s="1">
        <f t="shared" si="0"/>
        <v>2029</v>
      </c>
      <c r="AJ2" s="1">
        <f t="shared" si="0"/>
        <v>2030</v>
      </c>
    </row>
    <row r="3" spans="1:36" s="3" customFormat="1" x14ac:dyDescent="0.25">
      <c r="B3" s="17" t="s">
        <v>56</v>
      </c>
      <c r="C3" s="21">
        <v>92457</v>
      </c>
      <c r="D3" s="21">
        <v>107815</v>
      </c>
      <c r="E3" s="21">
        <v>111949</v>
      </c>
      <c r="F3" s="21">
        <v>113016</v>
      </c>
      <c r="G3" s="8">
        <v>105185</v>
      </c>
      <c r="H3" s="8">
        <v>117564</v>
      </c>
      <c r="I3" s="8">
        <v>102570</v>
      </c>
      <c r="J3" s="8">
        <v>86977</v>
      </c>
      <c r="K3" s="8">
        <v>79240</v>
      </c>
      <c r="L3" s="8">
        <v>76530</v>
      </c>
      <c r="M3" s="8">
        <v>80987</v>
      </c>
      <c r="N3" s="8">
        <v>76090</v>
      </c>
      <c r="O3" s="8">
        <v>91878</v>
      </c>
      <c r="P3" s="8">
        <v>101440</v>
      </c>
      <c r="Q3" s="8">
        <v>108651</v>
      </c>
      <c r="R3" s="8">
        <v>114379</v>
      </c>
      <c r="S3" s="21">
        <v>133898</v>
      </c>
      <c r="T3" s="21"/>
      <c r="U3" s="21"/>
      <c r="V3" s="21"/>
    </row>
    <row r="4" spans="1:36" x14ac:dyDescent="0.25">
      <c r="C4" s="16"/>
      <c r="D4" s="16"/>
      <c r="E4" s="16"/>
      <c r="F4" s="16"/>
      <c r="S4" s="16"/>
      <c r="T4" s="16"/>
      <c r="U4" s="16"/>
      <c r="V4" s="16"/>
    </row>
    <row r="5" spans="1:36" x14ac:dyDescent="0.25">
      <c r="C5" s="16"/>
      <c r="D5" s="16"/>
      <c r="E5" s="16"/>
      <c r="F5" s="16"/>
      <c r="S5" s="16"/>
      <c r="T5" s="16"/>
      <c r="U5" s="16"/>
      <c r="V5" s="16"/>
    </row>
    <row r="6" spans="1:36" s="3" customFormat="1" x14ac:dyDescent="0.25">
      <c r="B6" s="17" t="s">
        <v>42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AB6" s="3">
        <v>412296</v>
      </c>
      <c r="AC6" s="3">
        <v>312847</v>
      </c>
      <c r="AD6" s="3">
        <v>416348</v>
      </c>
    </row>
    <row r="7" spans="1:36" s="3" customFormat="1" x14ac:dyDescent="0.25">
      <c r="B7" s="17" t="s">
        <v>43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AC7" s="3">
        <v>15819</v>
      </c>
      <c r="AD7" s="3">
        <v>17248</v>
      </c>
    </row>
    <row r="8" spans="1:36" s="3" customFormat="1" x14ac:dyDescent="0.25">
      <c r="B8" s="17" t="s">
        <v>44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AC8" s="3">
        <v>33075</v>
      </c>
      <c r="AD8" s="3">
        <v>53360</v>
      </c>
    </row>
    <row r="10" spans="1:36" s="3" customFormat="1" x14ac:dyDescent="0.25">
      <c r="B10" s="7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>
        <v>1961</v>
      </c>
      <c r="M10" s="8">
        <v>1949</v>
      </c>
      <c r="N10" s="8">
        <v>1777</v>
      </c>
      <c r="O10" s="8">
        <v>2175</v>
      </c>
      <c r="P10" s="8">
        <v>2411</v>
      </c>
      <c r="Q10" s="8">
        <v>2543</v>
      </c>
      <c r="R10" s="8">
        <v>2522</v>
      </c>
      <c r="S10" s="8">
        <v>2980</v>
      </c>
      <c r="T10" s="8"/>
      <c r="U10" s="8"/>
      <c r="V10" s="8"/>
      <c r="X10" s="3">
        <v>1785.0450000000001</v>
      </c>
      <c r="Y10" s="3">
        <v>3420.6010000000001</v>
      </c>
      <c r="Z10" s="3">
        <v>4741</v>
      </c>
      <c r="AA10" s="3">
        <v>9851</v>
      </c>
      <c r="AB10" s="3">
        <v>10254</v>
      </c>
      <c r="AC10" s="3">
        <v>7514</v>
      </c>
      <c r="AD10" s="3">
        <v>9681</v>
      </c>
    </row>
    <row r="11" spans="1:36" s="3" customFormat="1" x14ac:dyDescent="0.25">
      <c r="B11" s="7" t="s">
        <v>8</v>
      </c>
      <c r="C11" s="8"/>
      <c r="D11" s="8"/>
      <c r="E11" s="8"/>
      <c r="F11" s="8"/>
      <c r="G11" s="8"/>
      <c r="H11" s="8"/>
      <c r="I11" s="8"/>
      <c r="J11" s="8"/>
      <c r="K11" s="8"/>
      <c r="L11" s="8">
        <v>777</v>
      </c>
      <c r="M11" s="8">
        <v>610</v>
      </c>
      <c r="N11" s="8">
        <v>499</v>
      </c>
      <c r="O11" s="8">
        <v>657</v>
      </c>
      <c r="P11" s="8">
        <v>720</v>
      </c>
      <c r="Q11" s="8">
        <v>786</v>
      </c>
      <c r="R11" s="8">
        <v>678</v>
      </c>
      <c r="S11" s="8">
        <v>863</v>
      </c>
      <c r="T11" s="8"/>
      <c r="U11" s="8"/>
      <c r="V11" s="8"/>
      <c r="X11" s="3">
        <v>73.584000000000003</v>
      </c>
      <c r="Y11" s="3">
        <v>267.58600000000001</v>
      </c>
      <c r="Z11" s="3">
        <v>445</v>
      </c>
      <c r="AA11" s="3">
        <v>1920</v>
      </c>
      <c r="AB11" s="3">
        <v>2609</v>
      </c>
      <c r="AC11" s="3">
        <v>2504</v>
      </c>
      <c r="AD11" s="3">
        <v>2841</v>
      </c>
    </row>
    <row r="12" spans="1:36" s="3" customFormat="1" x14ac:dyDescent="0.25">
      <c r="B12" s="7" t="s">
        <v>9</v>
      </c>
      <c r="C12" s="8"/>
      <c r="D12" s="8"/>
      <c r="E12" s="8"/>
      <c r="F12" s="8"/>
      <c r="G12" s="8"/>
      <c r="H12" s="8"/>
      <c r="I12" s="8"/>
      <c r="J12" s="8"/>
      <c r="K12" s="8"/>
      <c r="L12" s="8">
        <v>230</v>
      </c>
      <c r="M12" s="8">
        <v>214</v>
      </c>
      <c r="N12" s="8">
        <v>148</v>
      </c>
      <c r="O12" s="8">
        <v>229</v>
      </c>
      <c r="P12" s="8">
        <v>279</v>
      </c>
      <c r="Q12" s="8">
        <v>326</v>
      </c>
      <c r="R12" s="8">
        <v>317</v>
      </c>
      <c r="S12" s="8">
        <v>389</v>
      </c>
      <c r="T12" s="8"/>
      <c r="U12" s="8"/>
      <c r="V12" s="8"/>
      <c r="X12" s="3">
        <v>96.837999999999994</v>
      </c>
      <c r="Y12" s="3">
        <v>251.709</v>
      </c>
      <c r="Z12" s="3">
        <v>401</v>
      </c>
      <c r="AA12" s="3">
        <v>1043</v>
      </c>
      <c r="AB12" s="3">
        <v>741</v>
      </c>
      <c r="AC12" s="3">
        <v>753</v>
      </c>
      <c r="AD12" s="3">
        <v>1151</v>
      </c>
    </row>
    <row r="13" spans="1:36" s="9" customFormat="1" ht="13" x14ac:dyDescent="0.3">
      <c r="B13" s="10" t="s">
        <v>10</v>
      </c>
      <c r="C13" s="11"/>
      <c r="D13" s="11"/>
      <c r="E13" s="11"/>
      <c r="F13" s="11"/>
      <c r="G13" s="11"/>
      <c r="H13" s="11"/>
      <c r="I13" s="11"/>
      <c r="J13" s="11"/>
      <c r="K13" s="11"/>
      <c r="L13" s="11">
        <f>+L12+L11+L10</f>
        <v>2968</v>
      </c>
      <c r="M13" s="11">
        <f>+M12+M11+M10</f>
        <v>2773</v>
      </c>
      <c r="N13" s="11">
        <f t="shared" ref="N13" si="1">+N12+N11+N10</f>
        <v>2424</v>
      </c>
      <c r="O13" s="11">
        <f>+O12+O11+O10</f>
        <v>3061</v>
      </c>
      <c r="P13" s="11">
        <f>+P12+P11+P10</f>
        <v>3410</v>
      </c>
      <c r="Q13" s="11">
        <f>+Q12+Q11+Q10</f>
        <v>3655</v>
      </c>
      <c r="R13" s="11">
        <f>+R12+R11+R10</f>
        <v>3517</v>
      </c>
      <c r="S13" s="11">
        <f>+S12+S11+S10</f>
        <v>4232</v>
      </c>
      <c r="T13" s="11"/>
      <c r="U13" s="11"/>
      <c r="V13" s="11"/>
      <c r="X13" s="9">
        <f t="shared" ref="X13" si="2">+X12+X11+X10</f>
        <v>1955.4670000000001</v>
      </c>
      <c r="Y13" s="9">
        <f t="shared" ref="Y13" si="3">+Y12+Y11+Y10</f>
        <v>3939.8960000000002</v>
      </c>
      <c r="Z13" s="9">
        <f t="shared" ref="Z13" si="4">+Z12+Z11+Z10</f>
        <v>5587</v>
      </c>
      <c r="AA13" s="9">
        <f t="shared" ref="AA13" si="5">+AA12+AA11+AA10</f>
        <v>12814</v>
      </c>
      <c r="AB13" s="9">
        <f>+AB12+AB11+AB10</f>
        <v>13604</v>
      </c>
      <c r="AC13" s="9">
        <f>+AC12+AC11+AC10</f>
        <v>10771</v>
      </c>
      <c r="AD13" s="9">
        <f>+AD12+AD11+AD10</f>
        <v>13673</v>
      </c>
    </row>
    <row r="14" spans="1:36" s="3" customFormat="1" x14ac:dyDescent="0.25">
      <c r="B14" s="7" t="s">
        <v>23</v>
      </c>
      <c r="C14" s="8"/>
      <c r="D14" s="8"/>
      <c r="E14" s="8"/>
      <c r="F14" s="8"/>
      <c r="G14" s="8"/>
      <c r="H14" s="8"/>
      <c r="I14" s="8"/>
      <c r="J14" s="8"/>
      <c r="K14" s="8"/>
      <c r="L14" s="8">
        <v>2695</v>
      </c>
      <c r="M14" s="8">
        <v>2291</v>
      </c>
      <c r="N14" s="8">
        <v>2022</v>
      </c>
      <c r="O14" s="8">
        <v>2470</v>
      </c>
      <c r="P14" s="8">
        <v>2695</v>
      </c>
      <c r="Q14" s="8">
        <v>2848</v>
      </c>
      <c r="R14" s="8">
        <v>2784</v>
      </c>
      <c r="S14" s="8">
        <v>3303</v>
      </c>
      <c r="T14" s="8"/>
      <c r="U14" s="8"/>
      <c r="V14" s="8"/>
      <c r="X14" s="3">
        <v>1758.758</v>
      </c>
      <c r="Y14" s="3">
        <v>3433.482</v>
      </c>
      <c r="Z14" s="3">
        <v>4793</v>
      </c>
      <c r="AA14" s="3">
        <v>10885</v>
      </c>
      <c r="AB14" s="3">
        <v>12358</v>
      </c>
      <c r="AC14" s="3">
        <v>9047</v>
      </c>
      <c r="AD14" s="3">
        <v>10797</v>
      </c>
    </row>
    <row r="15" spans="1:36" s="3" customFormat="1" x14ac:dyDescent="0.25">
      <c r="B15" s="7" t="s">
        <v>24</v>
      </c>
      <c r="C15" s="8"/>
      <c r="D15" s="8"/>
      <c r="E15" s="8"/>
      <c r="F15" s="8"/>
      <c r="G15" s="8"/>
      <c r="H15" s="8"/>
      <c r="I15" s="8"/>
      <c r="J15" s="8"/>
      <c r="K15" s="8"/>
      <c r="L15" s="8">
        <f>+L13-L14</f>
        <v>273</v>
      </c>
      <c r="M15" s="8">
        <f>+M13-M14</f>
        <v>482</v>
      </c>
      <c r="N15" s="8">
        <f t="shared" ref="N15" si="6">+N13-N14</f>
        <v>402</v>
      </c>
      <c r="O15" s="8">
        <f>+O13-O14</f>
        <v>591</v>
      </c>
      <c r="P15" s="8">
        <f>+P13-P14</f>
        <v>715</v>
      </c>
      <c r="Q15" s="8">
        <f>+Q13-Q14</f>
        <v>807</v>
      </c>
      <c r="R15" s="8">
        <f>+R13-R14</f>
        <v>733</v>
      </c>
      <c r="S15" s="8">
        <f>+S13-S14</f>
        <v>929</v>
      </c>
      <c r="T15" s="8"/>
      <c r="U15" s="8"/>
      <c r="V15" s="8"/>
      <c r="X15" s="3">
        <f t="shared" ref="X15" si="7">+X13-X14</f>
        <v>196.70900000000006</v>
      </c>
      <c r="Y15" s="3">
        <f t="shared" ref="Y15" si="8">+Y13-Y14</f>
        <v>506.41400000000021</v>
      </c>
      <c r="Z15" s="3">
        <f t="shared" ref="Z15" si="9">+Z13-Z14</f>
        <v>794</v>
      </c>
      <c r="AA15" s="3">
        <f t="shared" ref="AA15" si="10">+AA13-AA14</f>
        <v>1929</v>
      </c>
      <c r="AB15" s="3">
        <f>+AB13-AB14</f>
        <v>1246</v>
      </c>
      <c r="AC15" s="3">
        <f>+AC13-AC14</f>
        <v>1724</v>
      </c>
      <c r="AD15" s="3">
        <f>+AD13-AD14</f>
        <v>2876</v>
      </c>
    </row>
    <row r="16" spans="1:36" s="3" customFormat="1" x14ac:dyDescent="0.25">
      <c r="B16" s="7" t="s">
        <v>25</v>
      </c>
      <c r="C16" s="8"/>
      <c r="D16" s="8"/>
      <c r="E16" s="8"/>
      <c r="F16" s="8"/>
      <c r="G16" s="8"/>
      <c r="H16" s="8"/>
      <c r="I16" s="8"/>
      <c r="J16" s="8"/>
      <c r="K16" s="8"/>
      <c r="L16" s="8">
        <v>455</v>
      </c>
      <c r="M16" s="8">
        <v>433</v>
      </c>
      <c r="N16" s="8">
        <v>439</v>
      </c>
      <c r="O16" s="8">
        <v>456</v>
      </c>
      <c r="P16" s="8">
        <v>455</v>
      </c>
      <c r="Q16" s="8">
        <v>470</v>
      </c>
      <c r="R16" s="8">
        <v>494</v>
      </c>
      <c r="S16" s="8">
        <v>535</v>
      </c>
      <c r="T16" s="8"/>
      <c r="U16" s="8"/>
      <c r="V16" s="8"/>
      <c r="X16" s="3">
        <v>425.25799999999998</v>
      </c>
      <c r="Y16" s="3">
        <v>786.71699999999998</v>
      </c>
      <c r="Z16" s="3">
        <v>1126</v>
      </c>
      <c r="AA16" s="3">
        <v>2033</v>
      </c>
      <c r="AB16" s="3">
        <v>2736</v>
      </c>
      <c r="AC16" s="3">
        <v>1796</v>
      </c>
      <c r="AD16" s="3">
        <v>1874</v>
      </c>
    </row>
    <row r="17" spans="2:30" s="3" customFormat="1" x14ac:dyDescent="0.25">
      <c r="B17" s="7" t="s">
        <v>27</v>
      </c>
      <c r="C17" s="8"/>
      <c r="D17" s="8"/>
      <c r="E17" s="8"/>
      <c r="F17" s="8"/>
      <c r="G17" s="8"/>
      <c r="H17" s="8"/>
      <c r="I17" s="8"/>
      <c r="J17" s="8"/>
      <c r="K17" s="8"/>
      <c r="L17" s="8">
        <f>+L15-L16</f>
        <v>-182</v>
      </c>
      <c r="M17" s="8">
        <f>+M15-M16</f>
        <v>49</v>
      </c>
      <c r="N17" s="8">
        <f t="shared" ref="N17" si="11">+N15-N16</f>
        <v>-37</v>
      </c>
      <c r="O17" s="8">
        <f>+O15-O16</f>
        <v>135</v>
      </c>
      <c r="P17" s="8">
        <f>+P15-P16</f>
        <v>260</v>
      </c>
      <c r="Q17" s="8">
        <f>+Q15-Q16</f>
        <v>337</v>
      </c>
      <c r="R17" s="8">
        <f>+R15-R16</f>
        <v>239</v>
      </c>
      <c r="S17" s="8">
        <f>+S15-S16</f>
        <v>394</v>
      </c>
      <c r="T17" s="8"/>
      <c r="U17" s="8"/>
      <c r="V17" s="8"/>
      <c r="X17" s="3">
        <f t="shared" ref="X17" si="12">+X15-X16</f>
        <v>-228.54899999999992</v>
      </c>
      <c r="Y17" s="3">
        <f t="shared" ref="Y17" si="13">+Y15-Y16</f>
        <v>-280.30299999999977</v>
      </c>
      <c r="Z17" s="3">
        <f t="shared" ref="Z17" si="14">+Z15-Z16</f>
        <v>-332</v>
      </c>
      <c r="AA17" s="3">
        <f t="shared" ref="AA17" si="15">+AA15-AA16</f>
        <v>-104</v>
      </c>
      <c r="AB17" s="3">
        <f>+AB15-AB16</f>
        <v>-1490</v>
      </c>
      <c r="AC17" s="3">
        <f>+AC15-AC16</f>
        <v>-72</v>
      </c>
      <c r="AD17" s="3">
        <f>+AD15-AD16</f>
        <v>1002</v>
      </c>
    </row>
    <row r="18" spans="2:30" s="3" customFormat="1" x14ac:dyDescent="0.25">
      <c r="B18" s="7" t="s">
        <v>26</v>
      </c>
      <c r="C18" s="8"/>
      <c r="D18" s="8"/>
      <c r="E18" s="8"/>
      <c r="F18" s="8"/>
      <c r="G18" s="8"/>
      <c r="H18" s="8"/>
      <c r="I18" s="8"/>
      <c r="J18" s="8"/>
      <c r="K18" s="8"/>
      <c r="L18" s="8">
        <f>-173-1-35</f>
        <v>-209</v>
      </c>
      <c r="M18" s="8">
        <v>-153</v>
      </c>
      <c r="N18" s="8">
        <f>-165+1</f>
        <v>-164</v>
      </c>
      <c r="O18" s="8">
        <f>-173+87</f>
        <v>-86</v>
      </c>
      <c r="P18" s="8">
        <f>-173-1-35</f>
        <v>-209</v>
      </c>
      <c r="Q18" s="8">
        <v>-157</v>
      </c>
      <c r="R18" s="8">
        <f>-148+50</f>
        <v>-98</v>
      </c>
      <c r="S18" s="8">
        <f>-139+122</f>
        <v>-17</v>
      </c>
      <c r="T18" s="8"/>
      <c r="U18" s="8"/>
      <c r="V18" s="8"/>
      <c r="X18" s="3">
        <v>-25.018000000000001</v>
      </c>
      <c r="Y18" s="3">
        <v>-80.605999999999995</v>
      </c>
      <c r="Z18" s="3">
        <v>-131</v>
      </c>
      <c r="AA18" s="3">
        <v>-176</v>
      </c>
      <c r="AB18" s="3">
        <v>-486</v>
      </c>
      <c r="AC18" s="3">
        <v>-632</v>
      </c>
      <c r="AD18" s="3">
        <v>-651</v>
      </c>
    </row>
    <row r="19" spans="2:30" s="3" customFormat="1" x14ac:dyDescent="0.25">
      <c r="B19" s="7" t="s">
        <v>28</v>
      </c>
      <c r="C19" s="8"/>
      <c r="D19" s="8"/>
      <c r="E19" s="8"/>
      <c r="F19" s="8"/>
      <c r="G19" s="8"/>
      <c r="H19" s="8"/>
      <c r="I19" s="8"/>
      <c r="J19" s="8"/>
      <c r="K19" s="8"/>
      <c r="L19" s="8">
        <f>+L17+L18</f>
        <v>-391</v>
      </c>
      <c r="M19" s="8">
        <f>+M17+M18</f>
        <v>-104</v>
      </c>
      <c r="N19" s="8">
        <f t="shared" ref="N19" si="16">+N17+N18</f>
        <v>-201</v>
      </c>
      <c r="O19" s="8">
        <f>+O17+O18</f>
        <v>49</v>
      </c>
      <c r="P19" s="8">
        <f>+P17+P18</f>
        <v>51</v>
      </c>
      <c r="Q19" s="8">
        <f>+Q17+Q18</f>
        <v>180</v>
      </c>
      <c r="R19" s="8">
        <f>+R17+R18</f>
        <v>141</v>
      </c>
      <c r="S19" s="8">
        <f>+S17+S18</f>
        <v>377</v>
      </c>
      <c r="T19" s="8"/>
      <c r="U19" s="8"/>
      <c r="V19" s="8"/>
      <c r="X19" s="8">
        <f t="shared" ref="X19" si="17">+X17+X18</f>
        <v>-253.56699999999992</v>
      </c>
      <c r="Y19" s="8">
        <f t="shared" ref="Y19" si="18">+Y17+Y18</f>
        <v>-360.90899999999976</v>
      </c>
      <c r="Z19" s="8">
        <f t="shared" ref="Z19" si="19">+Z17+Z18</f>
        <v>-463</v>
      </c>
      <c r="AA19" s="8">
        <f t="shared" ref="AA19" si="20">+AA17+AA18</f>
        <v>-280</v>
      </c>
      <c r="AB19" s="8">
        <f t="shared" ref="AB19:AD19" si="21">+AB17+AB18</f>
        <v>-1976</v>
      </c>
      <c r="AC19" s="8">
        <f t="shared" si="21"/>
        <v>-704</v>
      </c>
      <c r="AD19" s="8">
        <f t="shared" si="21"/>
        <v>351</v>
      </c>
    </row>
    <row r="20" spans="2:30" s="3" customFormat="1" x14ac:dyDescent="0.25">
      <c r="B20" s="7" t="s">
        <v>29</v>
      </c>
      <c r="C20" s="8"/>
      <c r="D20" s="8"/>
      <c r="E20" s="8"/>
      <c r="F20" s="8"/>
      <c r="G20" s="8"/>
      <c r="H20" s="8"/>
      <c r="I20" s="8"/>
      <c r="J20" s="8"/>
      <c r="K20" s="8"/>
      <c r="L20" s="8">
        <f>1+30</f>
        <v>31</v>
      </c>
      <c r="M20" s="8">
        <v>29</v>
      </c>
      <c r="N20" s="8">
        <v>0</v>
      </c>
      <c r="O20" s="8">
        <v>21</v>
      </c>
      <c r="P20" s="8">
        <f>1+30</f>
        <v>31</v>
      </c>
      <c r="Q20" s="8">
        <v>0</v>
      </c>
      <c r="R20" s="8">
        <v>80</v>
      </c>
      <c r="S20" s="8">
        <v>157</v>
      </c>
      <c r="T20" s="8"/>
      <c r="U20" s="8"/>
      <c r="V20" s="8"/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</row>
    <row r="21" spans="2:30" s="3" customFormat="1" x14ac:dyDescent="0.25">
      <c r="B21" s="7" t="s">
        <v>30</v>
      </c>
      <c r="C21" s="8"/>
      <c r="D21" s="8"/>
      <c r="E21" s="8"/>
      <c r="F21" s="8"/>
      <c r="G21" s="8"/>
      <c r="H21" s="8"/>
      <c r="I21" s="8"/>
      <c r="J21" s="8"/>
      <c r="K21" s="8"/>
      <c r="L21" s="8">
        <f>+L19-L20</f>
        <v>-422</v>
      </c>
      <c r="M21" s="8">
        <f>+M19-M20</f>
        <v>-133</v>
      </c>
      <c r="N21" s="8">
        <f t="shared" ref="N21" si="22">+N19-N20</f>
        <v>-201</v>
      </c>
      <c r="O21" s="8">
        <f>+O19-O20</f>
        <v>28</v>
      </c>
      <c r="P21" s="8">
        <f>+P19-P20</f>
        <v>20</v>
      </c>
      <c r="Q21" s="8">
        <f>+Q19-Q20</f>
        <v>180</v>
      </c>
      <c r="R21" s="8">
        <f>+R19-R20</f>
        <v>61</v>
      </c>
      <c r="S21" s="8">
        <f>+S19-S20</f>
        <v>220</v>
      </c>
      <c r="T21" s="8"/>
      <c r="U21" s="8"/>
      <c r="V21" s="8"/>
      <c r="X21" s="8">
        <f t="shared" ref="X21" si="23">+X19-X20</f>
        <v>-253.56699999999992</v>
      </c>
      <c r="Y21" s="8">
        <f t="shared" ref="Y21" si="24">+Y19-Y20</f>
        <v>-360.90899999999976</v>
      </c>
      <c r="Z21" s="8">
        <f t="shared" ref="Z21" si="25">+Z19-Z20</f>
        <v>-463</v>
      </c>
      <c r="AA21" s="8">
        <f t="shared" ref="AA21" si="26">+AA19-AA20</f>
        <v>-280</v>
      </c>
      <c r="AB21" s="8">
        <f t="shared" ref="AB21:AD21" si="27">+AB19-AB20</f>
        <v>-1976</v>
      </c>
      <c r="AC21" s="8">
        <f t="shared" si="27"/>
        <v>-704</v>
      </c>
      <c r="AD21" s="8">
        <f t="shared" si="27"/>
        <v>351</v>
      </c>
    </row>
    <row r="22" spans="2:30" s="3" customFormat="1" x14ac:dyDescent="0.25">
      <c r="B22" s="7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12">
        <f>+L21/L23</f>
        <v>-3.9728116586017963</v>
      </c>
      <c r="M22" s="12">
        <f>+M21/M23</f>
        <v>-0.64576272832325032</v>
      </c>
      <c r="N22" s="12">
        <f t="shared" ref="N22" si="28">+N21/N23</f>
        <v>-1.7614582420471474</v>
      </c>
      <c r="O22" s="12">
        <f>+O21/O23</f>
        <v>0.13192674296429968</v>
      </c>
      <c r="P22" s="12">
        <f>+P21/P23</f>
        <v>0.1556844276651228</v>
      </c>
      <c r="Q22" s="12">
        <f>+Q21/Q23</f>
        <v>1.3477593500804912</v>
      </c>
      <c r="R22" s="12">
        <f>+R21/R23</f>
        <v>0.43615355465147038</v>
      </c>
      <c r="S22" s="12">
        <f>+S21/S23</f>
        <v>1.5429176572899355</v>
      </c>
      <c r="T22" s="8"/>
      <c r="U22" s="8"/>
      <c r="V22" s="8"/>
      <c r="X22" s="12">
        <f t="shared" ref="X22" si="29">+X21/X23</f>
        <v>-8.440135805345669</v>
      </c>
      <c r="Y22" s="12">
        <f t="shared" ref="Y22" si="30">+Y21/Y23</f>
        <v>-7.7039938523277849</v>
      </c>
      <c r="Z22" s="12">
        <f t="shared" ref="Z22" si="31">+Z21/Z23</f>
        <v>-7.1251596620550632</v>
      </c>
      <c r="AA22" s="12">
        <f t="shared" ref="AA22" si="32">+AA21/AA23</f>
        <v>-3.3814383189420925</v>
      </c>
      <c r="AB22" s="12">
        <f t="shared" ref="AB22:AD22" si="33">+AB21/AB23</f>
        <v>-19.597730789066528</v>
      </c>
      <c r="AC22" s="12">
        <f t="shared" si="33"/>
        <v>-3.5098565146725962</v>
      </c>
      <c r="AD22" s="12">
        <f t="shared" si="33"/>
        <v>2.6549475818041541</v>
      </c>
    </row>
    <row r="23" spans="2:30" s="3" customFormat="1" x14ac:dyDescent="0.25">
      <c r="B23" s="7" t="s">
        <v>0</v>
      </c>
      <c r="C23" s="8"/>
      <c r="D23" s="8"/>
      <c r="E23" s="8"/>
      <c r="F23" s="8"/>
      <c r="G23" s="8"/>
      <c r="H23" s="8"/>
      <c r="I23" s="8"/>
      <c r="J23" s="8"/>
      <c r="K23" s="8"/>
      <c r="L23" s="8">
        <v>106.22199999999999</v>
      </c>
      <c r="M23" s="8">
        <v>205.958</v>
      </c>
      <c r="N23" s="8">
        <v>114.11</v>
      </c>
      <c r="O23" s="8">
        <v>212.239</v>
      </c>
      <c r="P23" s="8">
        <v>128.465</v>
      </c>
      <c r="Q23" s="8">
        <v>133.55500000000001</v>
      </c>
      <c r="R23" s="8">
        <v>139.85900000000001</v>
      </c>
      <c r="S23" s="8">
        <v>142.58699999999999</v>
      </c>
      <c r="T23" s="8"/>
      <c r="U23" s="8"/>
      <c r="V23" s="8"/>
      <c r="X23" s="3">
        <v>30.042999999999999</v>
      </c>
      <c r="Y23" s="3">
        <v>46.847000000000001</v>
      </c>
      <c r="Z23" s="3">
        <v>64.980999999999995</v>
      </c>
      <c r="AA23" s="3">
        <v>82.805000000000007</v>
      </c>
      <c r="AB23" s="3">
        <v>100.828</v>
      </c>
      <c r="AC23" s="3">
        <v>200.578</v>
      </c>
      <c r="AD23" s="3">
        <v>132.20599999999999</v>
      </c>
    </row>
    <row r="26" spans="2:30" x14ac:dyDescent="0.25">
      <c r="B26" s="14" t="s">
        <v>35</v>
      </c>
      <c r="P26" s="6">
        <f>+P13/L13-1</f>
        <v>0.14892183288409711</v>
      </c>
      <c r="Q26" s="6">
        <f>+Q13/M13-1</f>
        <v>0.31806707536963574</v>
      </c>
      <c r="R26" s="6">
        <f>+R13/N13-1</f>
        <v>0.45090759075907583</v>
      </c>
      <c r="S26" s="6">
        <f>+S13/O13-1</f>
        <v>0.38255472067951657</v>
      </c>
      <c r="Y26" s="18">
        <f t="shared" ref="Y26:AC26" si="34">+Y13/X13-1</f>
        <v>1.0148107843292675</v>
      </c>
      <c r="Z26" s="18">
        <f t="shared" si="34"/>
        <v>0.41805773553413594</v>
      </c>
      <c r="AA26" s="18">
        <f t="shared" si="34"/>
        <v>1.2935385716842669</v>
      </c>
      <c r="AB26" s="18">
        <f t="shared" si="34"/>
        <v>6.1651318869985872E-2</v>
      </c>
      <c r="AC26" s="18">
        <f t="shared" si="34"/>
        <v>-0.20824757424286977</v>
      </c>
      <c r="AD26" s="18">
        <f>+AD13/AC13-1</f>
        <v>0.26942716553709034</v>
      </c>
    </row>
    <row r="27" spans="2:30" x14ac:dyDescent="0.25">
      <c r="B27" s="20" t="s">
        <v>72</v>
      </c>
      <c r="L27" s="6">
        <f t="shared" ref="L27:O27" si="35">+L15/L13</f>
        <v>9.1981132075471692E-2</v>
      </c>
      <c r="M27" s="6">
        <f t="shared" si="35"/>
        <v>0.1738189686260368</v>
      </c>
      <c r="N27" s="6">
        <f t="shared" si="35"/>
        <v>0.16584158415841585</v>
      </c>
      <c r="O27" s="6">
        <f>+O15/O13</f>
        <v>0.19307415877164325</v>
      </c>
      <c r="P27" s="6">
        <f t="shared" ref="P27:S27" si="36">+P15/P13</f>
        <v>0.20967741935483872</v>
      </c>
      <c r="Q27" s="6">
        <f t="shared" si="36"/>
        <v>0.22079343365253079</v>
      </c>
      <c r="R27" s="6">
        <f t="shared" si="36"/>
        <v>0.20841626386124537</v>
      </c>
      <c r="S27" s="6">
        <f t="shared" si="36"/>
        <v>0.21951795841209829</v>
      </c>
      <c r="X27" s="6">
        <f t="shared" ref="X27" si="37">+X15/X13</f>
        <v>0.100594384870724</v>
      </c>
      <c r="Y27" s="6">
        <f t="shared" ref="Y27:AD27" si="38">+Y15/Y13</f>
        <v>0.12853486487968216</v>
      </c>
      <c r="Z27" s="6">
        <f t="shared" si="38"/>
        <v>0.14211562555933416</v>
      </c>
      <c r="AA27" s="6">
        <f t="shared" si="38"/>
        <v>0.15053847354456062</v>
      </c>
      <c r="AB27" s="6">
        <f t="shared" si="38"/>
        <v>9.1590708615113203E-2</v>
      </c>
      <c r="AC27" s="6">
        <f t="shared" si="38"/>
        <v>0.16005941880976696</v>
      </c>
      <c r="AD27" s="6">
        <f t="shared" si="38"/>
        <v>0.21034154903825056</v>
      </c>
    </row>
    <row r="29" spans="2:30" s="3" customFormat="1" x14ac:dyDescent="0.25">
      <c r="B29" s="17" t="s">
        <v>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>
        <f>1858+46</f>
        <v>1904</v>
      </c>
      <c r="T29" s="8"/>
      <c r="U29" s="8"/>
      <c r="V29" s="8"/>
    </row>
    <row r="30" spans="2:30" s="3" customFormat="1" x14ac:dyDescent="0.25">
      <c r="B30" s="17" t="s">
        <v>57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369</v>
      </c>
      <c r="T30" s="8"/>
      <c r="U30" s="8"/>
      <c r="V30" s="8"/>
    </row>
    <row r="31" spans="2:30" s="3" customFormat="1" x14ac:dyDescent="0.25">
      <c r="B31" s="17" t="s">
        <v>58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>
        <v>737</v>
      </c>
      <c r="T31" s="8"/>
      <c r="U31" s="8"/>
      <c r="V31" s="8"/>
    </row>
    <row r="32" spans="2:30" s="3" customFormat="1" x14ac:dyDescent="0.25">
      <c r="B32" s="17" t="s">
        <v>66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1503</v>
      </c>
      <c r="T32" s="8"/>
      <c r="U32" s="8"/>
      <c r="V32" s="8"/>
    </row>
    <row r="33" spans="2:22" s="3" customFormat="1" x14ac:dyDescent="0.25">
      <c r="B33" s="17" t="s">
        <v>65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>
        <v>475</v>
      </c>
      <c r="T33" s="8"/>
      <c r="U33" s="8"/>
      <c r="V33" s="8"/>
    </row>
    <row r="34" spans="2:22" s="3" customFormat="1" x14ac:dyDescent="0.25">
      <c r="B34" s="17" t="s">
        <v>64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149</v>
      </c>
      <c r="T34" s="8"/>
      <c r="U34" s="8"/>
      <c r="V34" s="8"/>
    </row>
    <row r="35" spans="2:22" s="3" customFormat="1" x14ac:dyDescent="0.25">
      <c r="B35" s="17" t="s">
        <v>63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>
        <v>2743</v>
      </c>
      <c r="T35" s="8"/>
      <c r="U35" s="8"/>
      <c r="V35" s="8"/>
    </row>
    <row r="36" spans="2:22" s="3" customFormat="1" x14ac:dyDescent="0.25">
      <c r="B36" s="17" t="s">
        <v>62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>
        <v>430</v>
      </c>
      <c r="T36" s="8"/>
      <c r="U36" s="8"/>
      <c r="V36" s="8"/>
    </row>
    <row r="37" spans="2:22" s="3" customFormat="1" x14ac:dyDescent="0.25">
      <c r="B37" s="17" t="s">
        <v>61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>
        <f>35+2</f>
        <v>37</v>
      </c>
      <c r="T37" s="8"/>
      <c r="U37" s="8"/>
      <c r="V37" s="8"/>
    </row>
    <row r="38" spans="2:22" s="3" customFormat="1" x14ac:dyDescent="0.25">
      <c r="B38" s="17" t="s">
        <v>60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531</v>
      </c>
      <c r="T38" s="8"/>
      <c r="U38" s="8"/>
      <c r="V38" s="8"/>
    </row>
    <row r="39" spans="2:22" s="3" customFormat="1" x14ac:dyDescent="0.25">
      <c r="B39" s="17" t="s">
        <v>59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>
        <f>SUM(S29:S38)</f>
        <v>8878</v>
      </c>
      <c r="T39" s="8"/>
      <c r="U39" s="8"/>
      <c r="V39" s="8"/>
    </row>
    <row r="41" spans="2:22" s="3" customFormat="1" x14ac:dyDescent="0.25">
      <c r="B41" s="17" t="s">
        <v>67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>
        <v>836</v>
      </c>
      <c r="T41" s="8"/>
      <c r="U41" s="8"/>
      <c r="V41" s="8"/>
    </row>
    <row r="42" spans="2:22" s="3" customFormat="1" x14ac:dyDescent="0.25">
      <c r="B42" s="17" t="s">
        <v>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>
        <f>308+5269+64</f>
        <v>5641</v>
      </c>
      <c r="T42" s="8"/>
      <c r="U42" s="8"/>
      <c r="V42" s="8"/>
    </row>
    <row r="43" spans="2:22" s="3" customFormat="1" x14ac:dyDescent="0.25">
      <c r="B43" s="17" t="s">
        <v>68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>
        <v>139</v>
      </c>
      <c r="T43" s="8"/>
      <c r="U43" s="8"/>
      <c r="V43" s="8"/>
    </row>
    <row r="44" spans="2:22" s="3" customFormat="1" x14ac:dyDescent="0.25">
      <c r="B44" s="17" t="s">
        <v>62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402</v>
      </c>
      <c r="T44" s="8"/>
      <c r="U44" s="8"/>
      <c r="V44" s="8"/>
    </row>
    <row r="45" spans="2:22" s="3" customFormat="1" x14ac:dyDescent="0.25">
      <c r="B45" s="17" t="s">
        <v>69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>
        <v>87</v>
      </c>
      <c r="T45" s="8"/>
      <c r="U45" s="8"/>
      <c r="V45" s="8"/>
    </row>
    <row r="46" spans="2:22" s="3" customFormat="1" x14ac:dyDescent="0.25">
      <c r="B46" s="17" t="s">
        <v>70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1773</v>
      </c>
      <c r="T46" s="8"/>
      <c r="U46" s="8"/>
      <c r="V46" s="8"/>
    </row>
    <row r="47" spans="2:22" s="3" customFormat="1" x14ac:dyDescent="0.25">
      <c r="B47" s="17" t="s">
        <v>71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f>SUM(S41:S46)</f>
        <v>8878</v>
      </c>
      <c r="T47" s="8"/>
      <c r="U47" s="8"/>
      <c r="V47" s="8"/>
    </row>
    <row r="49" spans="2:30" s="3" customFormat="1" x14ac:dyDescent="0.25">
      <c r="B49" s="19" t="s">
        <v>33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v>101</v>
      </c>
      <c r="P49" s="8">
        <v>455</v>
      </c>
      <c r="Q49" s="8">
        <f>858-P49-O49</f>
        <v>302</v>
      </c>
      <c r="R49" s="8">
        <f>918-Q49-P49-O49</f>
        <v>60</v>
      </c>
      <c r="S49" s="8">
        <v>232</v>
      </c>
      <c r="T49" s="8"/>
      <c r="U49" s="8"/>
      <c r="V49" s="8"/>
      <c r="X49" s="3">
        <v>-414.34</v>
      </c>
      <c r="Y49" s="3">
        <v>-757.13400000000001</v>
      </c>
      <c r="Z49" s="3">
        <v>-608</v>
      </c>
      <c r="AA49" s="3">
        <v>-2594</v>
      </c>
      <c r="AB49" s="3">
        <v>-1324</v>
      </c>
      <c r="AC49" s="3">
        <v>803</v>
      </c>
      <c r="AD49" s="3">
        <v>918</v>
      </c>
    </row>
    <row r="50" spans="2:30" s="3" customFormat="1" x14ac:dyDescent="0.25">
      <c r="B50" s="19" t="s">
        <v>34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>
        <v>18</v>
      </c>
      <c r="P50" s="8">
        <v>40</v>
      </c>
      <c r="Q50" s="8">
        <f>67-P50-O50</f>
        <v>9</v>
      </c>
      <c r="R50" s="8">
        <f>91-Q50-P50-O50</f>
        <v>24</v>
      </c>
      <c r="S50" s="8">
        <v>27</v>
      </c>
      <c r="T50" s="8"/>
      <c r="U50" s="8"/>
      <c r="V50" s="8"/>
      <c r="X50" s="3">
        <v>-143.66800000000001</v>
      </c>
      <c r="Y50" s="3">
        <v>-230.53800000000001</v>
      </c>
      <c r="Z50" s="3">
        <v>-360</v>
      </c>
      <c r="AA50" s="3">
        <v>-557</v>
      </c>
      <c r="AB50" s="3">
        <v>-512</v>
      </c>
      <c r="AC50" s="3">
        <v>-87</v>
      </c>
      <c r="AD50" s="3">
        <v>-91</v>
      </c>
    </row>
    <row r="51" spans="2:30" s="9" customFormat="1" ht="13" x14ac:dyDescent="0.3">
      <c r="B51" s="10" t="s">
        <v>32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>
        <f>+O49-O50</f>
        <v>83</v>
      </c>
      <c r="P51" s="11">
        <f>+P49-P50</f>
        <v>415</v>
      </c>
      <c r="Q51" s="11">
        <f>+Q49-Q50</f>
        <v>293</v>
      </c>
      <c r="R51" s="11">
        <f>+R49-R50</f>
        <v>36</v>
      </c>
      <c r="S51" s="11">
        <f>+S49-S50</f>
        <v>205</v>
      </c>
      <c r="T51" s="11"/>
      <c r="U51" s="11"/>
      <c r="V51" s="11"/>
      <c r="X51" s="9">
        <f t="shared" ref="X51" si="39">+X49+X50</f>
        <v>-558.00800000000004</v>
      </c>
      <c r="Y51" s="9">
        <f t="shared" ref="Y51" si="40">+Y49+Y50</f>
        <v>-987.67200000000003</v>
      </c>
      <c r="Z51" s="9">
        <f t="shared" ref="Z51" si="41">+Z49+Z50</f>
        <v>-968</v>
      </c>
      <c r="AA51" s="9">
        <f t="shared" ref="AA51" si="42">+AA49+AA50</f>
        <v>-3151</v>
      </c>
      <c r="AB51" s="9">
        <f>+AB49+AB50</f>
        <v>-1836</v>
      </c>
      <c r="AC51" s="9">
        <f>+AC49+AC50</f>
        <v>716</v>
      </c>
      <c r="AD51" s="9">
        <f>+AD49+AD50</f>
        <v>827</v>
      </c>
    </row>
    <row r="53" spans="2:30" s="3" customFormat="1" x14ac:dyDescent="0.25">
      <c r="B53" s="17" t="s">
        <v>49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X53" s="3">
        <v>-1259.539</v>
      </c>
      <c r="Y53" s="3">
        <v>-2625.3510000000001</v>
      </c>
      <c r="Z53" s="3">
        <v>-3579</v>
      </c>
      <c r="AA53" s="3">
        <v>-7306</v>
      </c>
      <c r="AB53" s="3">
        <v>-7214</v>
      </c>
      <c r="AC53" s="3">
        <v>-6041</v>
      </c>
      <c r="AD53" s="3">
        <v>-8329</v>
      </c>
    </row>
    <row r="54" spans="2:30" s="3" customFormat="1" x14ac:dyDescent="0.25">
      <c r="B54" s="17" t="s">
        <v>50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X54" s="3">
        <v>1633.519</v>
      </c>
      <c r="Y54" s="3">
        <v>2643.9119999999998</v>
      </c>
      <c r="Z54" s="3">
        <v>3634</v>
      </c>
      <c r="AA54" s="3">
        <v>7391</v>
      </c>
      <c r="AB54" s="3">
        <v>6297</v>
      </c>
      <c r="AC54" s="3">
        <v>6594</v>
      </c>
      <c r="AD54" s="3">
        <v>8805</v>
      </c>
    </row>
    <row r="55" spans="2:30" s="9" customFormat="1" ht="13" x14ac:dyDescent="0.3">
      <c r="B55" s="10" t="s">
        <v>51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X55" s="9">
        <f t="shared" ref="X55" si="43">+X53+X54</f>
        <v>373.98</v>
      </c>
      <c r="Y55" s="9">
        <f t="shared" ref="Y55" si="44">+Y53+Y54</f>
        <v>18.560999999999694</v>
      </c>
      <c r="Z55" s="9">
        <f t="shared" ref="Z55" si="45">+Z53+Z54</f>
        <v>55</v>
      </c>
      <c r="AA55" s="9">
        <f t="shared" ref="AA55" si="46">+AA53+AA54</f>
        <v>85</v>
      </c>
      <c r="AB55" s="9">
        <f>+AB53+AB54</f>
        <v>-917</v>
      </c>
      <c r="AC55" s="9">
        <f>+AC53+AC54</f>
        <v>553</v>
      </c>
      <c r="AD55" s="9">
        <f>+AD53+AD54</f>
        <v>476</v>
      </c>
    </row>
  </sheetData>
  <hyperlinks>
    <hyperlink ref="A1" location="Main!A1" display="Main" xr:uid="{B4EC8B13-5E69-4E39-A092-32DFE93B8D1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2024-10-21T20:36:42Z</dcterms:created>
  <dcterms:modified xsi:type="dcterms:W3CDTF">2025-05-09T17:42:48Z</dcterms:modified>
</cp:coreProperties>
</file>