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AFCF8CA-3B5A-4EBC-B44D-0313729E3655}" xr6:coauthVersionLast="47" xr6:coauthVersionMax="47" xr10:uidLastSave="{00000000-0000-0000-0000-000000000000}"/>
  <bookViews>
    <workbookView xWindow="-25095" yWindow="855" windowWidth="25155" windowHeight="18300" activeTab="1" xr2:uid="{99790AA5-3840-4A41-8864-A932B225279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" i="2" l="1"/>
  <c r="O58" i="2"/>
  <c r="N58" i="2"/>
  <c r="O34" i="2"/>
  <c r="N27" i="2"/>
  <c r="N25" i="2"/>
  <c r="N21" i="2"/>
  <c r="N20" i="2"/>
  <c r="P34" i="2"/>
  <c r="O27" i="2"/>
  <c r="O25" i="2"/>
  <c r="O21" i="2"/>
  <c r="O20" i="2"/>
  <c r="O22" i="2" s="1"/>
  <c r="P27" i="2"/>
  <c r="P25" i="2"/>
  <c r="P21" i="2"/>
  <c r="Q27" i="2"/>
  <c r="Q25" i="2"/>
  <c r="Q21" i="2"/>
  <c r="P20" i="2"/>
  <c r="P22" i="2" s="1"/>
  <c r="P24" i="2" s="1"/>
  <c r="P26" i="2" s="1"/>
  <c r="Q20" i="2"/>
  <c r="S58" i="2"/>
  <c r="T58" i="2"/>
  <c r="U58" i="2"/>
  <c r="R27" i="2"/>
  <c r="R25" i="2"/>
  <c r="R21" i="2"/>
  <c r="S27" i="2"/>
  <c r="S25" i="2"/>
  <c r="S21" i="2"/>
  <c r="T27" i="2"/>
  <c r="T25" i="2"/>
  <c r="T21" i="2"/>
  <c r="R20" i="2"/>
  <c r="R34" i="2" s="1"/>
  <c r="S20" i="2"/>
  <c r="S34" i="2" s="1"/>
  <c r="T20" i="2"/>
  <c r="T22" i="2" s="1"/>
  <c r="T32" i="2" s="1"/>
  <c r="H20" i="2"/>
  <c r="H27" i="2"/>
  <c r="H25" i="2"/>
  <c r="H21" i="2"/>
  <c r="H22" i="2" s="1"/>
  <c r="H24" i="2" s="1"/>
  <c r="G27" i="2"/>
  <c r="G25" i="2"/>
  <c r="G21" i="2"/>
  <c r="G20" i="2"/>
  <c r="K27" i="2"/>
  <c r="K25" i="2"/>
  <c r="K21" i="2"/>
  <c r="K20" i="2"/>
  <c r="H16" i="2"/>
  <c r="H65" i="2" s="1"/>
  <c r="L16" i="2"/>
  <c r="L65" i="2" s="1"/>
  <c r="L6" i="2"/>
  <c r="K6" i="2"/>
  <c r="L13" i="2"/>
  <c r="L64" i="2" s="1"/>
  <c r="H13" i="2"/>
  <c r="H64" i="2" s="1"/>
  <c r="H66" i="2"/>
  <c r="L66" i="2"/>
  <c r="L56" i="2"/>
  <c r="I7" i="1"/>
  <c r="L49" i="2"/>
  <c r="L54" i="2" s="1"/>
  <c r="L44" i="2"/>
  <c r="L37" i="2"/>
  <c r="L27" i="2"/>
  <c r="L25" i="2"/>
  <c r="L21" i="2"/>
  <c r="L20" i="2"/>
  <c r="I4" i="1"/>
  <c r="N22" i="2" l="1"/>
  <c r="N32" i="2"/>
  <c r="N24" i="2"/>
  <c r="O32" i="2"/>
  <c r="O24" i="2"/>
  <c r="P28" i="2"/>
  <c r="P29" i="2" s="1"/>
  <c r="T34" i="2"/>
  <c r="Q34" i="2"/>
  <c r="P32" i="2"/>
  <c r="P33" i="2"/>
  <c r="Q22" i="2"/>
  <c r="K34" i="2"/>
  <c r="T24" i="2"/>
  <c r="T33" i="2" s="1"/>
  <c r="S22" i="2"/>
  <c r="S32" i="2" s="1"/>
  <c r="R22" i="2"/>
  <c r="R32" i="2" s="1"/>
  <c r="L34" i="2"/>
  <c r="H26" i="2"/>
  <c r="H28" i="2" s="1"/>
  <c r="H29" i="2" s="1"/>
  <c r="G22" i="2"/>
  <c r="G24" i="2" s="1"/>
  <c r="G26" i="2" s="1"/>
  <c r="G28" i="2" s="1"/>
  <c r="G29" i="2" s="1"/>
  <c r="K22" i="2"/>
  <c r="L46" i="2"/>
  <c r="L22" i="2"/>
  <c r="L24" i="2" s="1"/>
  <c r="N33" i="2" l="1"/>
  <c r="N26" i="2"/>
  <c r="N28" i="2" s="1"/>
  <c r="N29" i="2" s="1"/>
  <c r="O33" i="2"/>
  <c r="O26" i="2"/>
  <c r="O28" i="2" s="1"/>
  <c r="O29" i="2" s="1"/>
  <c r="Q24" i="2"/>
  <c r="Q32" i="2"/>
  <c r="S24" i="2"/>
  <c r="S33" i="2" s="1"/>
  <c r="R24" i="2"/>
  <c r="R33" i="2" s="1"/>
  <c r="T26" i="2"/>
  <c r="T28" i="2" s="1"/>
  <c r="T29" i="2" s="1"/>
  <c r="K24" i="2"/>
  <c r="K32" i="2"/>
  <c r="L32" i="2"/>
  <c r="L26" i="2"/>
  <c r="L28" i="2" s="1"/>
  <c r="L29" i="2" s="1"/>
  <c r="L33" i="2"/>
  <c r="Q26" i="2" l="1"/>
  <c r="Q28" i="2" s="1"/>
  <c r="Q29" i="2" s="1"/>
  <c r="Q33" i="2"/>
  <c r="R26" i="2"/>
  <c r="R28" i="2" s="1"/>
  <c r="R29" i="2" s="1"/>
  <c r="S26" i="2"/>
  <c r="S28" i="2" s="1"/>
  <c r="S29" i="2" s="1"/>
  <c r="K26" i="2"/>
  <c r="K28" i="2" s="1"/>
  <c r="K29" i="2" s="1"/>
  <c r="K33" i="2"/>
</calcChain>
</file>

<file path=xl/sharedStrings.xml><?xml version="1.0" encoding="utf-8"?>
<sst xmlns="http://schemas.openxmlformats.org/spreadsheetml/2006/main" count="78" uniqueCount="73">
  <si>
    <t>Price</t>
  </si>
  <si>
    <t>Shares</t>
  </si>
  <si>
    <t>MC</t>
  </si>
  <si>
    <t>Cash</t>
  </si>
  <si>
    <t>Debt</t>
  </si>
  <si>
    <t>EV</t>
  </si>
  <si>
    <t>Main</t>
  </si>
  <si>
    <t>Revenue</t>
  </si>
  <si>
    <t>Q224</t>
  </si>
  <si>
    <t>Services</t>
  </si>
  <si>
    <t>Products</t>
  </si>
  <si>
    <t>COGS</t>
  </si>
  <si>
    <t>Gross Profit</t>
  </si>
  <si>
    <t>SG&amp;A</t>
  </si>
  <si>
    <t>Operating Income</t>
  </si>
  <si>
    <t>Gross Margin</t>
  </si>
  <si>
    <t>Operating Margin</t>
  </si>
  <si>
    <t>Pretax Income</t>
  </si>
  <si>
    <t>Interest</t>
  </si>
  <si>
    <t>Taxes</t>
  </si>
  <si>
    <t>Net Income</t>
  </si>
  <si>
    <t>EPS</t>
  </si>
  <si>
    <t>Accounts Receivable</t>
  </si>
  <si>
    <t>Inventories</t>
  </si>
  <si>
    <t>Content Advances</t>
  </si>
  <si>
    <t>OCA</t>
  </si>
  <si>
    <t>Content</t>
  </si>
  <si>
    <t>PP&amp;E</t>
  </si>
  <si>
    <t>Goodwill</t>
  </si>
  <si>
    <t>Other</t>
  </si>
  <si>
    <t>Assets</t>
  </si>
  <si>
    <t>AP</t>
  </si>
  <si>
    <t>DT</t>
  </si>
  <si>
    <t>OLTL</t>
  </si>
  <si>
    <t>S/E</t>
  </si>
  <si>
    <t>L+S/E</t>
  </si>
  <si>
    <t>DR</t>
  </si>
  <si>
    <t>CFFO</t>
  </si>
  <si>
    <t>FQ324</t>
  </si>
  <si>
    <t>FQ224</t>
  </si>
  <si>
    <t>FQ124</t>
  </si>
  <si>
    <t>Revenue y/y</t>
  </si>
  <si>
    <t>Entertainment</t>
  </si>
  <si>
    <t>Sports</t>
  </si>
  <si>
    <t>Experiences</t>
  </si>
  <si>
    <t>Entertainment OI</t>
  </si>
  <si>
    <t>Sports OI</t>
  </si>
  <si>
    <t>Experiences OI</t>
  </si>
  <si>
    <t>FQ423</t>
  </si>
  <si>
    <t>FQ23</t>
  </si>
  <si>
    <t>Entertainment OM</t>
  </si>
  <si>
    <t>Sports OM</t>
  </si>
  <si>
    <t>Experiences OM</t>
  </si>
  <si>
    <t>Linear Networks</t>
  </si>
  <si>
    <t>DTC</t>
  </si>
  <si>
    <t>Content Sales</t>
  </si>
  <si>
    <t>Disney+ Domestic</t>
  </si>
  <si>
    <t>Disney+ Intl</t>
  </si>
  <si>
    <t>Disney+ Hotstar</t>
  </si>
  <si>
    <t>Disney+ Total</t>
  </si>
  <si>
    <t>Hulu</t>
  </si>
  <si>
    <t>ESPN</t>
  </si>
  <si>
    <t>Star India</t>
  </si>
  <si>
    <t>F2024</t>
  </si>
  <si>
    <t>F2023</t>
  </si>
  <si>
    <t>F2022</t>
  </si>
  <si>
    <t>F2021</t>
  </si>
  <si>
    <t>CapEx</t>
  </si>
  <si>
    <t>FCF</t>
  </si>
  <si>
    <t>F2000</t>
  </si>
  <si>
    <t>F2019</t>
  </si>
  <si>
    <t>F2018</t>
  </si>
  <si>
    <t>F2017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</si>
</sst>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m/d/yy;@"/>
    <numFmt numFmtId="167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0" fillId="0" borderId="0" xfId="0" applyFont="1"/>
    <xf numFmtId="3" fontId="0" fillId="0" borderId="0" xfId="0" applyNumberFormat="1" applyFont="1"/>
    <xf numFmtId="166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167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E87DA70-ED3C-407F-8A9C-6BD7483F92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1C7F-C83B-4EA6-B74B-61DB3BF098F0}">
  <dimension ref="H2:J7"/>
  <sheetViews>
    <sheetView zoomScale="220" zoomScaleNormal="220" workbookViewId="0">
      <selection activeCell="I8" sqref="I8"/>
    </sheetView>
  </sheetViews>
  <sheetFormatPr defaultRowHeight="12.75" x14ac:dyDescent="0.2"/>
  <sheetData>
    <row r="2" spans="8:10" x14ac:dyDescent="0.2">
      <c r="H2" t="s">
        <v>0</v>
      </c>
      <c r="I2" s="1">
        <v>85.67</v>
      </c>
    </row>
    <row r="3" spans="8:10" x14ac:dyDescent="0.2">
      <c r="H3" t="s">
        <v>1</v>
      </c>
      <c r="I3" s="2">
        <v>1813.5873799999999</v>
      </c>
      <c r="J3" s="3" t="s">
        <v>8</v>
      </c>
    </row>
    <row r="4" spans="8:10" x14ac:dyDescent="0.2">
      <c r="H4" s="12" t="s">
        <v>2</v>
      </c>
      <c r="I4" s="13">
        <f>+I2*I3</f>
        <v>155370.0308446</v>
      </c>
      <c r="J4" s="3"/>
    </row>
    <row r="5" spans="8:10" x14ac:dyDescent="0.2">
      <c r="H5" t="s">
        <v>3</v>
      </c>
      <c r="I5" s="2">
        <v>10586</v>
      </c>
      <c r="J5" s="3" t="s">
        <v>8</v>
      </c>
    </row>
    <row r="6" spans="8:10" x14ac:dyDescent="0.2">
      <c r="H6" t="s">
        <v>4</v>
      </c>
      <c r="I6" s="2">
        <v>47584</v>
      </c>
      <c r="J6" s="3" t="s">
        <v>8</v>
      </c>
    </row>
    <row r="7" spans="8:10" x14ac:dyDescent="0.2">
      <c r="H7" s="12" t="s">
        <v>5</v>
      </c>
      <c r="I7" s="13">
        <f>+I4-I5+I6</f>
        <v>192368.0308446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3778-8872-4317-A2AC-EAF4F0379902}">
  <dimension ref="A1:U66"/>
  <sheetViews>
    <sheetView tabSelected="1" zoomScale="205" zoomScaleNormal="205" workbookViewId="0">
      <pane xSplit="2" ySplit="3" topLeftCell="M41" activePane="bottomRight" state="frozen"/>
      <selection pane="topRight" activeCell="C1" sqref="C1"/>
      <selection pane="bottomLeft" activeCell="A3" sqref="A3"/>
      <selection pane="bottomRight" activeCell="N57" sqref="N57:P57"/>
    </sheetView>
  </sheetViews>
  <sheetFormatPr defaultRowHeight="12.75" x14ac:dyDescent="0.2"/>
  <cols>
    <col min="1" max="1" width="5" bestFit="1" customWidth="1"/>
    <col min="2" max="2" width="19.42578125" customWidth="1"/>
    <col min="3" max="18" width="9.140625" style="3"/>
    <col min="20" max="21" width="9.140625" style="3"/>
  </cols>
  <sheetData>
    <row r="1" spans="1:21" x14ac:dyDescent="0.2">
      <c r="A1" s="11" t="s">
        <v>6</v>
      </c>
    </row>
    <row r="2" spans="1:21" x14ac:dyDescent="0.2">
      <c r="A2" s="11"/>
      <c r="H2" s="14">
        <v>45108</v>
      </c>
      <c r="K2" s="14">
        <v>45381</v>
      </c>
      <c r="L2" s="14">
        <v>45472</v>
      </c>
    </row>
    <row r="3" spans="1:21" x14ac:dyDescent="0.2">
      <c r="H3" s="3" t="s">
        <v>49</v>
      </c>
      <c r="I3" s="3" t="s">
        <v>48</v>
      </c>
      <c r="J3" s="3" t="s">
        <v>40</v>
      </c>
      <c r="K3" s="3" t="s">
        <v>39</v>
      </c>
      <c r="L3" s="3" t="s">
        <v>38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66</v>
      </c>
      <c r="S3" s="3" t="s">
        <v>65</v>
      </c>
      <c r="T3" s="3" t="s">
        <v>64</v>
      </c>
      <c r="U3" s="3" t="s">
        <v>63</v>
      </c>
    </row>
    <row r="4" spans="1:21" x14ac:dyDescent="0.2">
      <c r="B4" t="s">
        <v>56</v>
      </c>
      <c r="K4" s="16">
        <v>54</v>
      </c>
      <c r="L4" s="16">
        <v>54.8</v>
      </c>
    </row>
    <row r="5" spans="1:21" x14ac:dyDescent="0.2">
      <c r="B5" t="s">
        <v>57</v>
      </c>
      <c r="K5" s="16">
        <v>63.6</v>
      </c>
      <c r="L5" s="16">
        <v>63.5</v>
      </c>
    </row>
    <row r="6" spans="1:21" x14ac:dyDescent="0.2">
      <c r="B6" t="s">
        <v>59</v>
      </c>
      <c r="K6" s="16">
        <f>+K5+K4</f>
        <v>117.6</v>
      </c>
      <c r="L6" s="16">
        <f>+L5+L4</f>
        <v>118.3</v>
      </c>
    </row>
    <row r="7" spans="1:21" x14ac:dyDescent="0.2">
      <c r="B7" t="s">
        <v>58</v>
      </c>
      <c r="K7" s="16">
        <v>36</v>
      </c>
      <c r="L7" s="16">
        <v>35.5</v>
      </c>
    </row>
    <row r="8" spans="1:21" x14ac:dyDescent="0.2">
      <c r="B8" t="s">
        <v>60</v>
      </c>
      <c r="K8" s="16">
        <v>50.2</v>
      </c>
      <c r="L8" s="16">
        <v>51.1</v>
      </c>
    </row>
    <row r="10" spans="1:21" x14ac:dyDescent="0.2">
      <c r="B10" t="s">
        <v>53</v>
      </c>
      <c r="H10" s="6">
        <v>2872</v>
      </c>
      <c r="I10" s="6"/>
      <c r="J10" s="6"/>
      <c r="K10" s="6"/>
      <c r="L10" s="6">
        <v>2663</v>
      </c>
    </row>
    <row r="11" spans="1:21" x14ac:dyDescent="0.2">
      <c r="B11" t="s">
        <v>54</v>
      </c>
      <c r="H11" s="6">
        <v>5045</v>
      </c>
      <c r="I11" s="6"/>
      <c r="J11" s="6"/>
      <c r="K11" s="6"/>
      <c r="L11" s="6">
        <v>5805</v>
      </c>
    </row>
    <row r="12" spans="1:21" x14ac:dyDescent="0.2">
      <c r="B12" t="s">
        <v>55</v>
      </c>
      <c r="H12" s="6">
        <v>2210</v>
      </c>
      <c r="I12" s="6"/>
      <c r="J12" s="6"/>
      <c r="K12" s="6"/>
      <c r="L12" s="6">
        <v>2112</v>
      </c>
    </row>
    <row r="13" spans="1:21" x14ac:dyDescent="0.2">
      <c r="B13" t="s">
        <v>42</v>
      </c>
      <c r="H13" s="6">
        <f>SUM(H10:H12)</f>
        <v>10127</v>
      </c>
      <c r="I13" s="6"/>
      <c r="J13" s="6"/>
      <c r="K13" s="6"/>
      <c r="L13" s="6">
        <f>SUM(L10:L12)</f>
        <v>10580</v>
      </c>
    </row>
    <row r="14" spans="1:21" x14ac:dyDescent="0.2">
      <c r="B14" t="s">
        <v>61</v>
      </c>
      <c r="H14" s="6">
        <v>4058</v>
      </c>
      <c r="I14" s="6"/>
      <c r="J14" s="6"/>
      <c r="K14" s="6"/>
      <c r="L14" s="6">
        <v>4279</v>
      </c>
    </row>
    <row r="15" spans="1:21" x14ac:dyDescent="0.2">
      <c r="B15" t="s">
        <v>62</v>
      </c>
      <c r="H15" s="6">
        <v>277</v>
      </c>
      <c r="I15" s="6"/>
      <c r="J15" s="6"/>
      <c r="K15" s="6"/>
      <c r="L15" s="6">
        <v>279</v>
      </c>
    </row>
    <row r="16" spans="1:21" x14ac:dyDescent="0.2">
      <c r="B16" t="s">
        <v>43</v>
      </c>
      <c r="H16" s="6">
        <f>+H15+H14</f>
        <v>4335</v>
      </c>
      <c r="K16" s="6"/>
      <c r="L16" s="6">
        <f>+L15+L14</f>
        <v>4558</v>
      </c>
    </row>
    <row r="17" spans="2:21" x14ac:dyDescent="0.2">
      <c r="B17" t="s">
        <v>44</v>
      </c>
      <c r="H17" s="6">
        <v>8198</v>
      </c>
      <c r="K17" s="6"/>
      <c r="L17" s="6">
        <v>8386</v>
      </c>
    </row>
    <row r="18" spans="2:21" s="2" customFormat="1" x14ac:dyDescent="0.2">
      <c r="B18" s="2" t="s">
        <v>9</v>
      </c>
      <c r="C18" s="6"/>
      <c r="D18" s="6"/>
      <c r="E18" s="6"/>
      <c r="F18" s="6"/>
      <c r="G18" s="6">
        <v>19586</v>
      </c>
      <c r="H18" s="6">
        <v>20008</v>
      </c>
      <c r="I18" s="6"/>
      <c r="J18" s="6"/>
      <c r="K18" s="6">
        <v>19757</v>
      </c>
      <c r="L18" s="6">
        <v>20836</v>
      </c>
      <c r="M18" s="6"/>
      <c r="N18" s="6">
        <v>46843</v>
      </c>
      <c r="O18" s="6">
        <v>50869</v>
      </c>
      <c r="P18" s="6">
        <v>60579</v>
      </c>
      <c r="Q18" s="6">
        <v>59265</v>
      </c>
      <c r="R18" s="6">
        <v>61768</v>
      </c>
      <c r="S18" s="6">
        <v>74200</v>
      </c>
      <c r="T18" s="6">
        <v>79562</v>
      </c>
    </row>
    <row r="19" spans="2:21" s="2" customFormat="1" x14ac:dyDescent="0.2">
      <c r="B19" s="2" t="s">
        <v>10</v>
      </c>
      <c r="C19" s="6"/>
      <c r="D19" s="6"/>
      <c r="E19" s="6"/>
      <c r="F19" s="6"/>
      <c r="G19" s="6">
        <v>2229</v>
      </c>
      <c r="H19" s="6">
        <v>2322</v>
      </c>
      <c r="I19" s="6"/>
      <c r="J19" s="6"/>
      <c r="K19" s="6">
        <v>2326</v>
      </c>
      <c r="L19" s="6">
        <v>2319</v>
      </c>
      <c r="M19" s="6"/>
      <c r="N19" s="6">
        <v>8294</v>
      </c>
      <c r="O19" s="6">
        <v>8585</v>
      </c>
      <c r="P19" s="6">
        <v>9028</v>
      </c>
      <c r="Q19" s="6">
        <v>6123</v>
      </c>
      <c r="R19" s="6">
        <v>5650</v>
      </c>
      <c r="S19" s="6">
        <v>8522</v>
      </c>
      <c r="T19" s="6">
        <v>9336</v>
      </c>
    </row>
    <row r="20" spans="2:21" s="7" customFormat="1" x14ac:dyDescent="0.2">
      <c r="B20" s="7" t="s">
        <v>7</v>
      </c>
      <c r="C20" s="8"/>
      <c r="D20" s="8"/>
      <c r="E20" s="8"/>
      <c r="F20" s="8"/>
      <c r="G20" s="8">
        <f>+G18+G19</f>
        <v>21815</v>
      </c>
      <c r="H20" s="8">
        <f>+H18+H19</f>
        <v>22330</v>
      </c>
      <c r="I20" s="8"/>
      <c r="J20" s="8"/>
      <c r="K20" s="8">
        <f>+K18+K19</f>
        <v>22083</v>
      </c>
      <c r="L20" s="8">
        <f>+L18+L19</f>
        <v>23155</v>
      </c>
      <c r="M20" s="8"/>
      <c r="N20" s="8">
        <f t="shared" ref="N20:O20" si="0">+N18+N19</f>
        <v>55137</v>
      </c>
      <c r="O20" s="8">
        <f t="shared" si="0"/>
        <v>59454</v>
      </c>
      <c r="P20" s="8">
        <f>+P18+P19</f>
        <v>69607</v>
      </c>
      <c r="Q20" s="8">
        <f>+Q18+Q19</f>
        <v>65388</v>
      </c>
      <c r="R20" s="8">
        <f>+R18+R19</f>
        <v>67418</v>
      </c>
      <c r="S20" s="8">
        <f>+S18+S19</f>
        <v>82722</v>
      </c>
      <c r="T20" s="8">
        <f>+T18+T19</f>
        <v>88898</v>
      </c>
    </row>
    <row r="21" spans="2:21" x14ac:dyDescent="0.2">
      <c r="B21" t="s">
        <v>11</v>
      </c>
      <c r="G21" s="6">
        <f>13160+1456</f>
        <v>14616</v>
      </c>
      <c r="H21" s="6">
        <f>12974+1497</f>
        <v>14471</v>
      </c>
      <c r="K21" s="6">
        <f>12663+1509</f>
        <v>14172</v>
      </c>
      <c r="L21" s="6">
        <f>13236+1473</f>
        <v>14709</v>
      </c>
      <c r="N21" s="6">
        <f>25320+4986</f>
        <v>30306</v>
      </c>
      <c r="O21" s="6">
        <f>27528+5198</f>
        <v>32726</v>
      </c>
      <c r="P21" s="6">
        <f>36493+5568</f>
        <v>42061</v>
      </c>
      <c r="Q21" s="6">
        <f>39406+4474</f>
        <v>43880</v>
      </c>
      <c r="R21" s="6">
        <f>41129+4002</f>
        <v>45131</v>
      </c>
      <c r="S21" s="6">
        <f>48962+5439</f>
        <v>54401</v>
      </c>
      <c r="T21" s="6">
        <f>53139+6062</f>
        <v>59201</v>
      </c>
    </row>
    <row r="22" spans="2:21" x14ac:dyDescent="0.2">
      <c r="B22" t="s">
        <v>12</v>
      </c>
      <c r="G22" s="6">
        <f>+G20-G21</f>
        <v>7199</v>
      </c>
      <c r="H22" s="6">
        <f>+H20-H21</f>
        <v>7859</v>
      </c>
      <c r="K22" s="6">
        <f>+K20-K21</f>
        <v>7911</v>
      </c>
      <c r="L22" s="6">
        <f>+L20-L21</f>
        <v>8446</v>
      </c>
      <c r="N22" s="6">
        <f t="shared" ref="N22:O22" si="1">+N20-N21</f>
        <v>24831</v>
      </c>
      <c r="O22" s="6">
        <f t="shared" si="1"/>
        <v>26728</v>
      </c>
      <c r="P22" s="6">
        <f>+P20-P21</f>
        <v>27546</v>
      </c>
      <c r="Q22" s="6">
        <f>+Q20-Q21</f>
        <v>21508</v>
      </c>
      <c r="R22" s="6">
        <f>+R20-R21</f>
        <v>22287</v>
      </c>
      <c r="S22" s="6">
        <f>+S20-S21</f>
        <v>28321</v>
      </c>
      <c r="T22" s="6">
        <f>+T20-T21</f>
        <v>29697</v>
      </c>
    </row>
    <row r="23" spans="2:21" x14ac:dyDescent="0.2">
      <c r="B23" t="s">
        <v>13</v>
      </c>
      <c r="G23" s="6">
        <v>3614</v>
      </c>
      <c r="H23" s="6">
        <v>2874</v>
      </c>
      <c r="K23" s="6">
        <v>3790</v>
      </c>
      <c r="L23" s="6">
        <v>3872</v>
      </c>
      <c r="N23" s="6">
        <v>8176</v>
      </c>
      <c r="O23" s="6">
        <v>8860</v>
      </c>
      <c r="P23" s="6">
        <v>11549</v>
      </c>
      <c r="Q23" s="6">
        <v>12369</v>
      </c>
      <c r="R23" s="6">
        <v>13517</v>
      </c>
      <c r="S23" s="6">
        <v>16388</v>
      </c>
      <c r="T23" s="6">
        <v>15336</v>
      </c>
    </row>
    <row r="24" spans="2:21" x14ac:dyDescent="0.2">
      <c r="B24" t="s">
        <v>14</v>
      </c>
      <c r="G24" s="6">
        <f>+G22-G23</f>
        <v>3585</v>
      </c>
      <c r="H24" s="6">
        <f>+H22-H23</f>
        <v>4985</v>
      </c>
      <c r="K24" s="6">
        <f>+K22-K23</f>
        <v>4121</v>
      </c>
      <c r="L24" s="6">
        <f>+L22-L23</f>
        <v>4574</v>
      </c>
      <c r="N24" s="6">
        <f t="shared" ref="N24:O24" si="2">+N22-N23</f>
        <v>16655</v>
      </c>
      <c r="O24" s="6">
        <f t="shared" si="2"/>
        <v>17868</v>
      </c>
      <c r="P24" s="6">
        <f>+P22-P23</f>
        <v>15997</v>
      </c>
      <c r="Q24" s="6">
        <f>+Q22-Q23</f>
        <v>9139</v>
      </c>
      <c r="R24" s="6">
        <f>+R22-R23</f>
        <v>8770</v>
      </c>
      <c r="S24" s="6">
        <f>+S22-S23</f>
        <v>11933</v>
      </c>
      <c r="T24" s="6">
        <f>+T22-T23</f>
        <v>14361</v>
      </c>
    </row>
    <row r="25" spans="2:21" x14ac:dyDescent="0.2">
      <c r="B25" t="s">
        <v>18</v>
      </c>
      <c r="G25" s="3">
        <f>149-322+173</f>
        <v>0</v>
      </c>
      <c r="H25" s="3">
        <f>-11-305+191</f>
        <v>-125</v>
      </c>
      <c r="K25" s="3">
        <f>-311+141</f>
        <v>-170</v>
      </c>
      <c r="L25" s="3">
        <f>65-342+146</f>
        <v>-131</v>
      </c>
      <c r="N25" s="6">
        <f>78-385+320</f>
        <v>13</v>
      </c>
      <c r="O25" s="6">
        <f>601-574-102</f>
        <v>-75</v>
      </c>
      <c r="P25" s="6">
        <f>-978-103</f>
        <v>-1081</v>
      </c>
      <c r="Q25" s="6">
        <f>1038-1491+651</f>
        <v>198</v>
      </c>
      <c r="R25" s="6">
        <f>201-1406+761</f>
        <v>-444</v>
      </c>
      <c r="S25" s="6">
        <f>-667-1397+816</f>
        <v>-1248</v>
      </c>
      <c r="T25" s="6">
        <f>96-1209+782</f>
        <v>-331</v>
      </c>
    </row>
    <row r="26" spans="2:21" x14ac:dyDescent="0.2">
      <c r="B26" t="s">
        <v>17</v>
      </c>
      <c r="G26" s="6">
        <f>+G24+G25</f>
        <v>3585</v>
      </c>
      <c r="H26" s="6">
        <f>+H24+H25</f>
        <v>4860</v>
      </c>
      <c r="K26" s="6">
        <f>+K24+K25</f>
        <v>3951</v>
      </c>
      <c r="L26" s="6">
        <f>+L24+L25</f>
        <v>4443</v>
      </c>
      <c r="N26" s="6">
        <f t="shared" ref="N26:O26" si="3">+N24+N25</f>
        <v>16668</v>
      </c>
      <c r="O26" s="6">
        <f t="shared" si="3"/>
        <v>17793</v>
      </c>
      <c r="P26" s="6">
        <f>+P24+P25</f>
        <v>14916</v>
      </c>
      <c r="Q26" s="6">
        <f>+Q24+Q25</f>
        <v>9337</v>
      </c>
      <c r="R26" s="6">
        <f>+R24+R25</f>
        <v>8326</v>
      </c>
      <c r="S26" s="6">
        <f>+S24+S25</f>
        <v>10685</v>
      </c>
      <c r="T26" s="6">
        <f>+T24+T25</f>
        <v>14030</v>
      </c>
    </row>
    <row r="27" spans="2:21" x14ac:dyDescent="0.2">
      <c r="B27" t="s">
        <v>19</v>
      </c>
      <c r="G27" s="3">
        <f>635-217</f>
        <v>418</v>
      </c>
      <c r="H27" s="3">
        <f>19+307</f>
        <v>326</v>
      </c>
      <c r="K27" s="3">
        <f>441-236</f>
        <v>205</v>
      </c>
      <c r="L27" s="3">
        <f>251+221</f>
        <v>472</v>
      </c>
      <c r="N27" s="6">
        <f>4422+386</f>
        <v>4808</v>
      </c>
      <c r="O27" s="6">
        <f>1663+468</f>
        <v>2131</v>
      </c>
      <c r="P27" s="6">
        <f>3026-687+472+58</f>
        <v>2869</v>
      </c>
      <c r="Q27" s="6">
        <f>699+32+390</f>
        <v>1121</v>
      </c>
      <c r="R27" s="6">
        <f>25+29+512</f>
        <v>566</v>
      </c>
      <c r="S27" s="6">
        <f>1732+48+360</f>
        <v>2140</v>
      </c>
      <c r="T27" s="6">
        <f>1379+1036</f>
        <v>2415</v>
      </c>
    </row>
    <row r="28" spans="2:21" x14ac:dyDescent="0.2">
      <c r="B28" t="s">
        <v>20</v>
      </c>
      <c r="G28" s="6">
        <f>+G26-G27</f>
        <v>3167</v>
      </c>
      <c r="H28" s="6">
        <f>+H26-H27</f>
        <v>4534</v>
      </c>
      <c r="K28" s="6">
        <f>+K26-K27</f>
        <v>3746</v>
      </c>
      <c r="L28" s="6">
        <f>+L26-L27</f>
        <v>3971</v>
      </c>
      <c r="N28" s="6">
        <f t="shared" ref="N28:O28" si="4">+N26-N27</f>
        <v>11860</v>
      </c>
      <c r="O28" s="6">
        <f t="shared" si="4"/>
        <v>15662</v>
      </c>
      <c r="P28" s="6">
        <f>+P26-P27</f>
        <v>12047</v>
      </c>
      <c r="Q28" s="6">
        <f>+Q26-Q27</f>
        <v>8216</v>
      </c>
      <c r="R28" s="6">
        <f>+R26-R27</f>
        <v>7760</v>
      </c>
      <c r="S28" s="6">
        <f>+S26-S27</f>
        <v>8545</v>
      </c>
      <c r="T28" s="6">
        <f>+T26-T27</f>
        <v>11615</v>
      </c>
    </row>
    <row r="29" spans="2:21" x14ac:dyDescent="0.2">
      <c r="B29" t="s">
        <v>21</v>
      </c>
      <c r="G29" s="10">
        <f>+G28/G30</f>
        <v>1.7324945295404814</v>
      </c>
      <c r="H29" s="10">
        <f>+H28/H30</f>
        <v>2.4789502460360855</v>
      </c>
      <c r="K29" s="10">
        <f>+K28/K30</f>
        <v>2.0425299890948745</v>
      </c>
      <c r="L29" s="10">
        <f>+L28/L30</f>
        <v>2.1806699615595826</v>
      </c>
      <c r="N29" s="10">
        <f t="shared" ref="N29:O29" si="5">+N28/N30</f>
        <v>7.5637755102040813</v>
      </c>
      <c r="O29" s="10">
        <f t="shared" si="5"/>
        <v>10.448298865910607</v>
      </c>
      <c r="P29" s="10">
        <f>+P28/P30</f>
        <v>7.27475845410628</v>
      </c>
      <c r="Q29" s="10">
        <f>+Q28/Q30</f>
        <v>4.5442477876106198</v>
      </c>
      <c r="R29" s="10">
        <f>+R28/R30</f>
        <v>4.2731277533039647</v>
      </c>
      <c r="S29" s="10">
        <f>+S28/S30</f>
        <v>4.6899012074643247</v>
      </c>
      <c r="T29" s="10">
        <f>+T28/T30</f>
        <v>6.3539387308533914</v>
      </c>
    </row>
    <row r="30" spans="2:21" x14ac:dyDescent="0.2">
      <c r="B30" t="s">
        <v>1</v>
      </c>
      <c r="G30" s="6">
        <v>1828</v>
      </c>
      <c r="H30" s="6">
        <v>1829</v>
      </c>
      <c r="K30" s="6">
        <v>1834</v>
      </c>
      <c r="L30" s="6">
        <v>1821</v>
      </c>
      <c r="N30" s="6">
        <v>1568</v>
      </c>
      <c r="O30" s="6">
        <v>1499</v>
      </c>
      <c r="P30" s="6">
        <v>1656</v>
      </c>
      <c r="Q30" s="6">
        <v>1808</v>
      </c>
      <c r="R30" s="6">
        <v>1816</v>
      </c>
      <c r="S30" s="6">
        <v>1822</v>
      </c>
      <c r="T30" s="6">
        <v>1828</v>
      </c>
    </row>
    <row r="32" spans="2:21" x14ac:dyDescent="0.2">
      <c r="B32" t="s">
        <v>15</v>
      </c>
      <c r="K32" s="9">
        <f>+K22/K20</f>
        <v>0.35823936965086267</v>
      </c>
      <c r="L32" s="9">
        <f>+L22/L20</f>
        <v>0.36475923126754478</v>
      </c>
      <c r="N32" s="9">
        <f t="shared" ref="N32" si="6">+N22/N20</f>
        <v>0.45035094401218784</v>
      </c>
      <c r="O32" s="9">
        <f t="shared" ref="O32:P32" si="7">+O22/O20</f>
        <v>0.44955764120160124</v>
      </c>
      <c r="P32" s="9">
        <f>+P22/P20</f>
        <v>0.39573606102834485</v>
      </c>
      <c r="Q32" s="9">
        <f t="shared" ref="Q32:T32" si="8">+Q22/Q20</f>
        <v>0.32892885544748274</v>
      </c>
      <c r="R32" s="9">
        <f t="shared" si="8"/>
        <v>0.33057937049452668</v>
      </c>
      <c r="S32" s="9">
        <f t="shared" si="8"/>
        <v>0.34236357921713689</v>
      </c>
      <c r="T32" s="9">
        <f t="shared" si="8"/>
        <v>0.33405700915656145</v>
      </c>
      <c r="U32" s="9"/>
    </row>
    <row r="33" spans="2:21" x14ac:dyDescent="0.2">
      <c r="B33" t="s">
        <v>16</v>
      </c>
      <c r="K33" s="9">
        <f>+K24/K20</f>
        <v>0.18661413757188788</v>
      </c>
      <c r="L33" s="9">
        <f>+L24/L20</f>
        <v>0.19753832865471821</v>
      </c>
      <c r="N33" s="9">
        <f t="shared" ref="N33" si="9">+N24/N20</f>
        <v>0.3020657634619221</v>
      </c>
      <c r="O33" s="9">
        <f t="shared" ref="O33:P33" si="10">+O24/O20</f>
        <v>0.30053486729236051</v>
      </c>
      <c r="P33" s="9">
        <f>+P24/P20</f>
        <v>0.22981884005918946</v>
      </c>
      <c r="Q33" s="9">
        <f t="shared" ref="Q33:T33" si="11">+Q24/Q20</f>
        <v>0.13976570624579435</v>
      </c>
      <c r="R33" s="9">
        <f t="shared" si="11"/>
        <v>0.1300839538402207</v>
      </c>
      <c r="S33" s="9">
        <f t="shared" si="11"/>
        <v>0.14425424917192525</v>
      </c>
      <c r="T33" s="9">
        <f t="shared" si="11"/>
        <v>0.16154469166910393</v>
      </c>
      <c r="U33" s="9"/>
    </row>
    <row r="34" spans="2:21" s="4" customFormat="1" x14ac:dyDescent="0.2">
      <c r="B34" s="4" t="s">
        <v>41</v>
      </c>
      <c r="C34" s="5"/>
      <c r="D34" s="5"/>
      <c r="E34" s="5"/>
      <c r="F34" s="5"/>
      <c r="G34" s="5"/>
      <c r="H34" s="5"/>
      <c r="I34" s="5"/>
      <c r="J34" s="5"/>
      <c r="K34" s="15">
        <f>+K20/G20-1</f>
        <v>1.2285124914049872E-2</v>
      </c>
      <c r="L34" s="15">
        <f>+L20/H20-1</f>
        <v>3.6945812807881673E-2</v>
      </c>
      <c r="M34" s="5"/>
      <c r="N34" s="5"/>
      <c r="O34" s="15">
        <f>+O20/N20-1</f>
        <v>7.8295881168725101E-2</v>
      </c>
      <c r="P34" s="15">
        <f>+P20/O20-1</f>
        <v>0.17077067985333194</v>
      </c>
      <c r="Q34" s="15">
        <f>+Q20/P20-1</f>
        <v>-6.0611720085623544E-2</v>
      </c>
      <c r="R34" s="15">
        <f t="shared" ref="R34:T34" si="12">+R20/Q20-1</f>
        <v>3.1045451764849741E-2</v>
      </c>
      <c r="S34" s="15">
        <f t="shared" si="12"/>
        <v>0.22700169094307165</v>
      </c>
      <c r="T34" s="15">
        <f t="shared" si="12"/>
        <v>7.4659703585503223E-2</v>
      </c>
      <c r="U34" s="15"/>
    </row>
    <row r="37" spans="2:21" x14ac:dyDescent="0.2">
      <c r="B37" t="s">
        <v>3</v>
      </c>
      <c r="L37" s="6">
        <f>5954+4632</f>
        <v>10586</v>
      </c>
    </row>
    <row r="38" spans="2:21" x14ac:dyDescent="0.2">
      <c r="B38" t="s">
        <v>22</v>
      </c>
      <c r="L38" s="6">
        <v>12966</v>
      </c>
    </row>
    <row r="39" spans="2:21" x14ac:dyDescent="0.2">
      <c r="B39" t="s">
        <v>23</v>
      </c>
      <c r="L39" s="6">
        <v>1984</v>
      </c>
    </row>
    <row r="40" spans="2:21" x14ac:dyDescent="0.2">
      <c r="B40" t="s">
        <v>24</v>
      </c>
      <c r="L40" s="6">
        <v>1992</v>
      </c>
    </row>
    <row r="41" spans="2:21" x14ac:dyDescent="0.2">
      <c r="B41" t="s">
        <v>25</v>
      </c>
      <c r="L41" s="6">
        <v>2597</v>
      </c>
    </row>
    <row r="42" spans="2:21" x14ac:dyDescent="0.2">
      <c r="B42" t="s">
        <v>26</v>
      </c>
      <c r="L42" s="6">
        <v>32799</v>
      </c>
    </row>
    <row r="43" spans="2:21" x14ac:dyDescent="0.2">
      <c r="B43" t="s">
        <v>27</v>
      </c>
      <c r="L43" s="6">
        <v>36041</v>
      </c>
    </row>
    <row r="44" spans="2:21" x14ac:dyDescent="0.2">
      <c r="B44" t="s">
        <v>28</v>
      </c>
      <c r="L44" s="6">
        <f>11107+73914</f>
        <v>85021</v>
      </c>
    </row>
    <row r="45" spans="2:21" x14ac:dyDescent="0.2">
      <c r="B45" t="s">
        <v>29</v>
      </c>
      <c r="L45" s="6">
        <v>13786</v>
      </c>
    </row>
    <row r="46" spans="2:21" x14ac:dyDescent="0.2">
      <c r="B46" t="s">
        <v>30</v>
      </c>
      <c r="L46" s="6">
        <f>SUM(L37:L45)</f>
        <v>197772</v>
      </c>
    </row>
    <row r="48" spans="2:21" x14ac:dyDescent="0.2">
      <c r="B48" t="s">
        <v>31</v>
      </c>
      <c r="L48" s="6">
        <v>20216</v>
      </c>
    </row>
    <row r="49" spans="2:21" x14ac:dyDescent="0.2">
      <c r="B49" t="s">
        <v>4</v>
      </c>
      <c r="L49" s="6">
        <f>8060+39524</f>
        <v>47584</v>
      </c>
    </row>
    <row r="50" spans="2:21" x14ac:dyDescent="0.2">
      <c r="B50" t="s">
        <v>36</v>
      </c>
      <c r="L50" s="6">
        <v>7336</v>
      </c>
    </row>
    <row r="51" spans="2:21" x14ac:dyDescent="0.2">
      <c r="B51" t="s">
        <v>32</v>
      </c>
      <c r="L51" s="6">
        <v>6628</v>
      </c>
    </row>
    <row r="52" spans="2:21" x14ac:dyDescent="0.2">
      <c r="B52" t="s">
        <v>33</v>
      </c>
      <c r="L52" s="6">
        <v>10705</v>
      </c>
    </row>
    <row r="53" spans="2:21" x14ac:dyDescent="0.2">
      <c r="B53" t="s">
        <v>34</v>
      </c>
      <c r="L53" s="6">
        <v>105303</v>
      </c>
    </row>
    <row r="54" spans="2:21" x14ac:dyDescent="0.2">
      <c r="B54" t="s">
        <v>35</v>
      </c>
      <c r="L54" s="6">
        <f>SUM(L48:L53)</f>
        <v>197772</v>
      </c>
    </row>
    <row r="56" spans="2:21" x14ac:dyDescent="0.2">
      <c r="B56" t="s">
        <v>37</v>
      </c>
      <c r="L56" s="6">
        <f>8453-K56-J56</f>
        <v>8453</v>
      </c>
      <c r="N56" s="6">
        <v>12343</v>
      </c>
      <c r="O56" s="6">
        <v>14295</v>
      </c>
      <c r="P56" s="6">
        <v>5984</v>
      </c>
      <c r="S56" s="2">
        <v>5566</v>
      </c>
      <c r="T56" s="6">
        <v>6002</v>
      </c>
      <c r="U56" s="6">
        <v>9866</v>
      </c>
    </row>
    <row r="57" spans="2:21" x14ac:dyDescent="0.2">
      <c r="B57" t="s">
        <v>67</v>
      </c>
      <c r="L57" s="6"/>
      <c r="N57" s="6">
        <v>3623</v>
      </c>
      <c r="O57" s="6">
        <v>4465</v>
      </c>
      <c r="P57" s="6">
        <v>4876</v>
      </c>
      <c r="S57" s="2">
        <v>3578</v>
      </c>
      <c r="T57" s="6">
        <v>4943</v>
      </c>
      <c r="U57" s="6">
        <v>4969</v>
      </c>
    </row>
    <row r="58" spans="2:21" x14ac:dyDescent="0.2">
      <c r="B58" t="s">
        <v>68</v>
      </c>
      <c r="L58" s="6"/>
      <c r="N58" s="6">
        <f>+N56-N57</f>
        <v>8720</v>
      </c>
      <c r="O58" s="6">
        <f>+O56-O57</f>
        <v>9830</v>
      </c>
      <c r="P58" s="6">
        <f>+P56-P57</f>
        <v>1108</v>
      </c>
      <c r="S58" s="2">
        <f>+S56-S57</f>
        <v>1988</v>
      </c>
      <c r="T58" s="6">
        <f>+T56-T57</f>
        <v>1059</v>
      </c>
      <c r="U58" s="6">
        <f>+U56-U57</f>
        <v>4897</v>
      </c>
    </row>
    <row r="60" spans="2:21" x14ac:dyDescent="0.2">
      <c r="B60" t="s">
        <v>45</v>
      </c>
      <c r="H60" s="3">
        <v>408</v>
      </c>
      <c r="L60" s="3">
        <v>1201</v>
      </c>
    </row>
    <row r="61" spans="2:21" x14ac:dyDescent="0.2">
      <c r="B61" t="s">
        <v>46</v>
      </c>
      <c r="H61" s="3">
        <v>854</v>
      </c>
      <c r="L61" s="3">
        <v>802</v>
      </c>
    </row>
    <row r="62" spans="2:21" x14ac:dyDescent="0.2">
      <c r="B62" t="s">
        <v>47</v>
      </c>
      <c r="H62" s="3">
        <v>2297</v>
      </c>
      <c r="L62" s="3">
        <v>2222</v>
      </c>
    </row>
    <row r="64" spans="2:21" x14ac:dyDescent="0.2">
      <c r="B64" t="s">
        <v>50</v>
      </c>
      <c r="H64" s="9">
        <f>+H60/H13</f>
        <v>4.0288338106053125E-2</v>
      </c>
      <c r="L64" s="9">
        <f>+L60/L13</f>
        <v>0.11351606805293006</v>
      </c>
    </row>
    <row r="65" spans="2:12" x14ac:dyDescent="0.2">
      <c r="B65" t="s">
        <v>51</v>
      </c>
      <c r="H65" s="9">
        <f>+H61/H16</f>
        <v>0.19700115340253749</v>
      </c>
      <c r="L65" s="9">
        <f>+L61/L16</f>
        <v>0.17595436594997807</v>
      </c>
    </row>
    <row r="66" spans="2:12" x14ac:dyDescent="0.2">
      <c r="B66" t="s">
        <v>52</v>
      </c>
      <c r="H66" s="9">
        <f>+H62/H17</f>
        <v>0.28019029031471093</v>
      </c>
      <c r="L66" s="9">
        <f>+L62/L17</f>
        <v>0.2649654185547341</v>
      </c>
    </row>
  </sheetData>
  <hyperlinks>
    <hyperlink ref="A1" location="Main!A1" display="Main" xr:uid="{CD0BA4EA-D892-4986-A3CE-C3AD36EEDA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2024-08-13T15:14:55Z</dcterms:created>
  <dcterms:modified xsi:type="dcterms:W3CDTF">2024-08-13T16:10:04Z</dcterms:modified>
</cp:coreProperties>
</file>