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845EFD3-93D5-40D6-AFF7-BDB57F07F07B}" xr6:coauthVersionLast="47" xr6:coauthVersionMax="47" xr10:uidLastSave="{00000000-0000-0000-0000-000000000000}"/>
  <bookViews>
    <workbookView xWindow="-48015" yWindow="975" windowWidth="27285" windowHeight="18405" activeTab="1" xr2:uid="{B718C7B9-D18D-4E93-80ED-B3250610D4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2" l="1"/>
  <c r="X32" i="2"/>
  <c r="X30" i="2"/>
  <c r="X16" i="2"/>
  <c r="X18" i="2"/>
  <c r="X21" i="2"/>
  <c r="X17" i="2"/>
  <c r="X19" i="2" s="1"/>
  <c r="X13" i="2"/>
  <c r="X12" i="2"/>
  <c r="X11" i="2"/>
  <c r="X9" i="2"/>
  <c r="X10" i="2"/>
  <c r="X24" i="2" s="1"/>
  <c r="W32" i="2"/>
  <c r="R8" i="2"/>
  <c r="Q8" i="2"/>
  <c r="P8" i="2"/>
  <c r="X8" i="2"/>
  <c r="X23" i="2" s="1"/>
  <c r="O23" i="2"/>
  <c r="V32" i="2"/>
  <c r="U32" i="2"/>
  <c r="T32" i="2"/>
  <c r="W18" i="2"/>
  <c r="W8" i="2"/>
  <c r="N21" i="2"/>
  <c r="W21" i="2" s="1"/>
  <c r="N10" i="2"/>
  <c r="N9" i="2" s="1"/>
  <c r="W9" i="2" s="1"/>
  <c r="J21" i="2"/>
  <c r="J18" i="2"/>
  <c r="J13" i="2"/>
  <c r="N13" i="2" s="1"/>
  <c r="W13" i="2" s="1"/>
  <c r="J12" i="2"/>
  <c r="N12" i="2" s="1"/>
  <c r="W12" i="2" s="1"/>
  <c r="J11" i="2"/>
  <c r="J14" i="2" s="1"/>
  <c r="J9" i="2"/>
  <c r="J8" i="2"/>
  <c r="J10" i="2" s="1"/>
  <c r="J24" i="2" s="1"/>
  <c r="U23" i="2"/>
  <c r="T16" i="2"/>
  <c r="T10" i="2"/>
  <c r="T24" i="2" s="1"/>
  <c r="U16" i="2"/>
  <c r="U10" i="2"/>
  <c r="U24" i="2" s="1"/>
  <c r="V23" i="2"/>
  <c r="V16" i="2"/>
  <c r="V14" i="2"/>
  <c r="U14" i="2"/>
  <c r="U15" i="2" s="1"/>
  <c r="U17" i="2" s="1"/>
  <c r="U19" i="2" s="1"/>
  <c r="U20" i="2" s="1"/>
  <c r="T14" i="2"/>
  <c r="T15" i="2" s="1"/>
  <c r="V10" i="2"/>
  <c r="V24" i="2" s="1"/>
  <c r="U2" i="2"/>
  <c r="V2" i="2" s="1"/>
  <c r="W2" i="2" s="1"/>
  <c r="X2" i="2" s="1"/>
  <c r="G31" i="2"/>
  <c r="K31" i="2"/>
  <c r="L29" i="2"/>
  <c r="L30" i="2"/>
  <c r="M30" i="2" s="1"/>
  <c r="H29" i="2"/>
  <c r="I29" i="2" s="1"/>
  <c r="G16" i="2"/>
  <c r="G14" i="2"/>
  <c r="G10" i="2"/>
  <c r="G24" i="2" s="1"/>
  <c r="K23" i="2"/>
  <c r="K16" i="2"/>
  <c r="K14" i="2"/>
  <c r="K10" i="2"/>
  <c r="K24" i="2" s="1"/>
  <c r="H30" i="2"/>
  <c r="I30" i="2"/>
  <c r="H16" i="2"/>
  <c r="H14" i="2"/>
  <c r="H10" i="2"/>
  <c r="H24" i="2" s="1"/>
  <c r="L23" i="2"/>
  <c r="L16" i="2"/>
  <c r="L14" i="2"/>
  <c r="L10" i="2"/>
  <c r="L24" i="2" s="1"/>
  <c r="I16" i="2"/>
  <c r="M16" i="2"/>
  <c r="I14" i="2"/>
  <c r="M14" i="2"/>
  <c r="M23" i="2"/>
  <c r="I10" i="2"/>
  <c r="M10" i="2"/>
  <c r="M7" i="1"/>
  <c r="M4" i="1"/>
  <c r="M5" i="1"/>
  <c r="X20" i="2" l="1"/>
  <c r="X14" i="2"/>
  <c r="X15" i="2" s="1"/>
  <c r="N23" i="2"/>
  <c r="N11" i="2"/>
  <c r="J16" i="2"/>
  <c r="J15" i="2"/>
  <c r="J17" i="2"/>
  <c r="J19" i="2" s="1"/>
  <c r="N16" i="2"/>
  <c r="W16" i="2" s="1"/>
  <c r="V15" i="2"/>
  <c r="V17" i="2" s="1"/>
  <c r="V19" i="2" s="1"/>
  <c r="V20" i="2" s="1"/>
  <c r="J20" i="2"/>
  <c r="W10" i="2"/>
  <c r="W24" i="2" s="1"/>
  <c r="W23" i="2"/>
  <c r="T17" i="2"/>
  <c r="T19" i="2" s="1"/>
  <c r="T20" i="2" s="1"/>
  <c r="M15" i="2"/>
  <c r="L31" i="2"/>
  <c r="M17" i="2"/>
  <c r="M19" i="2" s="1"/>
  <c r="M20" i="2" s="1"/>
  <c r="I15" i="2"/>
  <c r="I17" i="2" s="1"/>
  <c r="I19" i="2" s="1"/>
  <c r="I20" i="2" s="1"/>
  <c r="M29" i="2"/>
  <c r="M31" i="2" s="1"/>
  <c r="I31" i="2"/>
  <c r="H31" i="2"/>
  <c r="G15" i="2"/>
  <c r="G17" i="2" s="1"/>
  <c r="G19" i="2" s="1"/>
  <c r="G20" i="2" s="1"/>
  <c r="K15" i="2"/>
  <c r="K17" i="2" s="1"/>
  <c r="K19" i="2" s="1"/>
  <c r="K20" i="2" s="1"/>
  <c r="H15" i="2"/>
  <c r="H17" i="2" s="1"/>
  <c r="H19" i="2" s="1"/>
  <c r="H20" i="2" s="1"/>
  <c r="L15" i="2"/>
  <c r="L17" i="2" s="1"/>
  <c r="L19" i="2" s="1"/>
  <c r="L20" i="2" s="1"/>
  <c r="I24" i="2"/>
  <c r="M24" i="2"/>
  <c r="N14" i="2" l="1"/>
  <c r="N15" i="2" s="1"/>
  <c r="N17" i="2" s="1"/>
  <c r="N19" i="2" s="1"/>
  <c r="N20" i="2" s="1"/>
  <c r="W11" i="2"/>
  <c r="W14" i="2" s="1"/>
  <c r="W15" i="2" s="1"/>
  <c r="W17" i="2" s="1"/>
  <c r="W19" i="2" s="1"/>
  <c r="W20" i="2" s="1"/>
</calcChain>
</file>

<file path=xl/sharedStrings.xml><?xml version="1.0" encoding="utf-8"?>
<sst xmlns="http://schemas.openxmlformats.org/spreadsheetml/2006/main" count="49" uniqueCount="45">
  <si>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</si>
  <si>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</si>
  <si>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</si>
  <si>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</si>
  <si>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</si>
  <si>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</si>
  <si>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</si>
  <si>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</si>
  <si>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</si>
  <si>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</si>
  <si>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</si>
  <si>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</si>
  <si>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</si>
  <si>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</si>
  <si>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</si>
  <si>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</si>
  <si>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</si>
  <si>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</si>
  <si>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</si>
  <si>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</si>
  <si>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Gross Profit</t>
  </si>
  <si>
    <t>COGS</t>
  </si>
  <si>
    <t>R&amp;D</t>
  </si>
  <si>
    <t>S&amp;M</t>
  </si>
  <si>
    <t>G&amp;A</t>
  </si>
  <si>
    <t>Operating Expenses</t>
  </si>
  <si>
    <t>Operating Income</t>
  </si>
  <si>
    <t>Revenue y/y</t>
  </si>
  <si>
    <t>Gross Margin</t>
  </si>
  <si>
    <t>Interest Income</t>
  </si>
  <si>
    <t>Pretax Income</t>
  </si>
  <si>
    <t>Taxes</t>
  </si>
  <si>
    <t>Net Income</t>
  </si>
  <si>
    <t>EPS</t>
  </si>
  <si>
    <t>CFFO</t>
  </si>
  <si>
    <t>FCF</t>
  </si>
  <si>
    <t>CapEx</t>
  </si>
  <si>
    <t>Customers</t>
  </si>
  <si>
    <t>Enterprise Customers</t>
  </si>
  <si>
    <t>Enterprise ASP</t>
  </si>
  <si>
    <t>ARR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</si>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</sst>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0" fontId="0" fillId="0" borderId="0" xfId="0" applyNumberFormat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B60C6BE-5CF6-4F7D-8ACB-2256AF12E2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27153</xdr:colOff>
      <xdr:row>0</xdr:row>
      <xdr:rowOff>54449</xdr:rowOff>
    </xdr:from>
    <xdr:to>
      <xdr:col>14</xdr:col>
      <xdr:colOff>27153</xdr:colOff>
      <xdr:row>34</xdr:row>
      <xdr:rowOff>45157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D2AFF97-BD74-2D90-5730-33DE983E1C47}"/>
            </a:ext>
          </a:extLst>
        </xdr:cNvPr>
        <xdr:cNvCxnSpPr/>
      </xdr:nvCxnSpPr>
      <xdr:spPr>
        <a:xfrm>
          <a:off x="8855637" y="54449"/>
          <a:ext cx="0" cy="54556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26501</xdr:colOff>
      <xdr:row>0</xdr:row>
      <xdr:rowOff>0</xdr:rowOff>
    </xdr:from>
    <xdr:to>
      <xdr:col>23</xdr:col>
      <xdr:colOff>26501</xdr:colOff>
      <xdr:row>33</xdr:row>
      <xdr:rowOff>151443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6C39134-9F76-4A3A-8B55-3B791292D929}"/>
            </a:ext>
          </a:extLst>
        </xdr:cNvPr>
        <xdr:cNvCxnSpPr/>
      </xdr:nvCxnSpPr>
      <xdr:spPr>
        <a:xfrm>
          <a:off x="14368430" y="0"/>
          <a:ext cx="0" cy="55398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D2A2-2771-4D58-B3B4-A0F679836C3C}">
  <dimension ref="L2:N7"/>
  <sheetViews>
    <sheetView zoomScale="175" zoomScaleNormal="175" workbookViewId="0">
      <selection activeCell="M7" sqref="L7:M7"/>
    </sheetView>
  </sheetViews>
  <sheetFormatPr defaultRowHeight="12.75" x14ac:dyDescent="0.2"/>
  <sheetData>
    <row r="2" spans="12:14" x14ac:dyDescent="0.2">
      <c r="L2" t="s">
        <v>0</v>
      </c>
      <c r="M2" s="1">
        <v>6.84</v>
      </c>
    </row>
    <row r="3" spans="12:14" x14ac:dyDescent="0.2">
      <c r="L3" t="s">
        <v>1</v>
      </c>
      <c r="M3" s="2">
        <v>140.30000000000001</v>
      </c>
      <c r="N3" s="3" t="s">
        <v>6</v>
      </c>
    </row>
    <row r="4" spans="12:14" x14ac:dyDescent="0.2">
      <c r="L4" t="s">
        <v>2</v>
      </c>
      <c r="M4" s="2">
        <f>+M2*M3</f>
        <v>959.65200000000004</v>
      </c>
    </row>
    <row r="5" spans="12:14" x14ac:dyDescent="0.2">
      <c r="L5" t="s">
        <v>3</v>
      </c>
      <c r="M5" s="2">
        <f>217.514+90.733</f>
        <v>308.24700000000001</v>
      </c>
      <c r="N5" s="3" t="s">
        <v>6</v>
      </c>
    </row>
    <row r="6" spans="12:14" x14ac:dyDescent="0.2">
      <c r="L6" t="s">
        <v>4</v>
      </c>
      <c r="M6" s="2">
        <v>344.49799999999999</v>
      </c>
      <c r="N6" s="3" t="s">
        <v>6</v>
      </c>
    </row>
    <row r="7" spans="12:14" x14ac:dyDescent="0.2">
      <c r="L7" t="s">
        <v>5</v>
      </c>
      <c r="M7" s="2">
        <f>+M4-M5+M6</f>
        <v>995.90300000000002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E30B-AC11-4E63-AEBF-7166943F86CD}">
  <dimension ref="A1:X32"/>
  <sheetViews>
    <sheetView tabSelected="1" zoomScale="175" zoomScaleNormal="175" workbookViewId="0">
      <pane xSplit="2" ySplit="2" topLeftCell="O6" activePane="bottomRight" state="frozen"/>
      <selection pane="topRight" activeCell="C1" sqref="C1"/>
      <selection pane="bottomLeft" activeCell="A3" sqref="A3"/>
      <selection pane="bottomRight" activeCell="X9" sqref="X9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3"/>
  </cols>
  <sheetData>
    <row r="1" spans="1:24" x14ac:dyDescent="0.2">
      <c r="A1" t="s">
        <v>7</v>
      </c>
    </row>
    <row r="2" spans="1:2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41</v>
      </c>
      <c r="P2" s="3" t="s">
        <v>42</v>
      </c>
      <c r="Q2" s="3" t="s">
        <v>43</v>
      </c>
      <c r="R2" s="3" t="s">
        <v>44</v>
      </c>
      <c r="T2">
        <v>2021</v>
      </c>
      <c r="U2">
        <f>+T2+1</f>
        <v>2022</v>
      </c>
      <c r="V2">
        <f>+U2+1</f>
        <v>2023</v>
      </c>
      <c r="W2">
        <f>+V2+1</f>
        <v>2024</v>
      </c>
      <c r="X2">
        <f>+W2+1</f>
        <v>2025</v>
      </c>
    </row>
    <row r="3" spans="1:24" x14ac:dyDescent="0.2">
      <c r="B3" t="s">
        <v>37</v>
      </c>
      <c r="U3">
        <v>3062</v>
      </c>
      <c r="V3">
        <v>3243</v>
      </c>
    </row>
    <row r="4" spans="1:24" x14ac:dyDescent="0.2">
      <c r="B4" t="s">
        <v>38</v>
      </c>
      <c r="U4">
        <v>533</v>
      </c>
      <c r="V4">
        <v>578</v>
      </c>
    </row>
    <row r="5" spans="1:24" x14ac:dyDescent="0.2">
      <c r="B5" t="s">
        <v>39</v>
      </c>
      <c r="U5">
        <v>822</v>
      </c>
      <c r="V5">
        <v>880</v>
      </c>
    </row>
    <row r="6" spans="1:24" x14ac:dyDescent="0.2">
      <c r="B6" t="s">
        <v>40</v>
      </c>
      <c r="U6" s="13">
        <v>0.98899999999999999</v>
      </c>
      <c r="V6" s="13">
        <v>0.99199999999999999</v>
      </c>
    </row>
    <row r="8" spans="1:24" s="6" customFormat="1" x14ac:dyDescent="0.2">
      <c r="B8" s="6" t="s">
        <v>8</v>
      </c>
      <c r="C8" s="7"/>
      <c r="D8" s="7"/>
      <c r="E8" s="7"/>
      <c r="F8" s="7"/>
      <c r="G8" s="7">
        <v>117.56399999999999</v>
      </c>
      <c r="H8" s="7">
        <v>122.831</v>
      </c>
      <c r="I8" s="7">
        <v>127.816</v>
      </c>
      <c r="J8" s="7">
        <f>+V8-I8-H8-G8</f>
        <v>137.77700000000002</v>
      </c>
      <c r="K8" s="7">
        <v>133.52000000000001</v>
      </c>
      <c r="L8" s="7">
        <v>132.37100000000001</v>
      </c>
      <c r="M8" s="7">
        <v>137.20599999999999</v>
      </c>
      <c r="N8" s="7">
        <v>140.57900000000001</v>
      </c>
      <c r="O8" s="7">
        <v>138</v>
      </c>
      <c r="P8" s="7">
        <f>+L8*1.08</f>
        <v>142.96068000000002</v>
      </c>
      <c r="Q8" s="7">
        <f>+M8*1.08</f>
        <v>148.18248</v>
      </c>
      <c r="R8" s="7">
        <f>+N8*1.08</f>
        <v>151.82532</v>
      </c>
      <c r="T8" s="6">
        <v>354.33</v>
      </c>
      <c r="U8" s="6">
        <v>432.72500000000002</v>
      </c>
      <c r="V8" s="6">
        <v>505.988</v>
      </c>
      <c r="W8" s="6">
        <f>SUM(K8:N8)</f>
        <v>543.67599999999993</v>
      </c>
      <c r="X8" s="6">
        <f>SUM(O8:R8)</f>
        <v>580.96848</v>
      </c>
    </row>
    <row r="9" spans="1:24" s="2" customFormat="1" x14ac:dyDescent="0.2">
      <c r="B9" s="2" t="s">
        <v>21</v>
      </c>
      <c r="C9" s="4"/>
      <c r="D9" s="4"/>
      <c r="E9" s="4"/>
      <c r="F9" s="4"/>
      <c r="G9" s="4">
        <v>57.31</v>
      </c>
      <c r="H9" s="4">
        <v>58.616999999999997</v>
      </c>
      <c r="I9" s="4">
        <v>61.73</v>
      </c>
      <c r="J9" s="11">
        <f>+V9-I9-H9-G9</f>
        <v>62.003000000000014</v>
      </c>
      <c r="K9" s="4">
        <v>60.286000000000001</v>
      </c>
      <c r="L9" s="4">
        <v>59.47</v>
      </c>
      <c r="M9" s="4">
        <v>62.466000000000001</v>
      </c>
      <c r="N9" s="4">
        <f>+N8-N10</f>
        <v>64.666340000000005</v>
      </c>
      <c r="O9" s="4"/>
      <c r="P9" s="4"/>
      <c r="Q9" s="4"/>
      <c r="R9" s="4"/>
      <c r="T9" s="2">
        <v>167.00200000000001</v>
      </c>
      <c r="U9" s="2">
        <v>222.94399999999999</v>
      </c>
      <c r="V9" s="2">
        <v>239.66</v>
      </c>
      <c r="W9" s="2">
        <f>SUM(K9:N9)</f>
        <v>246.88834000000003</v>
      </c>
      <c r="X9" s="2">
        <f>+X8-X10</f>
        <v>261.43581599999999</v>
      </c>
    </row>
    <row r="10" spans="1:24" s="10" customFormat="1" x14ac:dyDescent="0.2">
      <c r="B10" s="10" t="s">
        <v>20</v>
      </c>
      <c r="C10" s="11"/>
      <c r="D10" s="11"/>
      <c r="E10" s="11"/>
      <c r="F10" s="11"/>
      <c r="G10" s="11">
        <f>+G8-G9</f>
        <v>60.253999999999991</v>
      </c>
      <c r="H10" s="11">
        <f>+H8-H9</f>
        <v>64.213999999999999</v>
      </c>
      <c r="I10" s="11">
        <f>+I8-I9</f>
        <v>66.086000000000013</v>
      </c>
      <c r="J10" s="11">
        <f>+J8-J9</f>
        <v>75.774000000000001</v>
      </c>
      <c r="K10" s="11">
        <f>+K8-K9</f>
        <v>73.234000000000009</v>
      </c>
      <c r="L10" s="11">
        <f>+L8-L9</f>
        <v>72.90100000000001</v>
      </c>
      <c r="M10" s="11">
        <f>+M8-M9</f>
        <v>74.739999999999981</v>
      </c>
      <c r="N10" s="11">
        <f>+N8*0.54</f>
        <v>75.912660000000002</v>
      </c>
      <c r="O10" s="11"/>
      <c r="P10" s="11"/>
      <c r="Q10" s="11"/>
      <c r="R10" s="11"/>
      <c r="T10" s="10">
        <f>+T8-T9</f>
        <v>187.32799999999997</v>
      </c>
      <c r="U10" s="10">
        <f>+U8-U9</f>
        <v>209.78100000000003</v>
      </c>
      <c r="V10" s="10">
        <f>+V8-V9</f>
        <v>266.32799999999997</v>
      </c>
      <c r="W10" s="10">
        <f>+W8-W9</f>
        <v>296.7876599999999</v>
      </c>
      <c r="X10" s="10">
        <f>+X8*0.55</f>
        <v>319.53266400000001</v>
      </c>
    </row>
    <row r="11" spans="1:24" s="10" customFormat="1" x14ac:dyDescent="0.2">
      <c r="B11" s="10" t="s">
        <v>22</v>
      </c>
      <c r="C11" s="11"/>
      <c r="D11" s="11"/>
      <c r="E11" s="11"/>
      <c r="F11" s="11"/>
      <c r="G11" s="11">
        <v>37.430999999999997</v>
      </c>
      <c r="H11" s="11">
        <v>37.420999999999999</v>
      </c>
      <c r="I11" s="11">
        <v>39.067999999999998</v>
      </c>
      <c r="J11" s="11">
        <f t="shared" ref="J11:J13" si="0">+V11-I11-H11-G11</f>
        <v>38.269999999999996</v>
      </c>
      <c r="K11" s="11">
        <v>38.247999999999998</v>
      </c>
      <c r="L11" s="11">
        <v>35.106000000000002</v>
      </c>
      <c r="M11" s="11">
        <v>31.884</v>
      </c>
      <c r="N11" s="11">
        <f>+J11*1.03</f>
        <v>39.418099999999995</v>
      </c>
      <c r="O11" s="11"/>
      <c r="P11" s="11"/>
      <c r="Q11" s="11"/>
      <c r="R11" s="11"/>
      <c r="T11" s="10">
        <v>126.85899999999999</v>
      </c>
      <c r="U11" s="10">
        <v>155.30799999999999</v>
      </c>
      <c r="V11" s="10">
        <v>152.19</v>
      </c>
      <c r="W11" s="2">
        <f t="shared" ref="W11:X13" si="1">SUM(K11:N11)</f>
        <v>144.65609999999998</v>
      </c>
      <c r="X11" s="10">
        <f>+W11*1.03</f>
        <v>148.99578299999999</v>
      </c>
    </row>
    <row r="12" spans="1:24" s="10" customFormat="1" x14ac:dyDescent="0.2">
      <c r="B12" s="10" t="s">
        <v>23</v>
      </c>
      <c r="C12" s="11"/>
      <c r="D12" s="11"/>
      <c r="E12" s="11"/>
      <c r="F12" s="11"/>
      <c r="G12" s="11">
        <v>44.271000000000001</v>
      </c>
      <c r="H12" s="11">
        <v>47.796999999999997</v>
      </c>
      <c r="I12" s="11">
        <v>51.042999999999999</v>
      </c>
      <c r="J12" s="11">
        <f t="shared" si="0"/>
        <v>48.661999999999992</v>
      </c>
      <c r="K12" s="11">
        <v>49.606999999999999</v>
      </c>
      <c r="L12" s="11">
        <v>52.959000000000003</v>
      </c>
      <c r="M12" s="11">
        <v>45.994</v>
      </c>
      <c r="N12" s="11">
        <f>+J12*1.03</f>
        <v>50.121859999999991</v>
      </c>
      <c r="O12" s="11"/>
      <c r="P12" s="11"/>
      <c r="Q12" s="11"/>
      <c r="R12" s="11"/>
      <c r="T12" s="10">
        <v>152.64500000000001</v>
      </c>
      <c r="U12" s="10">
        <v>179.869</v>
      </c>
      <c r="V12" s="10">
        <v>191.773</v>
      </c>
      <c r="W12" s="2">
        <f t="shared" si="1"/>
        <v>198.68186</v>
      </c>
      <c r="X12" s="10">
        <f>+W12*1.03</f>
        <v>204.64231580000001</v>
      </c>
    </row>
    <row r="13" spans="1:24" s="10" customFormat="1" x14ac:dyDescent="0.2">
      <c r="B13" s="10" t="s">
        <v>24</v>
      </c>
      <c r="C13" s="11"/>
      <c r="D13" s="11"/>
      <c r="E13" s="11"/>
      <c r="F13" s="11"/>
      <c r="G13" s="11">
        <v>25.827000000000002</v>
      </c>
      <c r="H13" s="11">
        <v>28.823</v>
      </c>
      <c r="I13" s="11">
        <v>30.001000000000001</v>
      </c>
      <c r="J13" s="11">
        <f t="shared" si="0"/>
        <v>31.425999999999991</v>
      </c>
      <c r="K13" s="11">
        <v>31.638999999999999</v>
      </c>
      <c r="L13" s="11">
        <v>28.433</v>
      </c>
      <c r="M13" s="11">
        <v>27.172999999999998</v>
      </c>
      <c r="N13" s="11">
        <f>+J13*1.03</f>
        <v>32.368779999999994</v>
      </c>
      <c r="O13" s="11"/>
      <c r="P13" s="11"/>
      <c r="Q13" s="11"/>
      <c r="R13" s="11"/>
      <c r="T13" s="10">
        <v>126.845</v>
      </c>
      <c r="U13" s="10">
        <v>120.803</v>
      </c>
      <c r="V13" s="10">
        <v>116.077</v>
      </c>
      <c r="W13" s="2">
        <f t="shared" si="1"/>
        <v>119.61377999999999</v>
      </c>
      <c r="X13" s="10">
        <f>+W13*1.03</f>
        <v>123.2021934</v>
      </c>
    </row>
    <row r="14" spans="1:24" s="10" customFormat="1" x14ac:dyDescent="0.2">
      <c r="B14" s="10" t="s">
        <v>25</v>
      </c>
      <c r="C14" s="11"/>
      <c r="D14" s="11"/>
      <c r="E14" s="11"/>
      <c r="F14" s="11"/>
      <c r="G14" s="11">
        <f>SUM(G11:G13)</f>
        <v>107.529</v>
      </c>
      <c r="H14" s="11">
        <f>SUM(H11:H13)</f>
        <v>114.041</v>
      </c>
      <c r="I14" s="11">
        <f>SUM(I11:I13)</f>
        <v>120.11199999999999</v>
      </c>
      <c r="J14" s="11">
        <f t="shared" ref="J14" si="2">SUM(J11:J13)</f>
        <v>118.35799999999998</v>
      </c>
      <c r="K14" s="11">
        <f>SUM(K11:K13)</f>
        <v>119.49399999999999</v>
      </c>
      <c r="L14" s="11">
        <f>SUM(L11:L13)</f>
        <v>116.49799999999999</v>
      </c>
      <c r="M14" s="11">
        <f>SUM(M11:M13)</f>
        <v>105.051</v>
      </c>
      <c r="N14" s="11">
        <f>SUM(N11:N13)</f>
        <v>121.90873999999997</v>
      </c>
      <c r="O14" s="11"/>
      <c r="P14" s="11"/>
      <c r="Q14" s="11"/>
      <c r="R14" s="11"/>
      <c r="T14" s="11">
        <f t="shared" ref="T14:V14" si="3">SUM(T11:T13)</f>
        <v>406.34900000000005</v>
      </c>
      <c r="U14" s="11">
        <f t="shared" si="3"/>
        <v>455.98</v>
      </c>
      <c r="V14" s="11">
        <f t="shared" si="3"/>
        <v>460.03999999999996</v>
      </c>
      <c r="W14" s="11">
        <f t="shared" ref="W14:X14" si="4">SUM(W11:W13)</f>
        <v>462.95173999999997</v>
      </c>
      <c r="X14" s="11">
        <f t="shared" si="4"/>
        <v>476.84029219999996</v>
      </c>
    </row>
    <row r="15" spans="1:24" s="10" customFormat="1" x14ac:dyDescent="0.2">
      <c r="B15" s="10" t="s">
        <v>26</v>
      </c>
      <c r="C15" s="11"/>
      <c r="D15" s="11"/>
      <c r="E15" s="11"/>
      <c r="F15" s="11"/>
      <c r="G15" s="11">
        <f>+G10-G14</f>
        <v>-47.275000000000006</v>
      </c>
      <c r="H15" s="11">
        <f>+H10-H14</f>
        <v>-49.826999999999998</v>
      </c>
      <c r="I15" s="11">
        <f>+I10-I14</f>
        <v>-54.025999999999982</v>
      </c>
      <c r="J15" s="11">
        <f t="shared" ref="J15" si="5">+J10-J14</f>
        <v>-42.583999999999975</v>
      </c>
      <c r="K15" s="11">
        <f>+K10-K14</f>
        <v>-46.259999999999977</v>
      </c>
      <c r="L15" s="11">
        <f>+L10-L14</f>
        <v>-43.59699999999998</v>
      </c>
      <c r="M15" s="11">
        <f>+M10-M14</f>
        <v>-30.311000000000021</v>
      </c>
      <c r="N15" s="11">
        <f>+N10-N14</f>
        <v>-45.996079999999964</v>
      </c>
      <c r="O15" s="11"/>
      <c r="P15" s="11"/>
      <c r="Q15" s="11"/>
      <c r="R15" s="11"/>
      <c r="T15" s="11">
        <f t="shared" ref="T15:V15" si="6">+T10-T14</f>
        <v>-219.02100000000007</v>
      </c>
      <c r="U15" s="11">
        <f t="shared" si="6"/>
        <v>-246.19899999999998</v>
      </c>
      <c r="V15" s="11">
        <f t="shared" si="6"/>
        <v>-193.71199999999999</v>
      </c>
      <c r="W15" s="11">
        <f t="shared" ref="W15:X15" si="7">+W10-W14</f>
        <v>-166.16408000000007</v>
      </c>
      <c r="X15" s="11">
        <f t="shared" si="7"/>
        <v>-157.30762819999995</v>
      </c>
    </row>
    <row r="16" spans="1:24" x14ac:dyDescent="0.2">
      <c r="B16" s="10" t="s">
        <v>29</v>
      </c>
      <c r="G16" s="4">
        <f>4.186-1.213-0.25</f>
        <v>2.7229999999999999</v>
      </c>
      <c r="H16" s="4">
        <f>4.508-1.232-0.803</f>
        <v>2.4729999999999999</v>
      </c>
      <c r="I16" s="4">
        <f>4.908-0.862-0.016</f>
        <v>4.03</v>
      </c>
      <c r="J16" s="11">
        <f t="shared" ref="J16" si="8">+V16-I16-H16-G16</f>
        <v>3.077</v>
      </c>
      <c r="K16" s="4">
        <f>3.848-0.579-0.089</f>
        <v>3.18</v>
      </c>
      <c r="L16" s="4">
        <f>3.937-0.464+0.193</f>
        <v>3.6659999999999999</v>
      </c>
      <c r="M16" s="4">
        <f>3.819-0.473-0.317</f>
        <v>3.0289999999999999</v>
      </c>
      <c r="N16" s="11">
        <f>+J16*1.03</f>
        <v>3.1693099999999998</v>
      </c>
      <c r="O16" s="11"/>
      <c r="P16" s="11"/>
      <c r="Q16" s="11"/>
      <c r="R16" s="11"/>
      <c r="T16" s="2">
        <f>1.282-5.245</f>
        <v>-3.9630000000000001</v>
      </c>
      <c r="U16" s="2">
        <f>7.044-5.887</f>
        <v>1.157</v>
      </c>
      <c r="V16" s="2">
        <f>18.186-4.051-1.832</f>
        <v>12.302999999999999</v>
      </c>
      <c r="W16" s="2">
        <f t="shared" ref="W16:X16" si="9">SUM(K16:N16)</f>
        <v>13.044309999999999</v>
      </c>
      <c r="X16" s="2">
        <f>+W16</f>
        <v>13.044309999999999</v>
      </c>
    </row>
    <row r="17" spans="2:24" x14ac:dyDescent="0.2">
      <c r="B17" s="10" t="s">
        <v>30</v>
      </c>
      <c r="G17" s="4">
        <f>+G15+G16</f>
        <v>-44.552000000000007</v>
      </c>
      <c r="H17" s="4">
        <f>+H15+H16</f>
        <v>-47.353999999999999</v>
      </c>
      <c r="I17" s="4">
        <f>+I15+I16</f>
        <v>-49.995999999999981</v>
      </c>
      <c r="J17" s="4">
        <f>+J15+J16</f>
        <v>-39.506999999999977</v>
      </c>
      <c r="K17" s="4">
        <f>+K15+K16</f>
        <v>-43.079999999999977</v>
      </c>
      <c r="L17" s="4">
        <f>+L15+L16</f>
        <v>-39.930999999999983</v>
      </c>
      <c r="M17" s="4">
        <f>+M15+M16</f>
        <v>-27.282000000000021</v>
      </c>
      <c r="N17" s="4">
        <f>+N15+N16</f>
        <v>-42.826769999999961</v>
      </c>
      <c r="O17" s="4"/>
      <c r="P17" s="4"/>
      <c r="Q17" s="4"/>
      <c r="R17" s="4"/>
      <c r="T17" s="2">
        <f t="shared" ref="T17:U17" si="10">+T15+T16</f>
        <v>-222.98400000000007</v>
      </c>
      <c r="U17" s="2">
        <f t="shared" si="10"/>
        <v>-245.04199999999997</v>
      </c>
      <c r="V17" s="2">
        <f>+V15+V16</f>
        <v>-181.40899999999999</v>
      </c>
      <c r="W17" s="2">
        <f>+W15+W16</f>
        <v>-153.11977000000007</v>
      </c>
      <c r="X17" s="2">
        <f>+X15+X16</f>
        <v>-144.26331819999996</v>
      </c>
    </row>
    <row r="18" spans="2:24" s="2" customFormat="1" x14ac:dyDescent="0.2">
      <c r="B18" s="10" t="s">
        <v>31</v>
      </c>
      <c r="C18" s="4"/>
      <c r="D18" s="4"/>
      <c r="E18" s="4"/>
      <c r="F18" s="4"/>
      <c r="G18" s="4">
        <v>0.13500000000000001</v>
      </c>
      <c r="H18" s="4">
        <v>0.11</v>
      </c>
      <c r="I18" s="4">
        <v>0</v>
      </c>
      <c r="J18" s="11">
        <f t="shared" ref="J18" si="11">+V18-I18-H18-G18</f>
        <v>-0.46600000000000003</v>
      </c>
      <c r="K18" s="4">
        <v>0.34699999999999998</v>
      </c>
      <c r="L18" s="4">
        <v>0.66100000000000003</v>
      </c>
      <c r="M18" s="4">
        <v>0</v>
      </c>
      <c r="N18" s="4">
        <v>0</v>
      </c>
      <c r="O18" s="4"/>
      <c r="P18" s="4"/>
      <c r="Q18" s="4"/>
      <c r="R18" s="4"/>
      <c r="T18" s="2">
        <v>6.9000000000000006E-2</v>
      </c>
      <c r="U18" s="2">
        <v>9.4E-2</v>
      </c>
      <c r="V18" s="2">
        <v>-0.221</v>
      </c>
      <c r="W18" s="2">
        <f t="shared" ref="W18:X18" si="12">SUM(K18:N18)</f>
        <v>1.008</v>
      </c>
      <c r="X18" s="2">
        <f>+W18</f>
        <v>1.008</v>
      </c>
    </row>
    <row r="19" spans="2:24" x14ac:dyDescent="0.2">
      <c r="B19" s="10" t="s">
        <v>32</v>
      </c>
      <c r="G19" s="4">
        <f>+G17-G18</f>
        <v>-44.687000000000005</v>
      </c>
      <c r="H19" s="4">
        <f>+H17-H18</f>
        <v>-47.463999999999999</v>
      </c>
      <c r="I19" s="4">
        <f>+I17-I18</f>
        <v>-49.995999999999981</v>
      </c>
      <c r="J19" s="4">
        <f t="shared" ref="J19" si="13">+J17-J18</f>
        <v>-39.040999999999976</v>
      </c>
      <c r="K19" s="4">
        <f>+K17-K18</f>
        <v>-43.426999999999978</v>
      </c>
      <c r="L19" s="4">
        <f>+L17-L18</f>
        <v>-40.591999999999985</v>
      </c>
      <c r="M19" s="4">
        <f>+M17-M18</f>
        <v>-27.282000000000021</v>
      </c>
      <c r="N19" s="4">
        <f>+N17-N18</f>
        <v>-42.826769999999961</v>
      </c>
      <c r="O19" s="4"/>
      <c r="P19" s="4"/>
      <c r="Q19" s="4"/>
      <c r="R19" s="4"/>
      <c r="T19" s="2">
        <f t="shared" ref="T19:U19" si="14">+T17-T18</f>
        <v>-223.05300000000005</v>
      </c>
      <c r="U19" s="2">
        <f t="shared" si="14"/>
        <v>-245.13599999999997</v>
      </c>
      <c r="V19" s="2">
        <f>+V17-V18</f>
        <v>-181.18799999999999</v>
      </c>
      <c r="W19" s="2">
        <f>+W17-W18</f>
        <v>-154.12777000000008</v>
      </c>
      <c r="X19" s="2">
        <f>+X17-X18</f>
        <v>-145.27131819999997</v>
      </c>
    </row>
    <row r="20" spans="2:24" x14ac:dyDescent="0.2">
      <c r="B20" s="10" t="s">
        <v>33</v>
      </c>
      <c r="G20" s="12">
        <f>+G19/G21</f>
        <v>-0.35630451769283517</v>
      </c>
      <c r="H20" s="12">
        <f>+H19/H21</f>
        <v>-0.37120981050030111</v>
      </c>
      <c r="I20" s="12">
        <f>+I19/I21</f>
        <v>-0.38496069236869851</v>
      </c>
      <c r="J20" s="12">
        <f>+J19/J21</f>
        <v>-0.30318397142191483</v>
      </c>
      <c r="K20" s="12">
        <f>+K19/K21</f>
        <v>-0.32266860840943018</v>
      </c>
      <c r="L20" s="12">
        <f>+L19/L21</f>
        <v>-0.29533482727510835</v>
      </c>
      <c r="M20" s="12">
        <f>+M19/M21</f>
        <v>-0.19593929774413427</v>
      </c>
      <c r="N20" s="12">
        <f>+N19/N21</f>
        <v>-0.30758182092403574</v>
      </c>
      <c r="O20" s="12"/>
      <c r="P20" s="12"/>
      <c r="Q20" s="12"/>
      <c r="R20" s="12"/>
      <c r="T20" s="12">
        <f t="shared" ref="T20:X20" si="15">+T19/T21</f>
        <v>-1.9219925378921705</v>
      </c>
      <c r="U20" s="12">
        <f t="shared" si="15"/>
        <v>-2.0138839824848218</v>
      </c>
      <c r="V20" s="12">
        <f t="shared" si="15"/>
        <v>-1.40706686339986</v>
      </c>
      <c r="W20" s="12">
        <f t="shared" si="15"/>
        <v>-1.1199009636606396</v>
      </c>
      <c r="X20" s="12">
        <f t="shared" si="15"/>
        <v>-1.0555494914669259</v>
      </c>
    </row>
    <row r="21" spans="2:24" s="2" customFormat="1" x14ac:dyDescent="0.2">
      <c r="B21" s="10" t="s">
        <v>1</v>
      </c>
      <c r="C21" s="4"/>
      <c r="D21" s="4"/>
      <c r="E21" s="4"/>
      <c r="F21" s="4"/>
      <c r="G21" s="4">
        <v>125.41800000000001</v>
      </c>
      <c r="H21" s="4">
        <v>127.863</v>
      </c>
      <c r="I21" s="4">
        <v>129.87299999999999</v>
      </c>
      <c r="J21" s="4">
        <f>+V21</f>
        <v>128.77000000000001</v>
      </c>
      <c r="K21" s="4">
        <v>134.58699999999999</v>
      </c>
      <c r="L21" s="4">
        <v>137.44399999999999</v>
      </c>
      <c r="M21" s="4">
        <v>139.23699999999999</v>
      </c>
      <c r="N21" s="4">
        <f>+M21</f>
        <v>139.23699999999999</v>
      </c>
      <c r="O21" s="4"/>
      <c r="P21" s="4"/>
      <c r="Q21" s="4"/>
      <c r="R21" s="4"/>
      <c r="T21" s="2">
        <v>116.053</v>
      </c>
      <c r="U21" s="2">
        <v>121.723</v>
      </c>
      <c r="V21" s="2">
        <v>128.77000000000001</v>
      </c>
      <c r="W21" s="2">
        <f>AVERAGE(K21:N21)</f>
        <v>137.62624999999997</v>
      </c>
      <c r="X21" s="2">
        <f>+W21</f>
        <v>137.62624999999997</v>
      </c>
    </row>
    <row r="23" spans="2:24" s="8" customFormat="1" x14ac:dyDescent="0.2">
      <c r="B23" s="8" t="s">
        <v>27</v>
      </c>
      <c r="C23" s="9"/>
      <c r="D23" s="9"/>
      <c r="E23" s="9"/>
      <c r="F23" s="9"/>
      <c r="G23" s="9"/>
      <c r="H23" s="9"/>
      <c r="I23" s="9"/>
      <c r="J23" s="9"/>
      <c r="K23" s="14">
        <f>+K8/G8-1</f>
        <v>0.13572181960464103</v>
      </c>
      <c r="L23" s="14">
        <f>+L8/H8-1</f>
        <v>7.7667689752586977E-2</v>
      </c>
      <c r="M23" s="14">
        <f>+M8/I8-1</f>
        <v>7.3464980910058042E-2</v>
      </c>
      <c r="N23" s="14">
        <f>+N8/J8-1</f>
        <v>2.0337211581032966E-2</v>
      </c>
      <c r="O23" s="14">
        <f>+O8/K8-1</f>
        <v>3.3553025763930489E-2</v>
      </c>
      <c r="P23" s="14"/>
      <c r="Q23" s="14"/>
      <c r="R23" s="14"/>
      <c r="U23" s="15">
        <f>+U8/T8-1</f>
        <v>0.22124855360821849</v>
      </c>
      <c r="V23" s="15">
        <f>+V8/U8-1</f>
        <v>0.16930614131376731</v>
      </c>
      <c r="W23" s="15">
        <f>+W8/V8-1</f>
        <v>7.4483979857229654E-2</v>
      </c>
      <c r="X23" s="15">
        <f>+X8/W8-1</f>
        <v>6.8593206247838934E-2</v>
      </c>
    </row>
    <row r="24" spans="2:24" x14ac:dyDescent="0.2">
      <c r="B24" t="s">
        <v>28</v>
      </c>
      <c r="G24" s="5">
        <f>+G10/G8</f>
        <v>0.51252083971283724</v>
      </c>
      <c r="H24" s="5">
        <f>+H10/H8</f>
        <v>0.52278333645415243</v>
      </c>
      <c r="I24" s="5">
        <f>+I10/I8</f>
        <v>0.51704012017274836</v>
      </c>
      <c r="J24" s="5">
        <f>+J10/J8</f>
        <v>0.54997568534661079</v>
      </c>
      <c r="K24" s="5">
        <f>+K10/K8</f>
        <v>0.54848711803475136</v>
      </c>
      <c r="L24" s="5">
        <f>+L10/L8</f>
        <v>0.55073241117767491</v>
      </c>
      <c r="M24" s="5">
        <f>+M10/M8</f>
        <v>0.54472836464877616</v>
      </c>
      <c r="T24" s="5">
        <f t="shared" ref="T24:X24" si="16">+T10/T8</f>
        <v>0.52868230180904796</v>
      </c>
      <c r="U24" s="5">
        <f t="shared" si="16"/>
        <v>0.4847905713790514</v>
      </c>
      <c r="V24" s="5">
        <f t="shared" si="16"/>
        <v>0.5263524036143149</v>
      </c>
      <c r="W24" s="5">
        <f t="shared" si="16"/>
        <v>0.54589067753588527</v>
      </c>
      <c r="X24" s="5">
        <f t="shared" si="16"/>
        <v>0.55000000000000004</v>
      </c>
    </row>
    <row r="29" spans="2:24" s="2" customFormat="1" x14ac:dyDescent="0.2">
      <c r="B29" s="2" t="s">
        <v>34</v>
      </c>
      <c r="C29" s="4"/>
      <c r="D29" s="4"/>
      <c r="E29" s="4"/>
      <c r="F29" s="4"/>
      <c r="G29" s="4">
        <v>-8.8610000000000007</v>
      </c>
      <c r="H29" s="4">
        <f>16.129-G29</f>
        <v>24.990000000000002</v>
      </c>
      <c r="I29" s="4">
        <f>7.739-H29-G29</f>
        <v>-8.39</v>
      </c>
      <c r="J29" s="4"/>
      <c r="K29" s="4">
        <v>11.132</v>
      </c>
      <c r="L29" s="4">
        <f>6.184-K29</f>
        <v>-4.9479999999999995</v>
      </c>
      <c r="M29" s="4">
        <f>11.186-L29-K29</f>
        <v>5.0020000000000007</v>
      </c>
      <c r="N29" s="4"/>
      <c r="O29" s="4"/>
      <c r="P29" s="4"/>
      <c r="Q29" s="4"/>
      <c r="R29" s="4"/>
    </row>
    <row r="30" spans="2:24" s="2" customFormat="1" x14ac:dyDescent="0.2">
      <c r="B30" s="2" t="s">
        <v>36</v>
      </c>
      <c r="C30" s="4"/>
      <c r="D30" s="4"/>
      <c r="E30" s="4"/>
      <c r="F30" s="4"/>
      <c r="G30" s="4">
        <v>3.4940000000000002</v>
      </c>
      <c r="H30" s="4">
        <f>7.958-G30</f>
        <v>4.4640000000000004</v>
      </c>
      <c r="I30" s="4">
        <f>8.283-H30-G30</f>
        <v>0.32499999999999885</v>
      </c>
      <c r="J30" s="4"/>
      <c r="K30" s="4">
        <v>1.603</v>
      </c>
      <c r="L30" s="4">
        <f>3.365-K30</f>
        <v>1.7620000000000002</v>
      </c>
      <c r="M30" s="4">
        <f>5.361-L30-K30</f>
        <v>1.9959999999999993</v>
      </c>
      <c r="N30" s="4"/>
      <c r="O30" s="4"/>
      <c r="P30" s="4"/>
      <c r="Q30" s="4"/>
      <c r="R30" s="4"/>
      <c r="T30" s="2">
        <v>-38.481999999999999</v>
      </c>
      <c r="U30" s="2">
        <v>-69.632000000000005</v>
      </c>
      <c r="V30" s="2">
        <v>0.36199999999999999</v>
      </c>
      <c r="W30" s="2">
        <v>16.405999999999999</v>
      </c>
      <c r="X30" s="2">
        <f>+W30+9</f>
        <v>25.405999999999999</v>
      </c>
    </row>
    <row r="31" spans="2:24" s="2" customFormat="1" x14ac:dyDescent="0.2">
      <c r="B31" s="2" t="s">
        <v>35</v>
      </c>
      <c r="C31" s="4"/>
      <c r="D31" s="4"/>
      <c r="E31" s="4"/>
      <c r="F31" s="4"/>
      <c r="G31" s="4">
        <f>+G29-G30</f>
        <v>-12.355</v>
      </c>
      <c r="H31" s="4">
        <f>+H29-H30</f>
        <v>20.526000000000003</v>
      </c>
      <c r="I31" s="4">
        <f>+I29-I30</f>
        <v>-8.7149999999999999</v>
      </c>
      <c r="J31" s="4"/>
      <c r="K31" s="4">
        <f>+K29-K30</f>
        <v>9.5289999999999999</v>
      </c>
      <c r="L31" s="4">
        <f>+L29-L30</f>
        <v>-6.71</v>
      </c>
      <c r="M31" s="4">
        <f>+M29-M30</f>
        <v>3.0060000000000011</v>
      </c>
      <c r="N31" s="4"/>
      <c r="O31" s="4"/>
      <c r="P31" s="4"/>
      <c r="Q31" s="4"/>
      <c r="R31" s="4"/>
      <c r="T31" s="2">
        <v>34.816000000000003</v>
      </c>
      <c r="U31" s="2">
        <v>19.975000000000001</v>
      </c>
      <c r="V31" s="2">
        <v>10.976000000000001</v>
      </c>
      <c r="W31" s="2">
        <v>10.33</v>
      </c>
      <c r="X31" s="2">
        <f>+W31</f>
        <v>10.33</v>
      </c>
    </row>
    <row r="32" spans="2:24" x14ac:dyDescent="0.2">
      <c r="T32" s="2">
        <f>+T30-T31</f>
        <v>-73.298000000000002</v>
      </c>
      <c r="U32" s="2">
        <f>+U30-U31</f>
        <v>-89.606999999999999</v>
      </c>
      <c r="V32" s="2">
        <f>+V30-V31</f>
        <v>-10.614000000000001</v>
      </c>
      <c r="W32" s="2">
        <f>+W30-W31</f>
        <v>6.0759999999999987</v>
      </c>
      <c r="X32" s="2">
        <f>+X30-X31</f>
        <v>15.075999999999999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2025-03-03T14:40:38Z</dcterms:created>
  <dcterms:modified xsi:type="dcterms:W3CDTF">2025-03-03T15:22:19Z</dcterms:modified>
</cp:coreProperties>
</file>