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rtin Shkreli - DL\models\"/>
    </mc:Choice>
  </mc:AlternateContent>
  <xr:revisionPtr revIDLastSave="0" documentId="13_ncr:1_{C71DA248-9956-4688-97E4-D85FC56CD3FC}" xr6:coauthVersionLast="47" xr6:coauthVersionMax="47" xr10:uidLastSave="{00000000-0000-0000-0000-000000000000}"/>
  <bookViews>
    <workbookView xWindow="51750" yWindow="5060" windowWidth="23900" windowHeight="13150" activeTab="1" xr2:uid="{8C7D3156-1DAC-C540-96E2-F406281F63EC}"/>
  </bookViews>
  <sheets>
    <sheet name="Main" sheetId="1" r:id="rId1"/>
    <sheet name="Model" sheetId="2" r:id="rId2"/>
    <sheet name="E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14" i="2" l="1"/>
  <c r="AH35" i="2"/>
  <c r="AH34" i="2"/>
  <c r="AK28" i="2"/>
  <c r="AJ28" i="2"/>
  <c r="AI28" i="2"/>
  <c r="AH28" i="2"/>
  <c r="AG28" i="2"/>
  <c r="M29" i="2"/>
  <c r="L29" i="2"/>
  <c r="K29" i="2"/>
  <c r="J29" i="2"/>
  <c r="N29" i="2"/>
  <c r="Z26" i="2" l="1"/>
  <c r="Z23" i="2"/>
  <c r="Z21" i="2"/>
  <c r="Z18" i="2"/>
  <c r="Z17" i="2"/>
  <c r="Z16" i="2"/>
  <c r="AA16" i="2" s="1"/>
  <c r="Z15" i="2"/>
  <c r="AA15" i="2" s="1"/>
  <c r="Z13" i="2"/>
  <c r="N66" i="2"/>
  <c r="M66" i="2"/>
  <c r="M59" i="2"/>
  <c r="N59" i="2" s="1"/>
  <c r="N50" i="2"/>
  <c r="N33" i="2"/>
  <c r="N36" i="2"/>
  <c r="N41" i="2" s="1"/>
  <c r="N6" i="2"/>
  <c r="X6" i="2"/>
  <c r="Y6" i="2"/>
  <c r="Z6" i="2"/>
  <c r="Y4" i="2"/>
  <c r="Y3" i="2"/>
  <c r="I3" i="1"/>
  <c r="L74" i="2" l="1"/>
  <c r="M74" i="2" s="1"/>
  <c r="N74" i="2" s="1"/>
  <c r="L71" i="2"/>
  <c r="M71" i="2" s="1"/>
  <c r="N71" i="2" s="1"/>
  <c r="L72" i="2"/>
  <c r="M72" i="2" s="1"/>
  <c r="N72" i="2" s="1"/>
  <c r="L67" i="2"/>
  <c r="M67" i="2" s="1"/>
  <c r="N67" i="2" s="1"/>
  <c r="L65" i="2"/>
  <c r="M65" i="2" s="1"/>
  <c r="N65" i="2" s="1"/>
  <c r="L60" i="2"/>
  <c r="M60" i="2" s="1"/>
  <c r="N60" i="2" s="1"/>
  <c r="L58" i="2"/>
  <c r="M58" i="2" s="1"/>
  <c r="N58" i="2" s="1"/>
  <c r="L57" i="2"/>
  <c r="M57" i="2" s="1"/>
  <c r="N57" i="2" s="1"/>
  <c r="L56" i="2"/>
  <c r="M56" i="2" s="1"/>
  <c r="N56" i="2" s="1"/>
  <c r="L55" i="2"/>
  <c r="M55" i="2" s="1"/>
  <c r="N55" i="2" s="1"/>
  <c r="L54" i="2"/>
  <c r="M54" i="2" s="1"/>
  <c r="N54" i="2" s="1"/>
  <c r="L53" i="2"/>
  <c r="M53" i="2" s="1"/>
  <c r="N53" i="2" s="1"/>
  <c r="L47" i="2"/>
  <c r="L50" i="2"/>
  <c r="L33" i="2"/>
  <c r="L36" i="2"/>
  <c r="K12" i="2"/>
  <c r="K28" i="2" s="1"/>
  <c r="K70" i="2"/>
  <c r="K73" i="2" s="1"/>
  <c r="K64" i="2"/>
  <c r="K68" i="2" s="1"/>
  <c r="K61" i="2"/>
  <c r="K62" i="2" s="1"/>
  <c r="K79" i="2" s="1"/>
  <c r="K47" i="2"/>
  <c r="K50" i="2" s="1"/>
  <c r="K36" i="2"/>
  <c r="K33" i="2"/>
  <c r="M50" i="2"/>
  <c r="M33" i="2"/>
  <c r="M36" i="2"/>
  <c r="I5" i="1"/>
  <c r="O21" i="2"/>
  <c r="P21" i="2" s="1"/>
  <c r="O26" i="2"/>
  <c r="P26" i="2" s="1"/>
  <c r="R15" i="2"/>
  <c r="Q18" i="2"/>
  <c r="P18" i="2"/>
  <c r="R18" i="2"/>
  <c r="Q17" i="2"/>
  <c r="P17" i="2"/>
  <c r="R17" i="2"/>
  <c r="Q16" i="2"/>
  <c r="P16" i="2"/>
  <c r="R16" i="2"/>
  <c r="Q15" i="2"/>
  <c r="P15" i="2"/>
  <c r="I6" i="2"/>
  <c r="M6" i="2"/>
  <c r="N14" i="2"/>
  <c r="N31" i="2" s="1"/>
  <c r="M28" i="2"/>
  <c r="M19" i="2"/>
  <c r="M14" i="2"/>
  <c r="M31" i="2" s="1"/>
  <c r="I19" i="2"/>
  <c r="I14" i="2"/>
  <c r="I31" i="2" s="1"/>
  <c r="AA6" i="2"/>
  <c r="F6" i="2"/>
  <c r="G6" i="2"/>
  <c r="H6" i="2"/>
  <c r="J6" i="2"/>
  <c r="L6" i="2"/>
  <c r="Z3" i="2"/>
  <c r="AA3" i="2" s="1"/>
  <c r="AA18" i="2"/>
  <c r="AB18" i="2" s="1"/>
  <c r="AC18" i="2" s="1"/>
  <c r="AD18" i="2" s="1"/>
  <c r="AE18" i="2" s="1"/>
  <c r="AF18" i="2" s="1"/>
  <c r="AA17" i="2"/>
  <c r="AB16" i="2"/>
  <c r="AC16" i="2" s="1"/>
  <c r="AD16" i="2" s="1"/>
  <c r="AE16" i="2" s="1"/>
  <c r="AF16" i="2" s="1"/>
  <c r="AB15" i="2"/>
  <c r="AA26" i="2"/>
  <c r="AB26" i="2" s="1"/>
  <c r="AC26" i="2" s="1"/>
  <c r="AD26" i="2" s="1"/>
  <c r="AE26" i="2" s="1"/>
  <c r="AF26" i="2" s="1"/>
  <c r="Y28" i="2"/>
  <c r="X28" i="2"/>
  <c r="W28" i="2"/>
  <c r="V28" i="2"/>
  <c r="W19" i="2"/>
  <c r="W14" i="2"/>
  <c r="W31" i="2" s="1"/>
  <c r="X19" i="2"/>
  <c r="X14" i="2"/>
  <c r="X31" i="2" s="1"/>
  <c r="Y19" i="2"/>
  <c r="Y14" i="2"/>
  <c r="F19" i="2"/>
  <c r="F14" i="2"/>
  <c r="F31" i="2" s="1"/>
  <c r="J28" i="2"/>
  <c r="J19" i="2"/>
  <c r="J14" i="2"/>
  <c r="J31" i="2" s="1"/>
  <c r="K19" i="2"/>
  <c r="G19" i="2"/>
  <c r="G14" i="2"/>
  <c r="G20" i="2" s="1"/>
  <c r="G22" i="2" s="1"/>
  <c r="G24" i="2" s="1"/>
  <c r="G25" i="2" s="1"/>
  <c r="W2" i="2"/>
  <c r="X2" i="2" s="1"/>
  <c r="Y2" i="2" s="1"/>
  <c r="Z2" i="2" s="1"/>
  <c r="AA2" i="2" s="1"/>
  <c r="AB2" i="2" s="1"/>
  <c r="AC2" i="2" s="1"/>
  <c r="AD2" i="2" s="1"/>
  <c r="AE2" i="2" s="1"/>
  <c r="AF2" i="2" s="1"/>
  <c r="AG2" i="2" s="1"/>
  <c r="AH2" i="2" s="1"/>
  <c r="AI2" i="2" s="1"/>
  <c r="AJ2" i="2" s="1"/>
  <c r="AK2" i="2" s="1"/>
  <c r="AL2" i="2" s="1"/>
  <c r="L28" i="2"/>
  <c r="H19" i="2"/>
  <c r="L19" i="2"/>
  <c r="H14" i="2"/>
  <c r="H31" i="2" s="1"/>
  <c r="L14" i="2"/>
  <c r="L31" i="2" s="1"/>
  <c r="I4" i="1"/>
  <c r="I7" i="1" s="1"/>
  <c r="K14" i="2" l="1"/>
  <c r="K31" i="2" s="1"/>
  <c r="L70" i="2"/>
  <c r="M70" i="2" s="1"/>
  <c r="K6" i="2"/>
  <c r="Z12" i="2"/>
  <c r="Z14" i="2" s="1"/>
  <c r="L41" i="2"/>
  <c r="L73" i="2"/>
  <c r="L64" i="2"/>
  <c r="L61" i="2"/>
  <c r="M61" i="2" s="1"/>
  <c r="K75" i="2"/>
  <c r="K41" i="2"/>
  <c r="M41" i="2"/>
  <c r="G31" i="2"/>
  <c r="P13" i="2"/>
  <c r="O19" i="2"/>
  <c r="P19" i="2"/>
  <c r="N28" i="2"/>
  <c r="Q19" i="2"/>
  <c r="Q21" i="2"/>
  <c r="R21" i="2" s="1"/>
  <c r="Z28" i="2"/>
  <c r="AB3" i="2"/>
  <c r="AC3" i="2" s="1"/>
  <c r="AD3" i="2" s="1"/>
  <c r="AE3" i="2" s="1"/>
  <c r="AF3" i="2" s="1"/>
  <c r="Q26" i="2"/>
  <c r="R19" i="2"/>
  <c r="N19" i="2"/>
  <c r="N20" i="2" s="1"/>
  <c r="N22" i="2" s="1"/>
  <c r="I20" i="2"/>
  <c r="I22" i="2" s="1"/>
  <c r="I24" i="2" s="1"/>
  <c r="I25" i="2" s="1"/>
  <c r="M20" i="2"/>
  <c r="M22" i="2" s="1"/>
  <c r="M24" i="2" s="1"/>
  <c r="AA19" i="2"/>
  <c r="AB17" i="2"/>
  <c r="AC17" i="2" s="1"/>
  <c r="AD17" i="2" s="1"/>
  <c r="AE17" i="2" s="1"/>
  <c r="AF17" i="2" s="1"/>
  <c r="AC15" i="2"/>
  <c r="AB6" i="2"/>
  <c r="AC6" i="2" s="1"/>
  <c r="AD6" i="2" s="1"/>
  <c r="AE6" i="2" s="1"/>
  <c r="AF6" i="2" s="1"/>
  <c r="Y20" i="2"/>
  <c r="Y22" i="2" s="1"/>
  <c r="Y24" i="2" s="1"/>
  <c r="Y25" i="2" s="1"/>
  <c r="Y31" i="2"/>
  <c r="J20" i="2"/>
  <c r="J22" i="2" s="1"/>
  <c r="J24" i="2" s="1"/>
  <c r="J25" i="2" s="1"/>
  <c r="Z19" i="2"/>
  <c r="K20" i="2"/>
  <c r="K22" i="2" s="1"/>
  <c r="K24" i="2" s="1"/>
  <c r="W20" i="2"/>
  <c r="W22" i="2" s="1"/>
  <c r="W24" i="2" s="1"/>
  <c r="W25" i="2" s="1"/>
  <c r="X20" i="2"/>
  <c r="X22" i="2" s="1"/>
  <c r="X24" i="2" s="1"/>
  <c r="X25" i="2" s="1"/>
  <c r="F20" i="2"/>
  <c r="F22" i="2" s="1"/>
  <c r="F24" i="2" s="1"/>
  <c r="F25" i="2" s="1"/>
  <c r="H20" i="2"/>
  <c r="H22" i="2" s="1"/>
  <c r="H24" i="2" s="1"/>
  <c r="H25" i="2" s="1"/>
  <c r="L20" i="2"/>
  <c r="L22" i="2" s="1"/>
  <c r="L24" i="2" s="1"/>
  <c r="M62" i="2" l="1"/>
  <c r="M79" i="2" s="1"/>
  <c r="N61" i="2"/>
  <c r="N62" i="2" s="1"/>
  <c r="N79" i="2" s="1"/>
  <c r="L62" i="2"/>
  <c r="L79" i="2" s="1"/>
  <c r="M73" i="2"/>
  <c r="N70" i="2"/>
  <c r="N73" i="2" s="1"/>
  <c r="L68" i="2"/>
  <c r="L75" i="2" s="1"/>
  <c r="M64" i="2"/>
  <c r="M25" i="2"/>
  <c r="M52" i="2"/>
  <c r="AF12" i="2"/>
  <c r="AF31" i="2" s="1"/>
  <c r="L25" i="2"/>
  <c r="L52" i="2"/>
  <c r="Z31" i="2"/>
  <c r="K25" i="2"/>
  <c r="K52" i="2"/>
  <c r="O14" i="2"/>
  <c r="O20" i="2" s="1"/>
  <c r="O22" i="2" s="1"/>
  <c r="O23" i="2" s="1"/>
  <c r="O24" i="2" s="1"/>
  <c r="O25" i="2" s="1"/>
  <c r="P14" i="2"/>
  <c r="P31" i="2" s="1"/>
  <c r="P28" i="2"/>
  <c r="Q12" i="2"/>
  <c r="Q13" i="2" s="1"/>
  <c r="O28" i="2"/>
  <c r="N24" i="2"/>
  <c r="R26" i="2"/>
  <c r="Z20" i="2"/>
  <c r="Z22" i="2" s="1"/>
  <c r="Z24" i="2" s="1"/>
  <c r="Z25" i="2" s="1"/>
  <c r="R12" i="2"/>
  <c r="AB19" i="2"/>
  <c r="AE12" i="2"/>
  <c r="AC12" i="2"/>
  <c r="AD12" i="2"/>
  <c r="AB12" i="2"/>
  <c r="AC19" i="2"/>
  <c r="AD15" i="2"/>
  <c r="M68" i="2" l="1"/>
  <c r="N64" i="2"/>
  <c r="N68" i="2" s="1"/>
  <c r="N75" i="2" s="1"/>
  <c r="M75" i="2"/>
  <c r="Q14" i="2"/>
  <c r="Q28" i="2"/>
  <c r="AF28" i="2"/>
  <c r="N25" i="2"/>
  <c r="N52" i="2"/>
  <c r="AA12" i="2"/>
  <c r="AB28" i="2" s="1"/>
  <c r="AF13" i="2"/>
  <c r="P20" i="2"/>
  <c r="P22" i="2" s="1"/>
  <c r="P23" i="2" s="1"/>
  <c r="P24" i="2" s="1"/>
  <c r="P25" i="2" s="1"/>
  <c r="O31" i="2"/>
  <c r="Q20" i="2"/>
  <c r="Q22" i="2" s="1"/>
  <c r="Q31" i="2"/>
  <c r="R28" i="2"/>
  <c r="R13" i="2"/>
  <c r="R14" i="2" s="1"/>
  <c r="AB14" i="2"/>
  <c r="AB13" i="2" s="1"/>
  <c r="AD14" i="2"/>
  <c r="AD31" i="2" s="1"/>
  <c r="AD28" i="2"/>
  <c r="AC14" i="2"/>
  <c r="AC31" i="2" s="1"/>
  <c r="AC28" i="2"/>
  <c r="AC13" i="2"/>
  <c r="AE14" i="2"/>
  <c r="AE31" i="2" s="1"/>
  <c r="AE28" i="2"/>
  <c r="AD19" i="2"/>
  <c r="AE15" i="2"/>
  <c r="AE13" i="2" l="1"/>
  <c r="AA14" i="2"/>
  <c r="AA28" i="2"/>
  <c r="R20" i="2"/>
  <c r="R22" i="2" s="1"/>
  <c r="R31" i="2"/>
  <c r="Q23" i="2"/>
  <c r="Q24" i="2" s="1"/>
  <c r="Q25" i="2" s="1"/>
  <c r="AD13" i="2"/>
  <c r="AD20" i="2"/>
  <c r="AD22" i="2" s="1"/>
  <c r="AD23" i="2" s="1"/>
  <c r="AD24" i="2" s="1"/>
  <c r="AD25" i="2" s="1"/>
  <c r="AC20" i="2"/>
  <c r="AC22" i="2" s="1"/>
  <c r="AB31" i="2"/>
  <c r="AB20" i="2"/>
  <c r="AB22" i="2" s="1"/>
  <c r="AE19" i="2"/>
  <c r="AE20" i="2" s="1"/>
  <c r="AE22" i="2" s="1"/>
  <c r="AF15" i="2"/>
  <c r="AF19" i="2" s="1"/>
  <c r="AF20" i="2" s="1"/>
  <c r="AF22" i="2" s="1"/>
  <c r="AA31" i="2" l="1"/>
  <c r="AA20" i="2"/>
  <c r="AA22" i="2" s="1"/>
  <c r="AA23" i="2" s="1"/>
  <c r="AA24" i="2" s="1"/>
  <c r="AA25" i="2" s="1"/>
  <c r="AA13" i="2"/>
  <c r="R23" i="2"/>
  <c r="R24" i="2" s="1"/>
  <c r="R25" i="2" s="1"/>
  <c r="AB23" i="2"/>
  <c r="AB24" i="2" s="1"/>
  <c r="AF23" i="2"/>
  <c r="AF24" i="2" s="1"/>
  <c r="AE23" i="2"/>
  <c r="AE24" i="2" s="1"/>
  <c r="AE25" i="2" s="1"/>
  <c r="AC23" i="2"/>
  <c r="AC24" i="2" s="1"/>
  <c r="AC25" i="2" s="1"/>
  <c r="AF25" i="2" l="1"/>
  <c r="AG24" i="2"/>
  <c r="AH24" i="2" s="1"/>
  <c r="AI24" i="2" s="1"/>
  <c r="AJ24" i="2" s="1"/>
  <c r="AK24" i="2" s="1"/>
  <c r="AL24" i="2" s="1"/>
  <c r="AM24" i="2" s="1"/>
  <c r="AN24" i="2" s="1"/>
  <c r="AO24" i="2" s="1"/>
  <c r="AP24" i="2" s="1"/>
  <c r="AQ24" i="2" s="1"/>
  <c r="AR24" i="2" s="1"/>
  <c r="AS24" i="2" s="1"/>
  <c r="AT24" i="2" s="1"/>
  <c r="AU24" i="2" s="1"/>
  <c r="AV24" i="2" s="1"/>
  <c r="AW24" i="2" s="1"/>
  <c r="AX24" i="2" s="1"/>
  <c r="AY24" i="2" s="1"/>
  <c r="AZ24" i="2" s="1"/>
  <c r="BA24" i="2" s="1"/>
  <c r="BB24" i="2" s="1"/>
  <c r="BC24" i="2" s="1"/>
  <c r="BD24" i="2" s="1"/>
  <c r="BE24" i="2" s="1"/>
  <c r="BF24" i="2" s="1"/>
  <c r="BG24" i="2" s="1"/>
  <c r="BH24" i="2" s="1"/>
  <c r="BI24" i="2" s="1"/>
  <c r="BJ24" i="2" s="1"/>
  <c r="BK24" i="2" s="1"/>
  <c r="BL24" i="2" s="1"/>
  <c r="BM24" i="2" s="1"/>
  <c r="BN24" i="2" s="1"/>
  <c r="BO24" i="2" s="1"/>
  <c r="BP24" i="2" s="1"/>
  <c r="BQ24" i="2" s="1"/>
  <c r="BR24" i="2" s="1"/>
  <c r="BS24" i="2" s="1"/>
  <c r="BT24" i="2" s="1"/>
  <c r="BU24" i="2" s="1"/>
  <c r="BV24" i="2" s="1"/>
  <c r="BW24" i="2" s="1"/>
  <c r="BX24" i="2" s="1"/>
  <c r="BY24" i="2" s="1"/>
  <c r="BZ24" i="2" s="1"/>
  <c r="CA24" i="2" s="1"/>
  <c r="CB24" i="2" s="1"/>
  <c r="CC24" i="2" s="1"/>
  <c r="CD24" i="2" s="1"/>
  <c r="CE24" i="2" s="1"/>
  <c r="CF24" i="2" s="1"/>
  <c r="CG24" i="2" s="1"/>
  <c r="CH24" i="2" s="1"/>
  <c r="CI24" i="2" s="1"/>
  <c r="CJ24" i="2" s="1"/>
  <c r="CK24" i="2" s="1"/>
  <c r="CL24" i="2" s="1"/>
  <c r="CM24" i="2" s="1"/>
  <c r="CN24" i="2" s="1"/>
  <c r="CO24" i="2" s="1"/>
  <c r="CP24" i="2" s="1"/>
  <c r="CQ24" i="2" s="1"/>
  <c r="CR24" i="2" s="1"/>
  <c r="CS24" i="2" s="1"/>
  <c r="CT24" i="2" s="1"/>
  <c r="CU24" i="2" s="1"/>
  <c r="CV24" i="2" s="1"/>
  <c r="CW24" i="2" s="1"/>
  <c r="CX24" i="2" s="1"/>
  <c r="CY24" i="2" s="1"/>
  <c r="CZ24" i="2" s="1"/>
  <c r="DA24" i="2" s="1"/>
  <c r="DB24" i="2" s="1"/>
  <c r="DC24" i="2" s="1"/>
  <c r="DD24" i="2" s="1"/>
  <c r="DE24" i="2" s="1"/>
  <c r="DF24" i="2" s="1"/>
  <c r="DG24" i="2" s="1"/>
  <c r="DH24" i="2" s="1"/>
  <c r="DI24" i="2" s="1"/>
  <c r="DJ24" i="2" s="1"/>
  <c r="DK24" i="2" s="1"/>
  <c r="DL24" i="2" s="1"/>
  <c r="DM24" i="2" s="1"/>
  <c r="DN24" i="2" s="1"/>
  <c r="DO24" i="2" s="1"/>
  <c r="AB25" i="2"/>
  <c r="AH79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tc={5A3E4DD6-C190-A348-A48C-40A2E0D88118}</author>
    <author>tc={FE4DA3B0-1D89-4466-A82C-55B498414B4A}</author>
    <author>tc={C6B2DA05-385D-4115-9DA5-B253E908FD06}</author>
    <author>tc={59B213B1-786E-49EB-BD79-321B0599FBF0}</author>
    <author>tc={E0BF3D14-A59E-48D7-8804-F493FD47CAB3}</author>
    <author>tc={C25D3745-BEED-4771-AE05-AE0AF8CBF306}</author>
    <author>tc={D0D34032-D263-4C9B-B026-35176D5F952B}</author>
    <author>tc={19D4C746-88A9-4E41-80F5-3AE1861C2F13}</author>
    <author>tc={46F2731E-6081-40DC-A00B-069DBA20F116}</author>
    <author>tc={89590535-03FB-4739-A5B9-C52A88D4D0DB}</author>
  </authors>
  <commentList>
    <comment ref="M12" authorId="0" shapeId="0" xr:uid="{5A3E4DD6-C190-A348-A48C-40A2E0D88118}">
      <text>
        <t>[Threaded comment]
Your version of Excel allows you to read this threaded comment; however, any edits to it will get removed if the file is opened in a newer version of Excel. Learn more: https://go.microsoft.com/fwlink/?linkid=870924
Comment:
    Q224: 370-375m</t>
      </text>
    </comment>
    <comment ref="N12" authorId="1" shapeId="0" xr:uid="{FE4DA3B0-1D89-4466-A82C-55B498414B4A}">
      <text>
        <t>[Threaded comment]
Your version of Excel allows you to read this threaded comment; however, any edits to it will get removed if the file is opened in a newer version of Excel. Learn more: https://go.microsoft.com/fwlink/?linkid=870924
Comment:
    470m consensus
Q324: 465-470m guidance</t>
      </text>
    </comment>
    <comment ref="O12" authorId="2" shapeId="0" xr:uid="{C6B2DA05-385D-4115-9DA5-B253E908FD06}">
      <text>
        <t>[Threaded comment]
Your version of Excel allows you to read this threaded comment; however, any edits to it will get removed if the file is opened in a newer version of Excel. Learn more: https://go.microsoft.com/fwlink/?linkid=870924
Comment:
    Q125: 520-540m guidance
539m consensus</t>
      </text>
    </comment>
    <comment ref="P12" authorId="3" shapeId="0" xr:uid="{59B213B1-786E-49EB-BD79-321B0599FBF0}">
      <text>
        <t>[Threaded comment]
Your version of Excel allows you to read this threaded comment; however, any edits to it will get removed if the file is opened in a newer version of Excel. Learn more: https://go.microsoft.com/fwlink/?linkid=870924
Comment:
    Consensus 565m</t>
      </text>
    </comment>
    <comment ref="Z12" authorId="4" shapeId="0" xr:uid="{E0BF3D14-A59E-48D7-8804-F493FD47CAB3}">
      <text>
        <t>[Threaded comment]
Your version of Excel allows you to read this threaded comment; however, any edits to it will get removed if the file is opened in a newer version of Excel. Learn more: https://go.microsoft.com/fwlink/?linkid=870924
Comment:
    Q3 guidance: 1.460-1.465B</t>
      </text>
    </comment>
    <comment ref="AA12" authorId="5" shapeId="0" xr:uid="{C25D3745-BEED-4771-AE05-AE0AF8CBF306}">
      <text>
        <t>[Threaded comment]
Your version of Excel allows you to read this threaded comment; however, any edits to it will get removed if the file is opened in a newer version of Excel. Learn more: https://go.microsoft.com/fwlink/?linkid=870924
Comment:
    Q424 guidance: 2.3-2.4B
5/5/25 consensus: 2330m</t>
      </text>
    </comment>
    <comment ref="AB12" authorId="6" shapeId="0" xr:uid="{D0D34032-D263-4C9B-B026-35176D5F952B}">
      <text>
        <t>[Threaded comment]
Your version of Excel allows you to read this threaded comment; however, any edits to it will get removed if the file is opened in a newer version of Excel. Learn more: https://go.microsoft.com/fwlink/?linkid=870924
Comment:
    5/5/25 consensus: 2.80B</t>
      </text>
    </comment>
    <comment ref="O20" authorId="7" shapeId="0" xr:uid="{19D4C746-88A9-4E41-80F5-3AE1861C2F13}">
      <text>
        <t>[Threaded comment]
Your version of Excel allows you to read this threaded comment; however, any edits to it will get removed if the file is opened in a newer version of Excel. Learn more: https://go.microsoft.com/fwlink/?linkid=870924
Comment:
    Q424 guidance: 55-65m</t>
      </text>
    </comment>
    <comment ref="AA20" authorId="8" shapeId="0" xr:uid="{46F2731E-6081-40DC-A00B-069DBA20F116}">
      <text>
        <t>[Threaded comment]
Your version of Excel allows you to read this threaded comment; however, any edits to it will get removed if the file is opened in a newer version of Excel. Learn more: https://go.microsoft.com/fwlink/?linkid=870924
Comment:
    Q424 guidance: 270-320m</t>
      </text>
    </comment>
    <comment ref="N25" authorId="9" shapeId="0" xr:uid="{89590535-03FB-4739-A5B9-C52A88D4D0DB}">
      <text>
        <t>[Threaded comment]
Your version of Excel allows you to read this threaded comment; however, any edits to it will get removed if the file is opened in a newer version of Excel. Learn more: https://go.microsoft.com/fwlink/?linkid=870924
Comment:
    0.22 consensus</t>
      </text>
    </comment>
  </commentList>
</comments>
</file>

<file path=xl/sharedStrings.xml><?xml version="1.0" encoding="utf-8"?>
<sst xmlns="http://schemas.openxmlformats.org/spreadsheetml/2006/main" count="106" uniqueCount="88">
  <si>
    <t>Price</t>
  </si>
  <si>
    <t>Shares</t>
  </si>
  <si>
    <t>MC</t>
  </si>
  <si>
    <t>Cash</t>
  </si>
  <si>
    <t>Debt</t>
  </si>
  <si>
    <t>EV</t>
  </si>
  <si>
    <t>Q224</t>
  </si>
  <si>
    <t>Main</t>
  </si>
  <si>
    <t>Revenue</t>
  </si>
  <si>
    <t>Q123</t>
  </si>
  <si>
    <t>Q223</t>
  </si>
  <si>
    <t>Q323</t>
  </si>
  <si>
    <t>Q423</t>
  </si>
  <si>
    <t>Q124</t>
  </si>
  <si>
    <t>Q324</t>
  </si>
  <si>
    <t>Q424</t>
  </si>
  <si>
    <t>COGS</t>
  </si>
  <si>
    <t>Gross Profit</t>
  </si>
  <si>
    <t>Marketing</t>
  </si>
  <si>
    <t>Operations &amp; Support</t>
  </si>
  <si>
    <t>TD</t>
  </si>
  <si>
    <t>G&amp;A</t>
  </si>
  <si>
    <t>Operating Expenses</t>
  </si>
  <si>
    <t>Operating Income</t>
  </si>
  <si>
    <t>Other Income</t>
  </si>
  <si>
    <t>Pretax Income</t>
  </si>
  <si>
    <t>Net Income</t>
  </si>
  <si>
    <t>Taxes</t>
  </si>
  <si>
    <t>EPS</t>
  </si>
  <si>
    <t>CFFO</t>
  </si>
  <si>
    <t>Revenue y/y</t>
  </si>
  <si>
    <t>CapEx</t>
  </si>
  <si>
    <t>FCF</t>
  </si>
  <si>
    <t>Subscribers</t>
  </si>
  <si>
    <t>Net Orders</t>
  </si>
  <si>
    <t>AOV</t>
  </si>
  <si>
    <t>Q122</t>
  </si>
  <si>
    <t>Q222</t>
  </si>
  <si>
    <t>Q322</t>
  </si>
  <si>
    <t>Q422</t>
  </si>
  <si>
    <t>Gross Margin</t>
  </si>
  <si>
    <t>EBITDA</t>
  </si>
  <si>
    <t>ARPU</t>
  </si>
  <si>
    <t>Q125</t>
  </si>
  <si>
    <t>Q225</t>
  </si>
  <si>
    <t>Q325</t>
  </si>
  <si>
    <t>Q425</t>
  </si>
  <si>
    <t>Discount</t>
  </si>
  <si>
    <t>Terminal</t>
  </si>
  <si>
    <t>NPV</t>
  </si>
  <si>
    <t>L+SE</t>
  </si>
  <si>
    <t>SE</t>
  </si>
  <si>
    <t>AP</t>
  </si>
  <si>
    <t>AL</t>
  </si>
  <si>
    <t>DR</t>
  </si>
  <si>
    <t>Lease</t>
  </si>
  <si>
    <t>OLTL</t>
  </si>
  <si>
    <t>Assets</t>
  </si>
  <si>
    <t>Inventory</t>
  </si>
  <si>
    <t>Prepaids</t>
  </si>
  <si>
    <t>Goodwill</t>
  </si>
  <si>
    <t>PP&amp;E</t>
  </si>
  <si>
    <t>DTA</t>
  </si>
  <si>
    <t>OLTA</t>
  </si>
  <si>
    <t>Earnout</t>
  </si>
  <si>
    <t>Model NI</t>
  </si>
  <si>
    <t>Reported NI</t>
  </si>
  <si>
    <t>SBC</t>
  </si>
  <si>
    <t>D&amp;A</t>
  </si>
  <si>
    <t>WC</t>
  </si>
  <si>
    <t>Other</t>
  </si>
  <si>
    <t>Impairment</t>
  </si>
  <si>
    <t>Accretion</t>
  </si>
  <si>
    <t>CFFI</t>
  </si>
  <si>
    <t>Software</t>
  </si>
  <si>
    <t>Investments</t>
  </si>
  <si>
    <t>CFFF</t>
  </si>
  <si>
    <t>Buybacks</t>
  </si>
  <si>
    <t>ESOP</t>
  </si>
  <si>
    <t>FX</t>
  </si>
  <si>
    <t>CIC</t>
  </si>
  <si>
    <t>Online</t>
  </si>
  <si>
    <t>Wholesale</t>
  </si>
  <si>
    <t>Founded</t>
  </si>
  <si>
    <t>MORpAS</t>
  </si>
  <si>
    <t>DT</t>
  </si>
  <si>
    <t>Acquisitions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</si>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</sst>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#,##0.000"/>
  </numFmts>
  <fonts count="7" x14ac:knownFonts="1">
    <font>
      <sz val="12"/>
      <color theme="1"/>
      <name val="Aptos Narrow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2"/>
      <color theme="10"/>
      <name val="Aptos Narrow"/>
      <family val="2"/>
      <scheme val="minor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6">
    <xf numFmtId="0" fontId="0" fillId="0" borderId="0" xfId="0"/>
    <xf numFmtId="0" fontId="3" fillId="0" borderId="0" xfId="0" applyFont="1"/>
    <xf numFmtId="4" fontId="3" fillId="0" borderId="0" xfId="0" applyNumberFormat="1" applyFont="1"/>
    <xf numFmtId="3" fontId="3" fillId="0" borderId="0" xfId="0" applyNumberFormat="1" applyFont="1"/>
    <xf numFmtId="0" fontId="3" fillId="0" borderId="0" xfId="0" applyFont="1" applyAlignment="1">
      <alignment horizontal="right"/>
    </xf>
    <xf numFmtId="3" fontId="3" fillId="0" borderId="0" xfId="0" applyNumberFormat="1" applyFont="1" applyAlignment="1">
      <alignment horizontal="right"/>
    </xf>
    <xf numFmtId="4" fontId="3" fillId="0" borderId="0" xfId="0" applyNumberFormat="1" applyFont="1" applyAlignment="1">
      <alignment horizontal="right"/>
    </xf>
    <xf numFmtId="3" fontId="4" fillId="0" borderId="0" xfId="0" applyNumberFormat="1" applyFont="1"/>
    <xf numFmtId="3" fontId="4" fillId="0" borderId="0" xfId="0" applyNumberFormat="1" applyFont="1" applyAlignment="1">
      <alignment horizontal="right"/>
    </xf>
    <xf numFmtId="0" fontId="6" fillId="0" borderId="0" xfId="1" applyFont="1"/>
    <xf numFmtId="0" fontId="4" fillId="0" borderId="0" xfId="0" applyFont="1"/>
    <xf numFmtId="0" fontId="4" fillId="0" borderId="0" xfId="0" applyFont="1" applyAlignment="1">
      <alignment horizontal="right"/>
    </xf>
    <xf numFmtId="9" fontId="4" fillId="0" borderId="0" xfId="0" applyNumberFormat="1" applyFont="1" applyAlignment="1">
      <alignment horizontal="right"/>
    </xf>
    <xf numFmtId="9" fontId="4" fillId="0" borderId="0" xfId="0" applyNumberFormat="1" applyFont="1"/>
    <xf numFmtId="9" fontId="3" fillId="0" borderId="0" xfId="0" applyNumberFormat="1" applyFont="1"/>
    <xf numFmtId="0" fontId="2" fillId="0" borderId="0" xfId="0" applyFont="1" applyAlignment="1">
      <alignment horizontal="right"/>
    </xf>
    <xf numFmtId="9" fontId="3" fillId="0" borderId="0" xfId="0" applyNumberFormat="1" applyFont="1" applyAlignment="1">
      <alignment horizontal="right"/>
    </xf>
    <xf numFmtId="0" fontId="2" fillId="0" borderId="0" xfId="0" applyFont="1"/>
    <xf numFmtId="3" fontId="2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3" fontId="2" fillId="0" borderId="0" xfId="0" applyNumberFormat="1" applyFont="1"/>
    <xf numFmtId="0" fontId="1" fillId="0" borderId="0" xfId="0" applyFont="1"/>
    <xf numFmtId="0" fontId="0" fillId="0" borderId="0" xfId="0" applyAlignment="1">
      <alignment horizontal="right"/>
    </xf>
    <xf numFmtId="14" fontId="0" fillId="0" borderId="0" xfId="0" applyNumberFormat="1"/>
    <xf numFmtId="4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77CD16F1-3D42-4151-AA75-05431C12FD36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43658</xdr:colOff>
      <xdr:row>0</xdr:row>
      <xdr:rowOff>0</xdr:rowOff>
    </xdr:from>
    <xdr:to>
      <xdr:col>14</xdr:col>
      <xdr:colOff>43658</xdr:colOff>
      <xdr:row>84</xdr:row>
      <xdr:rowOff>126999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C2C1D5B-6274-2E3D-185B-6D0A6FFAAA72}"/>
            </a:ext>
          </a:extLst>
        </xdr:cNvPr>
        <xdr:cNvCxnSpPr/>
      </xdr:nvCxnSpPr>
      <xdr:spPr>
        <a:xfrm>
          <a:off x="9006451" y="0"/>
          <a:ext cx="0" cy="1313675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39688</xdr:colOff>
      <xdr:row>0</xdr:row>
      <xdr:rowOff>0</xdr:rowOff>
    </xdr:from>
    <xdr:to>
      <xdr:col>26</xdr:col>
      <xdr:colOff>39688</xdr:colOff>
      <xdr:row>89</xdr:row>
      <xdr:rowOff>15875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E5629CD8-D3B3-2BB4-B79A-17CB4DDD3C58}"/>
            </a:ext>
          </a:extLst>
        </xdr:cNvPr>
        <xdr:cNvCxnSpPr/>
      </xdr:nvCxnSpPr>
      <xdr:spPr>
        <a:xfrm>
          <a:off x="16362286" y="0"/>
          <a:ext cx="0" cy="13838741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FD0116FB-70B3-F949-9774-5970B644D79B}" userId="9ffda80931a57275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M12" dT="2024-09-06T17:00:30.77" personId="{FD0116FB-70B3-F949-9774-5970B644D79B}" id="{5A3E4DD6-C190-A348-A48C-40A2E0D88118}">
    <text>Q224: 370-375m</text>
  </threadedComment>
  <threadedComment ref="N12" dT="2025-02-24T20:56:09.04" personId="{FD0116FB-70B3-F949-9774-5970B644D79B}" id="{FE4DA3B0-1D89-4466-A82C-55B498414B4A}">
    <text>470m consensus
Q324: 465-470m guidance</text>
  </threadedComment>
  <threadedComment ref="O12" dT="2025-02-24T20:56:16.36" personId="{FD0116FB-70B3-F949-9774-5970B644D79B}" id="{C6B2DA05-385D-4115-9DA5-B253E908FD06}">
    <text>Q125: 520-540m guidance
539m consensus</text>
  </threadedComment>
  <threadedComment ref="P12" dT="2025-05-05T16:01:24.70" personId="{FD0116FB-70B3-F949-9774-5970B644D79B}" id="{59B213B1-786E-49EB-BD79-321B0599FBF0}">
    <text>Consensus 565m</text>
  </threadedComment>
  <threadedComment ref="Z12" dT="2024-12-05T21:26:54.64" personId="{FD0116FB-70B3-F949-9774-5970B644D79B}" id="{E0BF3D14-A59E-48D7-8804-F493FD47CAB3}">
    <text>Q3 guidance: 1.460-1.465B</text>
  </threadedComment>
  <threadedComment ref="AA12" dT="2025-05-05T17:09:45.80" personId="{FD0116FB-70B3-F949-9774-5970B644D79B}" id="{C25D3745-BEED-4771-AE05-AE0AF8CBF306}">
    <text>Q424 guidance: 2.3-2.4B
5/5/25 consensus: 2330m</text>
  </threadedComment>
  <threadedComment ref="AB12" dT="2025-05-05T17:09:37.06" personId="{FD0116FB-70B3-F949-9774-5970B644D79B}" id="{D0D34032-D263-4C9B-B026-35176D5F952B}">
    <text>5/5/25 consensus: 2.80B</text>
  </threadedComment>
  <threadedComment ref="O20" dT="2025-05-05T17:19:36.74" personId="{FD0116FB-70B3-F949-9774-5970B644D79B}" id="{19D4C746-88A9-4E41-80F5-3AE1861C2F13}">
    <text>Q424 guidance: 55-65m</text>
  </threadedComment>
  <threadedComment ref="AA20" dT="2025-05-05T17:19:24.69" personId="{FD0116FB-70B3-F949-9774-5970B644D79B}" id="{46F2731E-6081-40DC-A00B-069DBA20F116}">
    <text>Q424 guidance: 270-320m</text>
  </threadedComment>
  <threadedComment ref="N25" dT="2025-02-24T20:56:49.57" personId="{FD0116FB-70B3-F949-9774-5970B644D79B}" id="{89590535-03FB-4739-A5B9-C52A88D4D0DB}">
    <text>0.22 consensus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8A3823-48B2-A542-9020-C8A457289847}">
  <dimension ref="H2:J9"/>
  <sheetViews>
    <sheetView zoomScaleNormal="100" workbookViewId="0">
      <selection activeCell="I5" sqref="I5"/>
    </sheetView>
  </sheetViews>
  <sheetFormatPr defaultColWidth="10.83203125" defaultRowHeight="12.5" x14ac:dyDescent="0.25"/>
  <cols>
    <col min="1" max="8" width="10.83203125" style="1"/>
    <col min="9" max="9" width="8.08203125" style="1" customWidth="1"/>
    <col min="10" max="10" width="6.83203125" style="1" customWidth="1"/>
    <col min="11" max="16384" width="10.83203125" style="1"/>
  </cols>
  <sheetData>
    <row r="2" spans="8:10" x14ac:dyDescent="0.25">
      <c r="H2" s="1" t="s">
        <v>0</v>
      </c>
      <c r="I2" s="2">
        <v>40</v>
      </c>
    </row>
    <row r="3" spans="8:10" x14ac:dyDescent="0.25">
      <c r="H3" s="1" t="s">
        <v>1</v>
      </c>
      <c r="I3" s="3">
        <f>213.787949+8.377623</f>
        <v>222.165572</v>
      </c>
      <c r="J3" s="15" t="s">
        <v>14</v>
      </c>
    </row>
    <row r="4" spans="8:10" x14ac:dyDescent="0.25">
      <c r="H4" s="1" t="s">
        <v>2</v>
      </c>
      <c r="I4" s="3">
        <f>+I2*I3</f>
        <v>8886.622879999999</v>
      </c>
    </row>
    <row r="5" spans="8:10" x14ac:dyDescent="0.25">
      <c r="H5" s="1" t="s">
        <v>3</v>
      </c>
      <c r="I5" s="3">
        <f>165.518+88.553</f>
        <v>254.071</v>
      </c>
      <c r="J5" s="15" t="s">
        <v>14</v>
      </c>
    </row>
    <row r="6" spans="8:10" x14ac:dyDescent="0.25">
      <c r="H6" s="1" t="s">
        <v>4</v>
      </c>
      <c r="I6" s="3">
        <v>0</v>
      </c>
      <c r="J6" s="15" t="s">
        <v>14</v>
      </c>
    </row>
    <row r="7" spans="8:10" x14ac:dyDescent="0.25">
      <c r="H7" s="1" t="s">
        <v>5</v>
      </c>
      <c r="I7" s="3">
        <f>+I4-I5+I6</f>
        <v>8632.5518799999991</v>
      </c>
    </row>
    <row r="9" spans="8:10" x14ac:dyDescent="0.25">
      <c r="H9" s="21" t="s">
        <v>83</v>
      </c>
      <c r="I9" s="1">
        <v>2017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9DBEF-A602-DE45-8F11-1D484D54BC6E}">
  <dimension ref="A1:DO82"/>
  <sheetViews>
    <sheetView tabSelected="1" zoomScale="145" zoomScaleNormal="145" workbookViewId="0">
      <pane xSplit="2" ySplit="2" topLeftCell="Y3" activePane="bottomRight" state="frozen"/>
      <selection pane="topRight" activeCell="C1" sqref="C1"/>
      <selection pane="bottomLeft" activeCell="A3" sqref="A3"/>
      <selection pane="bottomRight" activeCell="AG12" sqref="AG12"/>
    </sheetView>
  </sheetViews>
  <sheetFormatPr defaultColWidth="10.83203125" defaultRowHeight="12.5" x14ac:dyDescent="0.25"/>
  <cols>
    <col min="1" max="1" width="5.08203125" style="1" bestFit="1" customWidth="1"/>
    <col min="2" max="2" width="18.08203125" style="1" bestFit="1" customWidth="1"/>
    <col min="3" max="18" width="7.83203125" style="4" customWidth="1"/>
    <col min="19" max="20" width="8.58203125" style="1" customWidth="1"/>
    <col min="21" max="26" width="8" style="1" customWidth="1"/>
    <col min="27" max="32" width="7.5" style="1" customWidth="1"/>
    <col min="33" max="37" width="9.08203125" style="1" customWidth="1"/>
    <col min="38" max="16384" width="10.83203125" style="1"/>
  </cols>
  <sheetData>
    <row r="1" spans="1:38" x14ac:dyDescent="0.25">
      <c r="A1" s="9" t="s">
        <v>7</v>
      </c>
    </row>
    <row r="2" spans="1:38" x14ac:dyDescent="0.25">
      <c r="C2" s="4" t="s">
        <v>36</v>
      </c>
      <c r="D2" s="4" t="s">
        <v>37</v>
      </c>
      <c r="E2" s="4" t="s">
        <v>38</v>
      </c>
      <c r="F2" s="4" t="s">
        <v>39</v>
      </c>
      <c r="G2" s="4" t="s">
        <v>9</v>
      </c>
      <c r="H2" s="4" t="s">
        <v>10</v>
      </c>
      <c r="I2" s="4" t="s">
        <v>11</v>
      </c>
      <c r="J2" s="4" t="s">
        <v>12</v>
      </c>
      <c r="K2" s="4" t="s">
        <v>13</v>
      </c>
      <c r="L2" s="4" t="s">
        <v>6</v>
      </c>
      <c r="M2" s="4" t="s">
        <v>14</v>
      </c>
      <c r="N2" s="4" t="s">
        <v>15</v>
      </c>
      <c r="O2" s="15" t="s">
        <v>43</v>
      </c>
      <c r="P2" s="15" t="s">
        <v>44</v>
      </c>
      <c r="Q2" s="15" t="s">
        <v>45</v>
      </c>
      <c r="R2" s="15" t="s">
        <v>46</v>
      </c>
      <c r="U2" s="1">
        <v>2019</v>
      </c>
      <c r="V2" s="1">
        <v>2020</v>
      </c>
      <c r="W2" s="1">
        <f>+V2+1</f>
        <v>2021</v>
      </c>
      <c r="X2" s="1">
        <f t="shared" ref="X2:AL2" si="0">+W2+1</f>
        <v>2022</v>
      </c>
      <c r="Y2" s="1">
        <f t="shared" si="0"/>
        <v>2023</v>
      </c>
      <c r="Z2" s="1">
        <f t="shared" si="0"/>
        <v>2024</v>
      </c>
      <c r="AA2" s="1">
        <f t="shared" si="0"/>
        <v>2025</v>
      </c>
      <c r="AB2" s="1">
        <f t="shared" si="0"/>
        <v>2026</v>
      </c>
      <c r="AC2" s="1">
        <f t="shared" si="0"/>
        <v>2027</v>
      </c>
      <c r="AD2" s="1">
        <f t="shared" si="0"/>
        <v>2028</v>
      </c>
      <c r="AE2" s="1">
        <f t="shared" si="0"/>
        <v>2029</v>
      </c>
      <c r="AF2" s="1">
        <f t="shared" si="0"/>
        <v>2030</v>
      </c>
      <c r="AG2" s="1">
        <f t="shared" si="0"/>
        <v>2031</v>
      </c>
      <c r="AH2" s="1">
        <f t="shared" si="0"/>
        <v>2032</v>
      </c>
      <c r="AI2" s="1">
        <f t="shared" si="0"/>
        <v>2033</v>
      </c>
      <c r="AJ2" s="1">
        <f t="shared" si="0"/>
        <v>2034</v>
      </c>
      <c r="AK2" s="1">
        <f t="shared" si="0"/>
        <v>2035</v>
      </c>
      <c r="AL2" s="1">
        <f t="shared" si="0"/>
        <v>2036</v>
      </c>
    </row>
    <row r="3" spans="1:38" x14ac:dyDescent="0.25">
      <c r="B3" s="1" t="s">
        <v>33</v>
      </c>
      <c r="D3" s="5"/>
      <c r="E3" s="5"/>
      <c r="F3" s="5">
        <v>1040</v>
      </c>
      <c r="G3" s="5">
        <v>1209</v>
      </c>
      <c r="H3" s="5">
        <v>1300</v>
      </c>
      <c r="I3" s="5">
        <v>1426</v>
      </c>
      <c r="J3" s="5">
        <v>1537</v>
      </c>
      <c r="K3" s="5">
        <v>1709</v>
      </c>
      <c r="L3" s="5">
        <v>1864</v>
      </c>
      <c r="M3" s="5">
        <v>2047</v>
      </c>
      <c r="N3" s="5">
        <v>2229</v>
      </c>
      <c r="O3" s="5">
        <v>2366</v>
      </c>
      <c r="P3" s="5"/>
      <c r="Q3" s="5"/>
      <c r="R3" s="5"/>
      <c r="X3" s="3">
        <v>1040</v>
      </c>
      <c r="Y3" s="3">
        <f>+J3</f>
        <v>1537</v>
      </c>
      <c r="Z3" s="3">
        <f>+N3</f>
        <v>2229</v>
      </c>
      <c r="AA3" s="3">
        <f>+Z3*1.3</f>
        <v>2897.7000000000003</v>
      </c>
      <c r="AB3" s="3">
        <f t="shared" ref="AB3:AF3" si="1">+AA3+500</f>
        <v>3397.7000000000003</v>
      </c>
      <c r="AC3" s="3">
        <f t="shared" si="1"/>
        <v>3897.7000000000003</v>
      </c>
      <c r="AD3" s="3">
        <f t="shared" si="1"/>
        <v>4397.7000000000007</v>
      </c>
      <c r="AE3" s="3">
        <f t="shared" si="1"/>
        <v>4897.7000000000007</v>
      </c>
      <c r="AF3" s="3">
        <f t="shared" si="1"/>
        <v>5397.7000000000007</v>
      </c>
      <c r="AG3" s="3"/>
      <c r="AH3" s="3"/>
      <c r="AI3" s="3"/>
      <c r="AJ3" s="3"/>
    </row>
    <row r="4" spans="1:38" x14ac:dyDescent="0.25">
      <c r="B4" s="1" t="s">
        <v>34</v>
      </c>
      <c r="D4" s="5"/>
      <c r="E4" s="5"/>
      <c r="F4" s="5">
        <v>1855</v>
      </c>
      <c r="G4" s="5">
        <v>2047</v>
      </c>
      <c r="H4" s="5">
        <v>2109</v>
      </c>
      <c r="I4" s="5">
        <v>2222</v>
      </c>
      <c r="J4" s="5">
        <v>2298</v>
      </c>
      <c r="K4" s="5">
        <v>2461</v>
      </c>
      <c r="L4" s="5">
        <v>2527</v>
      </c>
      <c r="M4" s="5">
        <v>2664</v>
      </c>
      <c r="N4" s="5">
        <v>2807</v>
      </c>
      <c r="X4" s="3">
        <v>6122</v>
      </c>
      <c r="Y4" s="3">
        <f>SUM(G4:J4)</f>
        <v>8676</v>
      </c>
      <c r="Z4" s="3">
        <v>10459</v>
      </c>
    </row>
    <row r="5" spans="1:38" x14ac:dyDescent="0.25">
      <c r="B5" s="1" t="s">
        <v>35</v>
      </c>
      <c r="F5" s="4">
        <v>87</v>
      </c>
      <c r="G5" s="5">
        <v>90</v>
      </c>
      <c r="H5" s="4">
        <v>95</v>
      </c>
      <c r="I5" s="4">
        <v>99</v>
      </c>
      <c r="J5" s="4">
        <v>103</v>
      </c>
      <c r="K5" s="4">
        <v>109</v>
      </c>
      <c r="L5" s="4">
        <v>121</v>
      </c>
      <c r="M5" s="4">
        <v>147</v>
      </c>
      <c r="N5" s="4">
        <v>168</v>
      </c>
    </row>
    <row r="6" spans="1:38" x14ac:dyDescent="0.25">
      <c r="B6" s="1" t="s">
        <v>42</v>
      </c>
      <c r="F6" s="6">
        <f t="shared" ref="F6:N6" si="2">F12/F3*1000</f>
        <v>160.77211538461538</v>
      </c>
      <c r="G6" s="6">
        <f t="shared" si="2"/>
        <v>157.79156327543424</v>
      </c>
      <c r="H6" s="6">
        <f t="shared" si="2"/>
        <v>159.93230769230772</v>
      </c>
      <c r="I6" s="6">
        <f t="shared" si="2"/>
        <v>158.97545582047687</v>
      </c>
      <c r="J6" s="6">
        <f t="shared" si="2"/>
        <v>160.45478204294079</v>
      </c>
      <c r="K6" s="6">
        <f t="shared" si="2"/>
        <v>162.7682855471036</v>
      </c>
      <c r="L6" s="6">
        <f t="shared" si="2"/>
        <v>169.33905579399141</v>
      </c>
      <c r="M6" s="6">
        <f t="shared" si="2"/>
        <v>196.16805080605764</v>
      </c>
      <c r="N6" s="6">
        <f t="shared" si="2"/>
        <v>215.85419470614625</v>
      </c>
      <c r="X6" s="2">
        <f>53*12</f>
        <v>636</v>
      </c>
      <c r="Y6" s="2">
        <f>54*12</f>
        <v>648</v>
      </c>
      <c r="Z6" s="2">
        <f>64*12</f>
        <v>768</v>
      </c>
      <c r="AA6" s="2">
        <f>+Z6*1.1</f>
        <v>844.80000000000007</v>
      </c>
      <c r="AB6" s="2">
        <f t="shared" ref="AB6:AF6" si="3">+AA6*1.03</f>
        <v>870.14400000000012</v>
      </c>
      <c r="AC6" s="2">
        <f t="shared" si="3"/>
        <v>896.24832000000015</v>
      </c>
      <c r="AD6" s="2">
        <f t="shared" si="3"/>
        <v>923.13576960000023</v>
      </c>
      <c r="AE6" s="2">
        <f t="shared" si="3"/>
        <v>950.82984268800021</v>
      </c>
      <c r="AF6" s="2">
        <f t="shared" si="3"/>
        <v>979.35473796864028</v>
      </c>
      <c r="AG6" s="2"/>
    </row>
    <row r="7" spans="1:38" x14ac:dyDescent="0.25">
      <c r="B7" s="21" t="s">
        <v>84</v>
      </c>
      <c r="F7" s="6"/>
      <c r="G7" s="6">
        <v>55</v>
      </c>
      <c r="H7" s="6">
        <v>53</v>
      </c>
      <c r="I7" s="6">
        <v>54</v>
      </c>
      <c r="J7" s="6">
        <v>53</v>
      </c>
      <c r="K7" s="6">
        <v>55</v>
      </c>
      <c r="L7" s="6">
        <v>57</v>
      </c>
      <c r="M7" s="6">
        <v>67</v>
      </c>
      <c r="N7" s="6">
        <v>73</v>
      </c>
      <c r="O7" s="6">
        <v>84</v>
      </c>
      <c r="X7" s="2"/>
      <c r="Y7" s="2"/>
      <c r="Z7" s="2"/>
      <c r="AA7" s="2"/>
      <c r="AB7" s="2"/>
      <c r="AC7" s="2"/>
      <c r="AD7" s="2"/>
      <c r="AE7" s="2"/>
      <c r="AF7" s="2"/>
      <c r="AG7" s="2"/>
    </row>
    <row r="8" spans="1:38" x14ac:dyDescent="0.25">
      <c r="G8" s="5"/>
    </row>
    <row r="9" spans="1:38" s="3" customFormat="1" x14ac:dyDescent="0.25">
      <c r="B9" s="20" t="s">
        <v>81</v>
      </c>
      <c r="C9" s="5"/>
      <c r="D9" s="5"/>
      <c r="E9" s="5"/>
      <c r="F9" s="5"/>
      <c r="G9" s="5">
        <v>184.17500000000001</v>
      </c>
      <c r="H9" s="5">
        <v>201.178</v>
      </c>
      <c r="I9" s="5">
        <v>219.66499999999999</v>
      </c>
      <c r="J9" s="5">
        <v>237.363</v>
      </c>
      <c r="K9" s="5">
        <v>267.76100000000002</v>
      </c>
      <c r="L9" s="5">
        <v>306.84300000000002</v>
      </c>
      <c r="M9" s="5">
        <v>392.57299999999998</v>
      </c>
      <c r="N9" s="5">
        <v>470.76</v>
      </c>
      <c r="O9" s="5"/>
      <c r="P9" s="5"/>
      <c r="Q9" s="5"/>
      <c r="R9" s="5"/>
      <c r="X9" s="3">
        <v>502.50700000000001</v>
      </c>
      <c r="Y9" s="3">
        <v>842.38099999999997</v>
      </c>
      <c r="Z9" s="3">
        <v>1437.9369999999999</v>
      </c>
    </row>
    <row r="10" spans="1:38" s="3" customFormat="1" x14ac:dyDescent="0.25">
      <c r="B10" s="20" t="s">
        <v>82</v>
      </c>
      <c r="C10" s="5"/>
      <c r="D10" s="5"/>
      <c r="E10" s="5"/>
      <c r="F10" s="5"/>
      <c r="G10" s="5">
        <v>6.5949999999999998</v>
      </c>
      <c r="H10" s="5">
        <v>6.734</v>
      </c>
      <c r="I10" s="5">
        <v>7.0339999999999998</v>
      </c>
      <c r="J10" s="5">
        <v>9.2560000000000002</v>
      </c>
      <c r="K10" s="5">
        <v>10.41</v>
      </c>
      <c r="L10" s="5">
        <v>8.8049999999999997</v>
      </c>
      <c r="M10" s="5">
        <v>8.9830000000000005</v>
      </c>
      <c r="N10" s="5">
        <v>10.379</v>
      </c>
      <c r="O10" s="5"/>
      <c r="P10" s="5"/>
      <c r="Q10" s="5"/>
      <c r="R10" s="5"/>
      <c r="X10" s="3">
        <v>24.408999999999999</v>
      </c>
      <c r="Y10" s="3">
        <v>29.619</v>
      </c>
      <c r="Z10" s="3">
        <v>38.576999999999998</v>
      </c>
    </row>
    <row r="11" spans="1:38" x14ac:dyDescent="0.25">
      <c r="G11" s="5"/>
    </row>
    <row r="12" spans="1:38" s="7" customFormat="1" ht="13" x14ac:dyDescent="0.3">
      <c r="B12" s="7" t="s">
        <v>8</v>
      </c>
      <c r="C12" s="8"/>
      <c r="D12" s="8"/>
      <c r="E12" s="8"/>
      <c r="F12" s="8">
        <v>167.203</v>
      </c>
      <c r="G12" s="8">
        <v>190.77</v>
      </c>
      <c r="H12" s="8">
        <v>207.91200000000001</v>
      </c>
      <c r="I12" s="8">
        <v>226.69900000000001</v>
      </c>
      <c r="J12" s="8">
        <v>246.619</v>
      </c>
      <c r="K12" s="8">
        <f>+K10+K9</f>
        <v>278.17100000000005</v>
      </c>
      <c r="L12" s="8">
        <v>315.64800000000002</v>
      </c>
      <c r="M12" s="8">
        <v>401.55599999999998</v>
      </c>
      <c r="N12" s="8">
        <v>481.13900000000001</v>
      </c>
      <c r="O12" s="8">
        <v>586</v>
      </c>
      <c r="P12" s="8">
        <v>560</v>
      </c>
      <c r="Q12" s="8">
        <f t="shared" ref="Q12:R12" si="4">+P12+50</f>
        <v>610</v>
      </c>
      <c r="R12" s="8">
        <f t="shared" si="4"/>
        <v>660</v>
      </c>
      <c r="U12" s="7">
        <v>82.558000000000007</v>
      </c>
      <c r="V12" s="7">
        <v>148.75700000000001</v>
      </c>
      <c r="W12" s="7">
        <v>271.87799999999999</v>
      </c>
      <c r="X12" s="7">
        <v>526.91600000000005</v>
      </c>
      <c r="Y12" s="7">
        <v>872</v>
      </c>
      <c r="Z12" s="7">
        <f>SUM(K12:N12)</f>
        <v>1476.5140000000001</v>
      </c>
      <c r="AA12" s="7">
        <f>SUM(O12:R12)</f>
        <v>2416</v>
      </c>
      <c r="AB12" s="7">
        <f t="shared" ref="AB12:AF12" si="5">+AB3*AB6/1000</f>
        <v>2956.4882688000007</v>
      </c>
      <c r="AC12" s="7">
        <f t="shared" si="5"/>
        <v>3493.3070768640009</v>
      </c>
      <c r="AD12" s="7">
        <f t="shared" si="5"/>
        <v>4059.6741739699219</v>
      </c>
      <c r="AE12" s="7">
        <f t="shared" si="5"/>
        <v>4656.8793205330194</v>
      </c>
      <c r="AF12" s="7">
        <f t="shared" si="5"/>
        <v>5286.2630691333297</v>
      </c>
    </row>
    <row r="13" spans="1:38" s="3" customFormat="1" x14ac:dyDescent="0.25">
      <c r="B13" s="3" t="s">
        <v>16</v>
      </c>
      <c r="C13" s="5"/>
      <c r="D13" s="5"/>
      <c r="E13" s="5"/>
      <c r="F13" s="5">
        <v>34.866</v>
      </c>
      <c r="G13" s="5">
        <v>37.344999999999999</v>
      </c>
      <c r="H13" s="5">
        <v>37.753999999999998</v>
      </c>
      <c r="I13" s="5">
        <v>39.390999999999998</v>
      </c>
      <c r="J13" s="5">
        <v>42.561</v>
      </c>
      <c r="K13" s="5">
        <v>49.076000000000001</v>
      </c>
      <c r="L13" s="5">
        <v>59.034999999999997</v>
      </c>
      <c r="M13" s="5">
        <v>83.67</v>
      </c>
      <c r="N13" s="5">
        <v>111.598</v>
      </c>
      <c r="O13" s="5">
        <v>155.321</v>
      </c>
      <c r="P13" s="5">
        <f>+P12*0.2</f>
        <v>112</v>
      </c>
      <c r="Q13" s="5">
        <f>+Q12*0.2</f>
        <v>122</v>
      </c>
      <c r="R13" s="5">
        <f>+R12*0.2</f>
        <v>132</v>
      </c>
      <c r="W13" s="3">
        <v>67.384</v>
      </c>
      <c r="X13" s="3">
        <v>118.194</v>
      </c>
      <c r="Y13" s="3">
        <v>157.05099999999999</v>
      </c>
      <c r="Z13" s="3">
        <f>SUM(K13:N13)</f>
        <v>303.37900000000002</v>
      </c>
      <c r="AA13" s="3">
        <f t="shared" ref="AA13:AF13" si="6">+AA12-AA14</f>
        <v>531.52</v>
      </c>
      <c r="AB13" s="3">
        <f t="shared" si="6"/>
        <v>739.12206719999995</v>
      </c>
      <c r="AC13" s="3">
        <f t="shared" si="6"/>
        <v>978.12598152192049</v>
      </c>
      <c r="AD13" s="3">
        <f t="shared" si="6"/>
        <v>1217.9022521909769</v>
      </c>
      <c r="AE13" s="3">
        <f t="shared" si="6"/>
        <v>1397.0637961599059</v>
      </c>
      <c r="AF13" s="3">
        <f t="shared" si="6"/>
        <v>1585.8789207399991</v>
      </c>
    </row>
    <row r="14" spans="1:38" s="3" customFormat="1" x14ac:dyDescent="0.25">
      <c r="B14" s="3" t="s">
        <v>17</v>
      </c>
      <c r="C14" s="5"/>
      <c r="D14" s="5"/>
      <c r="E14" s="5"/>
      <c r="F14" s="5">
        <f t="shared" ref="F14:N14" si="7">+F12-F13</f>
        <v>132.33699999999999</v>
      </c>
      <c r="G14" s="5">
        <f t="shared" si="7"/>
        <v>153.42500000000001</v>
      </c>
      <c r="H14" s="5">
        <f t="shared" si="7"/>
        <v>170.15800000000002</v>
      </c>
      <c r="I14" s="5">
        <f t="shared" si="7"/>
        <v>187.30800000000002</v>
      </c>
      <c r="J14" s="5">
        <f t="shared" si="7"/>
        <v>204.05799999999999</v>
      </c>
      <c r="K14" s="5">
        <f t="shared" si="7"/>
        <v>229.09500000000006</v>
      </c>
      <c r="L14" s="5">
        <f t="shared" si="7"/>
        <v>256.61300000000006</v>
      </c>
      <c r="M14" s="5">
        <f t="shared" si="7"/>
        <v>317.88599999999997</v>
      </c>
      <c r="N14" s="5">
        <f t="shared" si="7"/>
        <v>369.541</v>
      </c>
      <c r="O14" s="5">
        <f t="shared" ref="O14:R14" si="8">+O12-O13</f>
        <v>430.67899999999997</v>
      </c>
      <c r="P14" s="5">
        <f t="shared" si="8"/>
        <v>448</v>
      </c>
      <c r="Q14" s="5">
        <f t="shared" si="8"/>
        <v>488</v>
      </c>
      <c r="R14" s="5">
        <f t="shared" si="8"/>
        <v>528</v>
      </c>
      <c r="W14" s="3">
        <f>+W12-W13</f>
        <v>204.49399999999997</v>
      </c>
      <c r="X14" s="3">
        <f>+X12-X13</f>
        <v>408.72200000000004</v>
      </c>
      <c r="Y14" s="3">
        <f>+Y12-Y13</f>
        <v>714.94900000000007</v>
      </c>
      <c r="Z14" s="3">
        <f>+Z12-Z13</f>
        <v>1173.1350000000002</v>
      </c>
      <c r="AA14" s="3">
        <f>+AA12*0.78</f>
        <v>1884.48</v>
      </c>
      <c r="AB14" s="3">
        <f>+AB12*0.75</f>
        <v>2217.3662016000007</v>
      </c>
      <c r="AC14" s="3">
        <f>+AC12*0.72</f>
        <v>2515.1810953420804</v>
      </c>
      <c r="AD14" s="3">
        <f>+AD12*0.7</f>
        <v>2841.7719217789449</v>
      </c>
      <c r="AE14" s="3">
        <f>+AE12*0.7</f>
        <v>3259.8155243731135</v>
      </c>
      <c r="AF14" s="3">
        <f>+AF12*0.7</f>
        <v>3700.3841483933306</v>
      </c>
    </row>
    <row r="15" spans="1:38" s="3" customFormat="1" x14ac:dyDescent="0.25">
      <c r="B15" s="3" t="s">
        <v>18</v>
      </c>
      <c r="C15" s="5"/>
      <c r="D15" s="5"/>
      <c r="E15" s="5"/>
      <c r="F15" s="5">
        <v>85.542000000000002</v>
      </c>
      <c r="G15" s="5">
        <v>97.245000000000005</v>
      </c>
      <c r="H15" s="5">
        <v>107.21899999999999</v>
      </c>
      <c r="I15" s="5">
        <v>116.07599999999999</v>
      </c>
      <c r="J15" s="5">
        <v>125.895</v>
      </c>
      <c r="K15" s="5">
        <v>130.553</v>
      </c>
      <c r="L15" s="5">
        <v>144.922</v>
      </c>
      <c r="M15" s="5">
        <v>182.28399999999999</v>
      </c>
      <c r="N15" s="5">
        <v>221.08500000000001</v>
      </c>
      <c r="O15" s="5">
        <v>231.23500000000001</v>
      </c>
      <c r="P15" s="5">
        <f t="shared" ref="P15:R15" si="9">+L15*1.3</f>
        <v>188.39860000000002</v>
      </c>
      <c r="Q15" s="5">
        <f t="shared" si="9"/>
        <v>236.9692</v>
      </c>
      <c r="R15" s="5">
        <f t="shared" si="9"/>
        <v>287.41050000000001</v>
      </c>
      <c r="W15" s="3">
        <v>135.90199999999999</v>
      </c>
      <c r="X15" s="3">
        <v>272.58699999999999</v>
      </c>
      <c r="Y15" s="3">
        <v>446.435</v>
      </c>
      <c r="Z15" s="3">
        <f t="shared" ref="Z15:Z18" si="10">SUM(K15:N15)</f>
        <v>678.84400000000005</v>
      </c>
      <c r="AA15" s="3">
        <f>+Z15*1.4</f>
        <v>950.38160000000005</v>
      </c>
      <c r="AB15" s="3">
        <f t="shared" ref="AB15:AF15" si="11">+AA15*1.1</f>
        <v>1045.4197600000002</v>
      </c>
      <c r="AC15" s="3">
        <f t="shared" si="11"/>
        <v>1149.9617360000004</v>
      </c>
      <c r="AD15" s="3">
        <f t="shared" si="11"/>
        <v>1264.9579096000007</v>
      </c>
      <c r="AE15" s="3">
        <f t="shared" si="11"/>
        <v>1391.4537005600009</v>
      </c>
      <c r="AF15" s="3">
        <f t="shared" si="11"/>
        <v>1530.5990706160012</v>
      </c>
    </row>
    <row r="16" spans="1:38" s="3" customFormat="1" x14ac:dyDescent="0.25">
      <c r="B16" s="3" t="s">
        <v>19</v>
      </c>
      <c r="C16" s="5"/>
      <c r="D16" s="5"/>
      <c r="E16" s="5"/>
      <c r="F16" s="5">
        <v>22.521000000000001</v>
      </c>
      <c r="G16" s="5">
        <v>26.181999999999999</v>
      </c>
      <c r="H16" s="5">
        <v>29.227</v>
      </c>
      <c r="I16" s="5">
        <v>31.609000000000002</v>
      </c>
      <c r="J16" s="5">
        <v>32.838999999999999</v>
      </c>
      <c r="K16" s="5">
        <v>38.747</v>
      </c>
      <c r="L16" s="5">
        <v>41.453000000000003</v>
      </c>
      <c r="M16" s="5">
        <v>47.518999999999998</v>
      </c>
      <c r="N16" s="5">
        <v>58.082999999999998</v>
      </c>
      <c r="O16" s="5">
        <v>63.033000000000001</v>
      </c>
      <c r="P16" s="5">
        <f t="shared" ref="P16:P18" si="12">+L16*1.2</f>
        <v>49.743600000000001</v>
      </c>
      <c r="Q16" s="5">
        <f t="shared" ref="Q16:Q18" si="13">+M16*1.2</f>
        <v>57.022799999999997</v>
      </c>
      <c r="R16" s="5">
        <f t="shared" ref="R16:R18" si="14">+N16*1.2</f>
        <v>69.69959999999999</v>
      </c>
      <c r="W16" s="3">
        <v>47.593000000000004</v>
      </c>
      <c r="X16" s="3">
        <v>77.403000000000006</v>
      </c>
      <c r="Y16" s="3">
        <v>119.857</v>
      </c>
      <c r="Z16" s="3">
        <f t="shared" si="10"/>
        <v>185.80199999999999</v>
      </c>
      <c r="AA16" s="3">
        <f>+Z16*1.4</f>
        <v>260.12279999999998</v>
      </c>
      <c r="AB16" s="3">
        <f t="shared" ref="AB16:AF16" si="15">+AA16*1.1</f>
        <v>286.13508000000002</v>
      </c>
      <c r="AC16" s="3">
        <f t="shared" si="15"/>
        <v>314.74858800000004</v>
      </c>
      <c r="AD16" s="3">
        <f t="shared" si="15"/>
        <v>346.22344680000009</v>
      </c>
      <c r="AE16" s="3">
        <f t="shared" si="15"/>
        <v>380.84579148000012</v>
      </c>
      <c r="AF16" s="3">
        <f t="shared" si="15"/>
        <v>418.93037062800016</v>
      </c>
    </row>
    <row r="17" spans="2:119" s="3" customFormat="1" x14ac:dyDescent="0.25">
      <c r="B17" s="3" t="s">
        <v>20</v>
      </c>
      <c r="C17" s="5"/>
      <c r="D17" s="5"/>
      <c r="E17" s="5"/>
      <c r="F17" s="5">
        <v>8.3109999999999999</v>
      </c>
      <c r="G17" s="5">
        <v>10.747999999999999</v>
      </c>
      <c r="H17" s="5">
        <v>11.804</v>
      </c>
      <c r="I17" s="5">
        <v>12.27</v>
      </c>
      <c r="J17" s="5">
        <v>13.404999999999999</v>
      </c>
      <c r="K17" s="5">
        <v>15.324</v>
      </c>
      <c r="L17" s="5">
        <v>18.654</v>
      </c>
      <c r="M17" s="5">
        <v>21.091999999999999</v>
      </c>
      <c r="N17" s="5">
        <v>23.748999999999999</v>
      </c>
      <c r="O17" s="5">
        <v>29.914000000000001</v>
      </c>
      <c r="P17" s="5">
        <f t="shared" si="12"/>
        <v>22.384799999999998</v>
      </c>
      <c r="Q17" s="5">
        <f t="shared" si="13"/>
        <v>25.310399999999998</v>
      </c>
      <c r="R17" s="5">
        <f t="shared" si="14"/>
        <v>28.498799999999999</v>
      </c>
      <c r="W17" s="3">
        <v>22.379000000000001</v>
      </c>
      <c r="X17" s="3">
        <v>29.236999999999998</v>
      </c>
      <c r="Y17" s="3">
        <v>48.226999999999997</v>
      </c>
      <c r="Z17" s="3">
        <f t="shared" si="10"/>
        <v>78.819000000000003</v>
      </c>
      <c r="AA17" s="3">
        <f t="shared" ref="AA17:AF17" si="16">+Z17*1.1</f>
        <v>86.700900000000004</v>
      </c>
      <c r="AB17" s="3">
        <f t="shared" si="16"/>
        <v>95.370990000000006</v>
      </c>
      <c r="AC17" s="3">
        <f t="shared" si="16"/>
        <v>104.90808900000002</v>
      </c>
      <c r="AD17" s="3">
        <f t="shared" si="16"/>
        <v>115.39889790000002</v>
      </c>
      <c r="AE17" s="3">
        <f t="shared" si="16"/>
        <v>126.93878769000004</v>
      </c>
      <c r="AF17" s="3">
        <f t="shared" si="16"/>
        <v>139.63266645900006</v>
      </c>
    </row>
    <row r="18" spans="2:119" s="3" customFormat="1" x14ac:dyDescent="0.25">
      <c r="B18" s="3" t="s">
        <v>21</v>
      </c>
      <c r="C18" s="5"/>
      <c r="D18" s="5"/>
      <c r="E18" s="5"/>
      <c r="F18" s="5">
        <v>27.568000000000001</v>
      </c>
      <c r="G18" s="5">
        <v>30.513000000000002</v>
      </c>
      <c r="H18" s="5">
        <v>31.143999999999998</v>
      </c>
      <c r="I18" s="5">
        <v>35.906999999999996</v>
      </c>
      <c r="J18" s="5">
        <v>32.319000000000003</v>
      </c>
      <c r="K18" s="5">
        <v>34.567999999999998</v>
      </c>
      <c r="L18" s="5">
        <v>40.554000000000002</v>
      </c>
      <c r="M18" s="5">
        <v>44.616999999999997</v>
      </c>
      <c r="N18" s="5">
        <v>48.027999999999999</v>
      </c>
      <c r="O18" s="5">
        <v>48.61</v>
      </c>
      <c r="P18" s="5">
        <f t="shared" si="12"/>
        <v>48.6648</v>
      </c>
      <c r="Q18" s="5">
        <f t="shared" si="13"/>
        <v>53.540399999999998</v>
      </c>
      <c r="R18" s="5">
        <f t="shared" si="14"/>
        <v>57.633599999999994</v>
      </c>
      <c r="W18" s="3">
        <v>113.66200000000001</v>
      </c>
      <c r="X18" s="3">
        <v>98.191999999999993</v>
      </c>
      <c r="Y18" s="3">
        <v>129.88300000000001</v>
      </c>
      <c r="Z18" s="3">
        <f t="shared" si="10"/>
        <v>167.767</v>
      </c>
      <c r="AA18" s="3">
        <f t="shared" ref="AA18:AF18" si="17">+Z18*1.1</f>
        <v>184.5437</v>
      </c>
      <c r="AB18" s="3">
        <f t="shared" si="17"/>
        <v>202.99807000000001</v>
      </c>
      <c r="AC18" s="3">
        <f t="shared" si="17"/>
        <v>223.29787700000003</v>
      </c>
      <c r="AD18" s="3">
        <f t="shared" si="17"/>
        <v>245.62766470000005</v>
      </c>
      <c r="AE18" s="3">
        <f t="shared" si="17"/>
        <v>270.19043117000007</v>
      </c>
      <c r="AF18" s="3">
        <f t="shared" si="17"/>
        <v>297.20947428700009</v>
      </c>
    </row>
    <row r="19" spans="2:119" s="3" customFormat="1" x14ac:dyDescent="0.25">
      <c r="B19" s="3" t="s">
        <v>22</v>
      </c>
      <c r="C19" s="5"/>
      <c r="D19" s="5"/>
      <c r="E19" s="5"/>
      <c r="F19" s="5">
        <f>SUM(F15:F18)</f>
        <v>143.94200000000001</v>
      </c>
      <c r="G19" s="5">
        <f>SUM(G15:G18)</f>
        <v>164.68800000000002</v>
      </c>
      <c r="H19" s="5">
        <f>SUM(H15:H18)</f>
        <v>179.39400000000001</v>
      </c>
      <c r="I19" s="5">
        <f>SUM(I15:I18)</f>
        <v>195.86200000000002</v>
      </c>
      <c r="J19" s="5">
        <f t="shared" ref="J19" si="18">SUM(J15:J18)</f>
        <v>204.45799999999997</v>
      </c>
      <c r="K19" s="5">
        <f>SUM(K15:K18)</f>
        <v>219.19200000000001</v>
      </c>
      <c r="L19" s="5">
        <f>SUM(L15:L18)</f>
        <v>245.583</v>
      </c>
      <c r="M19" s="5">
        <f>SUM(M15:M18)</f>
        <v>295.512</v>
      </c>
      <c r="N19" s="5">
        <f t="shared" ref="N19:R19" si="19">SUM(N15:N18)</f>
        <v>350.94500000000005</v>
      </c>
      <c r="O19" s="5">
        <f t="shared" si="19"/>
        <v>372.79200000000003</v>
      </c>
      <c r="P19" s="5">
        <f t="shared" si="19"/>
        <v>309.1918</v>
      </c>
      <c r="Q19" s="5">
        <f t="shared" si="19"/>
        <v>372.84280000000001</v>
      </c>
      <c r="R19" s="5">
        <f t="shared" si="19"/>
        <v>443.24250000000001</v>
      </c>
      <c r="W19" s="3">
        <f>SUM(W15:W18)</f>
        <v>319.536</v>
      </c>
      <c r="X19" s="3">
        <f>SUM(X15:X18)</f>
        <v>477.41900000000004</v>
      </c>
      <c r="Y19" s="3">
        <f>SUM(Y15:Y18)</f>
        <v>744.40200000000004</v>
      </c>
      <c r="Z19" s="3">
        <f t="shared" ref="Z19" si="20">SUM(Z15:Z18)</f>
        <v>1111.232</v>
      </c>
      <c r="AA19" s="3">
        <f t="shared" ref="AA19" si="21">SUM(AA15:AA18)</f>
        <v>1481.749</v>
      </c>
      <c r="AB19" s="3">
        <f t="shared" ref="AB19" si="22">SUM(AB15:AB18)</f>
        <v>1629.9239000000002</v>
      </c>
      <c r="AC19" s="3">
        <f t="shared" ref="AC19" si="23">SUM(AC15:AC18)</f>
        <v>1792.9162900000006</v>
      </c>
      <c r="AD19" s="3">
        <f t="shared" ref="AD19" si="24">SUM(AD15:AD18)</f>
        <v>1972.2079190000009</v>
      </c>
      <c r="AE19" s="3">
        <f t="shared" ref="AE19" si="25">SUM(AE15:AE18)</f>
        <v>2169.4287109000011</v>
      </c>
      <c r="AF19" s="3">
        <f t="shared" ref="AF19" si="26">SUM(AF15:AF18)</f>
        <v>2386.3715819900012</v>
      </c>
    </row>
    <row r="20" spans="2:119" s="3" customFormat="1" x14ac:dyDescent="0.25">
      <c r="B20" s="3" t="s">
        <v>23</v>
      </c>
      <c r="C20" s="5"/>
      <c r="D20" s="5"/>
      <c r="E20" s="5"/>
      <c r="F20" s="5">
        <f>F14-F19</f>
        <v>-11.605000000000018</v>
      </c>
      <c r="G20" s="5">
        <f>G14-G19</f>
        <v>-11.263000000000005</v>
      </c>
      <c r="H20" s="5">
        <f>H14-H19</f>
        <v>-9.23599999999999</v>
      </c>
      <c r="I20" s="5">
        <f>I14-I19</f>
        <v>-8.554000000000002</v>
      </c>
      <c r="J20" s="5">
        <f t="shared" ref="J20" si="27">J14-J19</f>
        <v>-0.39999999999997726</v>
      </c>
      <c r="K20" s="5">
        <f>K14-K19</f>
        <v>9.9030000000000484</v>
      </c>
      <c r="L20" s="5">
        <f>L14-L19</f>
        <v>11.030000000000058</v>
      </c>
      <c r="M20" s="5">
        <f>M14-M19</f>
        <v>22.373999999999967</v>
      </c>
      <c r="N20" s="5">
        <f t="shared" ref="N20:R20" si="28">N14-N19</f>
        <v>18.595999999999947</v>
      </c>
      <c r="O20" s="5">
        <f t="shared" si="28"/>
        <v>57.886999999999944</v>
      </c>
      <c r="P20" s="5">
        <f t="shared" si="28"/>
        <v>138.8082</v>
      </c>
      <c r="Q20" s="5">
        <f t="shared" si="28"/>
        <v>115.15719999999999</v>
      </c>
      <c r="R20" s="5">
        <f t="shared" si="28"/>
        <v>84.757499999999993</v>
      </c>
      <c r="W20" s="3">
        <f>W14-W19</f>
        <v>-115.04200000000003</v>
      </c>
      <c r="X20" s="3">
        <f>X14-X19</f>
        <v>-68.697000000000003</v>
      </c>
      <c r="Y20" s="3">
        <f>Y14-Y19</f>
        <v>-29.452999999999975</v>
      </c>
      <c r="Z20" s="3">
        <f t="shared" ref="Z20" si="29">Z14-Z19</f>
        <v>61.903000000000247</v>
      </c>
      <c r="AA20" s="3">
        <f t="shared" ref="AA20" si="30">AA14-AA19</f>
        <v>402.73099999999999</v>
      </c>
      <c r="AB20" s="3">
        <f t="shared" ref="AB20" si="31">AB14-AB19</f>
        <v>587.44230160000052</v>
      </c>
      <c r="AC20" s="3">
        <f t="shared" ref="AC20" si="32">AC14-AC19</f>
        <v>722.26480534207985</v>
      </c>
      <c r="AD20" s="3">
        <f t="shared" ref="AD20" si="33">AD14-AD19</f>
        <v>869.56400277894409</v>
      </c>
      <c r="AE20" s="3">
        <f t="shared" ref="AE20" si="34">AE14-AE19</f>
        <v>1090.3868134731124</v>
      </c>
      <c r="AF20" s="3">
        <f t="shared" ref="AF20" si="35">AF14-AF19</f>
        <v>1314.0125664033294</v>
      </c>
    </row>
    <row r="21" spans="2:119" x14ac:dyDescent="0.25">
      <c r="B21" s="1" t="s">
        <v>24</v>
      </c>
      <c r="D21" s="5"/>
      <c r="F21" s="5">
        <v>0.57699999999999996</v>
      </c>
      <c r="G21" s="5">
        <v>1.8776999999999999</v>
      </c>
      <c r="H21" s="5">
        <v>2.2389999999999999</v>
      </c>
      <c r="I21" s="5">
        <v>2.226</v>
      </c>
      <c r="J21" s="5">
        <v>2.5960000000000001</v>
      </c>
      <c r="K21" s="5">
        <v>2.5</v>
      </c>
      <c r="L21" s="5">
        <v>2.3940000000000001</v>
      </c>
      <c r="M21" s="5">
        <v>1.2190000000000001</v>
      </c>
      <c r="N21" s="5">
        <v>3.6949999999999998</v>
      </c>
      <c r="O21" s="5">
        <f>+N21</f>
        <v>3.6949999999999998</v>
      </c>
      <c r="P21" s="5">
        <f>+O21</f>
        <v>3.6949999999999998</v>
      </c>
      <c r="Q21" s="5">
        <f>+P21</f>
        <v>3.6949999999999998</v>
      </c>
      <c r="R21" s="5">
        <f>+Q21</f>
        <v>3.6949999999999998</v>
      </c>
      <c r="W21" s="3">
        <v>4.2469999999999999</v>
      </c>
      <c r="X21" s="3">
        <v>2.988</v>
      </c>
      <c r="Y21" s="3">
        <v>7.8819999999999997</v>
      </c>
      <c r="Z21" s="3">
        <f t="shared" ref="Z21" si="36">SUM(K21:N21)</f>
        <v>9.8079999999999998</v>
      </c>
    </row>
    <row r="22" spans="2:119" x14ac:dyDescent="0.25">
      <c r="B22" s="1" t="s">
        <v>25</v>
      </c>
      <c r="C22" s="5"/>
      <c r="D22" s="5"/>
      <c r="F22" s="5">
        <f t="shared" ref="F22:R22" si="37">+F20+F21</f>
        <v>-11.028000000000018</v>
      </c>
      <c r="G22" s="5">
        <f t="shared" si="37"/>
        <v>-9.3853000000000044</v>
      </c>
      <c r="H22" s="5">
        <f t="shared" si="37"/>
        <v>-6.9969999999999901</v>
      </c>
      <c r="I22" s="5">
        <f t="shared" si="37"/>
        <v>-6.3280000000000021</v>
      </c>
      <c r="J22" s="5">
        <f t="shared" si="37"/>
        <v>2.1960000000000228</v>
      </c>
      <c r="K22" s="5">
        <f t="shared" si="37"/>
        <v>12.403000000000048</v>
      </c>
      <c r="L22" s="5">
        <f t="shared" si="37"/>
        <v>13.424000000000058</v>
      </c>
      <c r="M22" s="5">
        <f t="shared" si="37"/>
        <v>23.592999999999968</v>
      </c>
      <c r="N22" s="5">
        <f t="shared" si="37"/>
        <v>22.290999999999947</v>
      </c>
      <c r="O22" s="5">
        <f t="shared" si="37"/>
        <v>61.581999999999944</v>
      </c>
      <c r="P22" s="5">
        <f t="shared" si="37"/>
        <v>142.50319999999999</v>
      </c>
      <c r="Q22" s="5">
        <f t="shared" si="37"/>
        <v>118.85219999999998</v>
      </c>
      <c r="R22" s="5">
        <f t="shared" si="37"/>
        <v>88.452499999999986</v>
      </c>
      <c r="W22" s="3">
        <f>+W20+W21</f>
        <v>-110.79500000000003</v>
      </c>
      <c r="X22" s="3">
        <f>+X20+X21</f>
        <v>-65.709000000000003</v>
      </c>
      <c r="Y22" s="3">
        <f>+Y20+Y21</f>
        <v>-21.570999999999977</v>
      </c>
      <c r="Z22" s="3">
        <f>+Z20+Z21</f>
        <v>71.71100000000024</v>
      </c>
      <c r="AA22" s="3">
        <f t="shared" ref="AA22:AF22" si="38">+AA20+AA21</f>
        <v>402.73099999999999</v>
      </c>
      <c r="AB22" s="3">
        <f t="shared" si="38"/>
        <v>587.44230160000052</v>
      </c>
      <c r="AC22" s="3">
        <f t="shared" si="38"/>
        <v>722.26480534207985</v>
      </c>
      <c r="AD22" s="3">
        <f t="shared" si="38"/>
        <v>869.56400277894409</v>
      </c>
      <c r="AE22" s="3">
        <f t="shared" si="38"/>
        <v>1090.3868134731124</v>
      </c>
      <c r="AF22" s="3">
        <f t="shared" si="38"/>
        <v>1314.0125664033294</v>
      </c>
    </row>
    <row r="23" spans="2:119" x14ac:dyDescent="0.25">
      <c r="B23" s="1" t="s">
        <v>27</v>
      </c>
      <c r="C23" s="5"/>
      <c r="D23" s="5"/>
      <c r="E23" s="5"/>
      <c r="F23" s="5">
        <v>0.121</v>
      </c>
      <c r="G23" s="5">
        <v>0.38600000000000001</v>
      </c>
      <c r="H23" s="5">
        <v>1.2999999999999999E-2</v>
      </c>
      <c r="I23" s="5">
        <v>0.65100000000000002</v>
      </c>
      <c r="J23" s="5">
        <v>-0.95099999999999996</v>
      </c>
      <c r="K23" s="5">
        <v>1.2749999999999999</v>
      </c>
      <c r="L23" s="5">
        <v>-0.127</v>
      </c>
      <c r="M23" s="4">
        <v>0</v>
      </c>
      <c r="N23" s="5">
        <v>0</v>
      </c>
      <c r="O23" s="5">
        <f>+O22*0.1</f>
        <v>6.1581999999999946</v>
      </c>
      <c r="P23" s="5">
        <f>+P22*0.1</f>
        <v>14.25032</v>
      </c>
      <c r="Q23" s="5">
        <f>+Q22*0.1</f>
        <v>11.885219999999999</v>
      </c>
      <c r="R23" s="5">
        <f>+R22*0.1</f>
        <v>8.8452499999999983</v>
      </c>
      <c r="W23" s="3">
        <v>-3.1360000000000001</v>
      </c>
      <c r="X23" s="3">
        <v>3.1E-2</v>
      </c>
      <c r="Y23" s="3">
        <v>1.9750000000000001</v>
      </c>
      <c r="Z23" s="3">
        <f t="shared" ref="Z23" si="39">SUM(K23:N23)</f>
        <v>1.1479999999999999</v>
      </c>
      <c r="AA23" s="3">
        <f t="shared" ref="AA23:AF23" si="40">+AA22*0.2</f>
        <v>80.546199999999999</v>
      </c>
      <c r="AB23" s="3">
        <f t="shared" si="40"/>
        <v>117.48846032000012</v>
      </c>
      <c r="AC23" s="3">
        <f t="shared" si="40"/>
        <v>144.45296106841599</v>
      </c>
      <c r="AD23" s="3">
        <f t="shared" si="40"/>
        <v>173.91280055578883</v>
      </c>
      <c r="AE23" s="3">
        <f t="shared" si="40"/>
        <v>218.07736269462248</v>
      </c>
      <c r="AF23" s="3">
        <f t="shared" si="40"/>
        <v>262.80251328066589</v>
      </c>
    </row>
    <row r="24" spans="2:119" x14ac:dyDescent="0.25">
      <c r="B24" s="1" t="s">
        <v>26</v>
      </c>
      <c r="C24" s="5"/>
      <c r="D24" s="5"/>
      <c r="F24" s="5">
        <f t="shared" ref="F24:R24" si="41">+F22+F23</f>
        <v>-10.907000000000018</v>
      </c>
      <c r="G24" s="5">
        <f t="shared" si="41"/>
        <v>-8.9993000000000052</v>
      </c>
      <c r="H24" s="5">
        <f t="shared" si="41"/>
        <v>-6.9839999999999902</v>
      </c>
      <c r="I24" s="5">
        <f t="shared" si="41"/>
        <v>-5.6770000000000023</v>
      </c>
      <c r="J24" s="5">
        <f t="shared" si="41"/>
        <v>1.2450000000000228</v>
      </c>
      <c r="K24" s="5">
        <f t="shared" si="41"/>
        <v>13.678000000000049</v>
      </c>
      <c r="L24" s="5">
        <f t="shared" si="41"/>
        <v>13.297000000000057</v>
      </c>
      <c r="M24" s="5">
        <f t="shared" si="41"/>
        <v>23.592999999999968</v>
      </c>
      <c r="N24" s="5">
        <f t="shared" si="41"/>
        <v>22.290999999999947</v>
      </c>
      <c r="O24" s="5">
        <f t="shared" si="41"/>
        <v>67.740199999999945</v>
      </c>
      <c r="P24" s="5">
        <f t="shared" si="41"/>
        <v>156.75351999999998</v>
      </c>
      <c r="Q24" s="5">
        <f t="shared" si="41"/>
        <v>130.73741999999999</v>
      </c>
      <c r="R24" s="5">
        <f t="shared" si="41"/>
        <v>97.297749999999979</v>
      </c>
      <c r="W24" s="3">
        <f>+W22-W23</f>
        <v>-107.65900000000003</v>
      </c>
      <c r="X24" s="3">
        <f>+X22-X23</f>
        <v>-65.740000000000009</v>
      </c>
      <c r="Y24" s="3">
        <f>+Y22-Y23</f>
        <v>-23.545999999999978</v>
      </c>
      <c r="Z24" s="3">
        <f>+Z22-Z23</f>
        <v>70.563000000000244</v>
      </c>
      <c r="AA24" s="3">
        <f t="shared" ref="AA24:AF24" si="42">+AA22-AA23</f>
        <v>322.1848</v>
      </c>
      <c r="AB24" s="3">
        <f t="shared" si="42"/>
        <v>469.9538412800004</v>
      </c>
      <c r="AC24" s="3">
        <f t="shared" si="42"/>
        <v>577.81184427366384</v>
      </c>
      <c r="AD24" s="3">
        <f t="shared" si="42"/>
        <v>695.65120222315522</v>
      </c>
      <c r="AE24" s="3">
        <f t="shared" si="42"/>
        <v>872.30945077848992</v>
      </c>
      <c r="AF24" s="3">
        <f t="shared" si="42"/>
        <v>1051.2100531226636</v>
      </c>
      <c r="AG24" s="3">
        <f>+AF24*(1+$AH$78)</f>
        <v>1040.6979525914369</v>
      </c>
      <c r="AH24" s="3">
        <f t="shared" ref="AH24:CS24" si="43">+AG24*(1+$AH$78)</f>
        <v>1030.2909730655226</v>
      </c>
      <c r="AI24" s="3">
        <f t="shared" si="43"/>
        <v>1019.9880633348674</v>
      </c>
      <c r="AJ24" s="3">
        <f t="shared" si="43"/>
        <v>1009.7881827015187</v>
      </c>
      <c r="AK24" s="3">
        <f t="shared" si="43"/>
        <v>999.69030087450358</v>
      </c>
      <c r="AL24" s="3">
        <f t="shared" si="43"/>
        <v>989.69339786575858</v>
      </c>
      <c r="AM24" s="3">
        <f t="shared" si="43"/>
        <v>979.79646388710103</v>
      </c>
      <c r="AN24" s="3">
        <f t="shared" si="43"/>
        <v>969.99849924823002</v>
      </c>
      <c r="AO24" s="3">
        <f t="shared" si="43"/>
        <v>960.2985142557477</v>
      </c>
      <c r="AP24" s="3">
        <f t="shared" si="43"/>
        <v>950.69552911319022</v>
      </c>
      <c r="AQ24" s="3">
        <f t="shared" si="43"/>
        <v>941.18857382205829</v>
      </c>
      <c r="AR24" s="3">
        <f t="shared" si="43"/>
        <v>931.77668808383771</v>
      </c>
      <c r="AS24" s="3">
        <f t="shared" si="43"/>
        <v>922.45892120299936</v>
      </c>
      <c r="AT24" s="3">
        <f t="shared" si="43"/>
        <v>913.23433199096939</v>
      </c>
      <c r="AU24" s="3">
        <f t="shared" si="43"/>
        <v>904.10198867105964</v>
      </c>
      <c r="AV24" s="3">
        <f t="shared" si="43"/>
        <v>895.06096878434903</v>
      </c>
      <c r="AW24" s="3">
        <f t="shared" si="43"/>
        <v>886.11035909650548</v>
      </c>
      <c r="AX24" s="3">
        <f t="shared" si="43"/>
        <v>877.24925550554042</v>
      </c>
      <c r="AY24" s="3">
        <f t="shared" si="43"/>
        <v>868.47676295048495</v>
      </c>
      <c r="AZ24" s="3">
        <f t="shared" si="43"/>
        <v>859.79199532098005</v>
      </c>
      <c r="BA24" s="3">
        <f t="shared" si="43"/>
        <v>851.19407536777021</v>
      </c>
      <c r="BB24" s="3">
        <f t="shared" si="43"/>
        <v>842.68213461409255</v>
      </c>
      <c r="BC24" s="3">
        <f t="shared" si="43"/>
        <v>834.25531326795158</v>
      </c>
      <c r="BD24" s="3">
        <f t="shared" si="43"/>
        <v>825.91276013527204</v>
      </c>
      <c r="BE24" s="3">
        <f t="shared" si="43"/>
        <v>817.65363253391934</v>
      </c>
      <c r="BF24" s="3">
        <f t="shared" si="43"/>
        <v>809.47709620858018</v>
      </c>
      <c r="BG24" s="3">
        <f t="shared" si="43"/>
        <v>801.38232524649436</v>
      </c>
      <c r="BH24" s="3">
        <f t="shared" si="43"/>
        <v>793.36850199402943</v>
      </c>
      <c r="BI24" s="3">
        <f t="shared" si="43"/>
        <v>785.43481697408913</v>
      </c>
      <c r="BJ24" s="3">
        <f t="shared" si="43"/>
        <v>777.58046880434824</v>
      </c>
      <c r="BK24" s="3">
        <f t="shared" si="43"/>
        <v>769.80466411630471</v>
      </c>
      <c r="BL24" s="3">
        <f t="shared" si="43"/>
        <v>762.10661747514166</v>
      </c>
      <c r="BM24" s="3">
        <f t="shared" si="43"/>
        <v>754.48555130039028</v>
      </c>
      <c r="BN24" s="3">
        <f t="shared" si="43"/>
        <v>746.9406957873864</v>
      </c>
      <c r="BO24" s="3">
        <f t="shared" si="43"/>
        <v>739.47128882951256</v>
      </c>
      <c r="BP24" s="3">
        <f t="shared" si="43"/>
        <v>732.07657594121747</v>
      </c>
      <c r="BQ24" s="3">
        <f t="shared" si="43"/>
        <v>724.75581018180526</v>
      </c>
      <c r="BR24" s="3">
        <f t="shared" si="43"/>
        <v>717.50825207998719</v>
      </c>
      <c r="BS24" s="3">
        <f t="shared" si="43"/>
        <v>710.33316955918735</v>
      </c>
      <c r="BT24" s="3">
        <f t="shared" si="43"/>
        <v>703.22983786359544</v>
      </c>
      <c r="BU24" s="3">
        <f t="shared" si="43"/>
        <v>696.19753948495952</v>
      </c>
      <c r="BV24" s="3">
        <f t="shared" si="43"/>
        <v>689.23556409010996</v>
      </c>
      <c r="BW24" s="3">
        <f t="shared" si="43"/>
        <v>682.34320844920887</v>
      </c>
      <c r="BX24" s="3">
        <f t="shared" si="43"/>
        <v>675.51977636471679</v>
      </c>
      <c r="BY24" s="3">
        <f t="shared" si="43"/>
        <v>668.76457860106962</v>
      </c>
      <c r="BZ24" s="3">
        <f t="shared" si="43"/>
        <v>662.07693281505897</v>
      </c>
      <c r="CA24" s="3">
        <f t="shared" si="43"/>
        <v>655.45616348690839</v>
      </c>
      <c r="CB24" s="3">
        <f t="shared" si="43"/>
        <v>648.90160185203933</v>
      </c>
      <c r="CC24" s="3">
        <f t="shared" si="43"/>
        <v>642.41258583351896</v>
      </c>
      <c r="CD24" s="3">
        <f t="shared" si="43"/>
        <v>635.98845997518379</v>
      </c>
      <c r="CE24" s="3">
        <f t="shared" si="43"/>
        <v>629.62857537543198</v>
      </c>
      <c r="CF24" s="3">
        <f t="shared" si="43"/>
        <v>623.33228962167766</v>
      </c>
      <c r="CG24" s="3">
        <f t="shared" si="43"/>
        <v>617.09896672546085</v>
      </c>
      <c r="CH24" s="3">
        <f t="shared" si="43"/>
        <v>610.92797705820624</v>
      </c>
      <c r="CI24" s="3">
        <f t="shared" si="43"/>
        <v>604.81869728762422</v>
      </c>
      <c r="CJ24" s="3">
        <f t="shared" si="43"/>
        <v>598.77051031474798</v>
      </c>
      <c r="CK24" s="3">
        <f t="shared" si="43"/>
        <v>592.78280521160048</v>
      </c>
      <c r="CL24" s="3">
        <f t="shared" si="43"/>
        <v>586.85497715948452</v>
      </c>
      <c r="CM24" s="3">
        <f t="shared" si="43"/>
        <v>580.98642738788965</v>
      </c>
      <c r="CN24" s="3">
        <f t="shared" si="43"/>
        <v>575.17656311401072</v>
      </c>
      <c r="CO24" s="3">
        <f t="shared" si="43"/>
        <v>569.42479748287064</v>
      </c>
      <c r="CP24" s="3">
        <f t="shared" si="43"/>
        <v>563.73054950804192</v>
      </c>
      <c r="CQ24" s="3">
        <f t="shared" si="43"/>
        <v>558.09324401296146</v>
      </c>
      <c r="CR24" s="3">
        <f t="shared" si="43"/>
        <v>552.51231157283189</v>
      </c>
      <c r="CS24" s="3">
        <f t="shared" si="43"/>
        <v>546.98718845710357</v>
      </c>
      <c r="CT24" s="3">
        <f t="shared" ref="CT24:DO24" si="44">+CS24*(1+$AH$78)</f>
        <v>541.51731657253254</v>
      </c>
      <c r="CU24" s="3">
        <f t="shared" si="44"/>
        <v>536.10214340680716</v>
      </c>
      <c r="CV24" s="3">
        <f t="shared" si="44"/>
        <v>530.74112197273905</v>
      </c>
      <c r="CW24" s="3">
        <f t="shared" si="44"/>
        <v>525.43371075301161</v>
      </c>
      <c r="CX24" s="3">
        <f t="shared" si="44"/>
        <v>520.17937364548152</v>
      </c>
      <c r="CY24" s="3">
        <f t="shared" si="44"/>
        <v>514.97757990902664</v>
      </c>
      <c r="CZ24" s="3">
        <f t="shared" si="44"/>
        <v>509.82780410993638</v>
      </c>
      <c r="DA24" s="3">
        <f t="shared" si="44"/>
        <v>504.729526068837</v>
      </c>
      <c r="DB24" s="3">
        <f t="shared" si="44"/>
        <v>499.68223080814863</v>
      </c>
      <c r="DC24" s="3">
        <f t="shared" si="44"/>
        <v>494.68540850006713</v>
      </c>
      <c r="DD24" s="3">
        <f t="shared" si="44"/>
        <v>489.73855441506646</v>
      </c>
      <c r="DE24" s="3">
        <f t="shared" si="44"/>
        <v>484.84116887091579</v>
      </c>
      <c r="DF24" s="3">
        <f t="shared" si="44"/>
        <v>479.99275718220662</v>
      </c>
      <c r="DG24" s="3">
        <f t="shared" si="44"/>
        <v>475.19282961038454</v>
      </c>
      <c r="DH24" s="3">
        <f t="shared" si="44"/>
        <v>470.44090131428067</v>
      </c>
      <c r="DI24" s="3">
        <f t="shared" si="44"/>
        <v>465.73649230113784</v>
      </c>
      <c r="DJ24" s="3">
        <f t="shared" si="44"/>
        <v>461.07912737812649</v>
      </c>
      <c r="DK24" s="3">
        <f t="shared" si="44"/>
        <v>456.46833610434521</v>
      </c>
      <c r="DL24" s="3">
        <f t="shared" si="44"/>
        <v>451.90365274330173</v>
      </c>
      <c r="DM24" s="3">
        <f t="shared" si="44"/>
        <v>447.38461621586873</v>
      </c>
      <c r="DN24" s="3">
        <f t="shared" si="44"/>
        <v>442.91077005371005</v>
      </c>
      <c r="DO24" s="3">
        <f t="shared" si="44"/>
        <v>438.48166235317296</v>
      </c>
    </row>
    <row r="25" spans="2:119" x14ac:dyDescent="0.25">
      <c r="B25" s="1" t="s">
        <v>28</v>
      </c>
      <c r="C25" s="6"/>
      <c r="D25" s="6"/>
      <c r="F25" s="6">
        <f t="shared" ref="F25:N25" si="45">+F24/F26</f>
        <v>-5.2910570613702017E-2</v>
      </c>
      <c r="G25" s="6">
        <f t="shared" si="45"/>
        <v>-4.3445433297580778E-2</v>
      </c>
      <c r="H25" s="6">
        <f t="shared" si="45"/>
        <v>-3.3508805957312933E-2</v>
      </c>
      <c r="I25" s="6">
        <f t="shared" si="45"/>
        <v>-2.7016006938902208E-2</v>
      </c>
      <c r="J25" s="6">
        <f t="shared" si="45"/>
        <v>5.6118782791625688E-3</v>
      </c>
      <c r="K25" s="6">
        <f t="shared" si="45"/>
        <v>5.9634315384827385E-2</v>
      </c>
      <c r="L25" s="6">
        <f t="shared" si="45"/>
        <v>5.6633108664250427E-2</v>
      </c>
      <c r="M25" s="6">
        <f t="shared" si="45"/>
        <v>0.10036604530032268</v>
      </c>
      <c r="N25" s="6">
        <f t="shared" si="45"/>
        <v>9.2599304560155166E-2</v>
      </c>
      <c r="O25" s="6">
        <f t="shared" ref="O25:R25" si="46">+O24/O26</f>
        <v>0.28140035937220548</v>
      </c>
      <c r="P25" s="6">
        <f t="shared" si="46"/>
        <v>0.65117163605744055</v>
      </c>
      <c r="Q25" s="6">
        <f t="shared" si="46"/>
        <v>0.5430978498940805</v>
      </c>
      <c r="R25" s="6">
        <f t="shared" si="46"/>
        <v>0.40418572451966517</v>
      </c>
      <c r="W25" s="2">
        <f>+W24/W26</f>
        <v>-0.57638994586493864</v>
      </c>
      <c r="X25" s="2">
        <f>+X24/X26</f>
        <v>-0.32144165457471036</v>
      </c>
      <c r="Y25" s="2">
        <f>+Y24/Y26</f>
        <v>-0.11247477796334296</v>
      </c>
      <c r="Z25" s="2">
        <f>+Z24/Z26</f>
        <v>0.30028359155938178</v>
      </c>
      <c r="AA25" s="2">
        <f>+AA24/AA26</f>
        <v>1.3710699501132433</v>
      </c>
      <c r="AB25" s="2">
        <f t="shared" ref="AB25:AF25" si="47">+AB24/AB26</f>
        <v>1.9999068538282909</v>
      </c>
      <c r="AC25" s="2">
        <f t="shared" si="47"/>
        <v>2.4589007814866912</v>
      </c>
      <c r="AD25" s="2">
        <f t="shared" si="47"/>
        <v>2.9603707534567709</v>
      </c>
      <c r="AE25" s="2">
        <f t="shared" si="47"/>
        <v>3.7121468025871325</v>
      </c>
      <c r="AF25" s="2">
        <f t="shared" si="47"/>
        <v>4.4734652754985031</v>
      </c>
    </row>
    <row r="26" spans="2:119" x14ac:dyDescent="0.25">
      <c r="B26" s="1" t="s">
        <v>1</v>
      </c>
      <c r="C26" s="5"/>
      <c r="D26" s="5"/>
      <c r="E26" s="5"/>
      <c r="F26" s="5">
        <v>206.14028300000001</v>
      </c>
      <c r="G26" s="5">
        <v>207.140298</v>
      </c>
      <c r="H26" s="5">
        <v>208.42282499999999</v>
      </c>
      <c r="I26" s="5">
        <v>210.134681</v>
      </c>
      <c r="J26" s="5">
        <v>221.85085599999999</v>
      </c>
      <c r="K26" s="5">
        <v>229.36458500000001</v>
      </c>
      <c r="L26" s="5">
        <v>234.79198500000001</v>
      </c>
      <c r="M26" s="5">
        <v>235.06953899999999</v>
      </c>
      <c r="N26" s="5">
        <v>240.72534999999999</v>
      </c>
      <c r="O26" s="5">
        <f t="shared" ref="O26:R26" si="48">+N26</f>
        <v>240.72534999999999</v>
      </c>
      <c r="P26" s="5">
        <f t="shared" si="48"/>
        <v>240.72534999999999</v>
      </c>
      <c r="Q26" s="5">
        <f t="shared" si="48"/>
        <v>240.72534999999999</v>
      </c>
      <c r="R26" s="5">
        <f t="shared" si="48"/>
        <v>240.72534999999999</v>
      </c>
      <c r="W26" s="3">
        <v>186.78153699999999</v>
      </c>
      <c r="X26" s="3">
        <v>204.51612</v>
      </c>
      <c r="Y26" s="3">
        <v>209.34471199999999</v>
      </c>
      <c r="Z26" s="3">
        <f>AVERAGE(K26:N26)</f>
        <v>234.98786474999997</v>
      </c>
      <c r="AA26" s="3">
        <f>+Z26</f>
        <v>234.98786474999997</v>
      </c>
      <c r="AB26" s="3">
        <f t="shared" ref="AB26:AF26" si="49">+AA26</f>
        <v>234.98786474999997</v>
      </c>
      <c r="AC26" s="3">
        <f t="shared" si="49"/>
        <v>234.98786474999997</v>
      </c>
      <c r="AD26" s="3">
        <f t="shared" si="49"/>
        <v>234.98786474999997</v>
      </c>
      <c r="AE26" s="3">
        <f t="shared" si="49"/>
        <v>234.98786474999997</v>
      </c>
      <c r="AF26" s="3">
        <f t="shared" si="49"/>
        <v>234.98786474999997</v>
      </c>
    </row>
    <row r="28" spans="2:119" s="10" customFormat="1" ht="13" x14ac:dyDescent="0.3">
      <c r="B28" s="10" t="s">
        <v>30</v>
      </c>
      <c r="C28" s="11"/>
      <c r="D28" s="11"/>
      <c r="E28" s="11"/>
      <c r="F28" s="11"/>
      <c r="G28" s="11"/>
      <c r="H28" s="11"/>
      <c r="I28" s="11"/>
      <c r="J28" s="12">
        <f t="shared" ref="J28:R28" si="50">+J12/F12-1</f>
        <v>0.47496755440990879</v>
      </c>
      <c r="K28" s="12">
        <f t="shared" si="50"/>
        <v>0.45814855585259751</v>
      </c>
      <c r="L28" s="12">
        <f t="shared" si="50"/>
        <v>0.51818076878679453</v>
      </c>
      <c r="M28" s="12">
        <f t="shared" si="50"/>
        <v>0.77131791494448576</v>
      </c>
      <c r="N28" s="12">
        <f t="shared" si="50"/>
        <v>0.95094051958689318</v>
      </c>
      <c r="O28" s="12">
        <f t="shared" si="50"/>
        <v>1.1066178717407635</v>
      </c>
      <c r="P28" s="12">
        <f t="shared" si="50"/>
        <v>0.77412814274128139</v>
      </c>
      <c r="Q28" s="12">
        <f t="shared" si="50"/>
        <v>0.51909073703294184</v>
      </c>
      <c r="R28" s="12">
        <f t="shared" si="50"/>
        <v>0.37174496351366226</v>
      </c>
      <c r="V28" s="13">
        <f t="shared" ref="V28:AF28" si="51">+V12/U12-1</f>
        <v>0.80184839749024928</v>
      </c>
      <c r="W28" s="13">
        <f t="shared" si="51"/>
        <v>0.8276652527276025</v>
      </c>
      <c r="X28" s="13">
        <f t="shared" si="51"/>
        <v>0.9380604535857997</v>
      </c>
      <c r="Y28" s="13">
        <f t="shared" si="51"/>
        <v>0.65491273751413881</v>
      </c>
      <c r="Z28" s="13">
        <f t="shared" si="51"/>
        <v>0.69325000000000014</v>
      </c>
      <c r="AA28" s="13">
        <f t="shared" si="51"/>
        <v>0.63628655061855133</v>
      </c>
      <c r="AB28" s="13">
        <f t="shared" si="51"/>
        <v>0.22371203178807986</v>
      </c>
      <c r="AC28" s="13">
        <f t="shared" si="51"/>
        <v>0.18157312299496731</v>
      </c>
      <c r="AD28" s="13">
        <f t="shared" si="51"/>
        <v>0.16212920440259659</v>
      </c>
      <c r="AE28" s="13">
        <f t="shared" si="51"/>
        <v>0.14710666939536576</v>
      </c>
      <c r="AF28" s="13">
        <f t="shared" si="51"/>
        <v>0.13515139759478934</v>
      </c>
      <c r="AG28" s="13">
        <f t="shared" ref="AG28" si="52">+AG12/AF12-1</f>
        <v>-1</v>
      </c>
      <c r="AH28" s="13" t="e">
        <f t="shared" ref="AH28" si="53">+AH12/AG12-1</f>
        <v>#DIV/0!</v>
      </c>
      <c r="AI28" s="13" t="e">
        <f t="shared" ref="AI28" si="54">+AI12/AH12-1</f>
        <v>#DIV/0!</v>
      </c>
      <c r="AJ28" s="13" t="e">
        <f t="shared" ref="AJ28" si="55">+AJ12/AI12-1</f>
        <v>#DIV/0!</v>
      </c>
      <c r="AK28" s="13" t="e">
        <f t="shared" ref="AK28" si="56">+AK12/AJ12-1</f>
        <v>#DIV/0!</v>
      </c>
    </row>
    <row r="29" spans="2:119" s="10" customFormat="1" ht="13" x14ac:dyDescent="0.3">
      <c r="C29" s="11"/>
      <c r="D29" s="11"/>
      <c r="E29" s="11"/>
      <c r="F29" s="11"/>
      <c r="G29" s="11"/>
      <c r="H29" s="12"/>
      <c r="I29" s="12"/>
      <c r="J29" s="12">
        <f t="shared" ref="J29:M29" si="57">J3/F3-1</f>
        <v>0.47788461538461546</v>
      </c>
      <c r="K29" s="12">
        <f t="shared" si="57"/>
        <v>0.41356492969396186</v>
      </c>
      <c r="L29" s="12">
        <f t="shared" si="57"/>
        <v>0.43384615384615377</v>
      </c>
      <c r="M29" s="12">
        <f t="shared" si="57"/>
        <v>0.43548387096774199</v>
      </c>
      <c r="N29" s="12">
        <f>N3/J3-1</f>
        <v>0.45022771633051395</v>
      </c>
      <c r="O29" s="12"/>
      <c r="P29" s="12"/>
      <c r="Q29" s="12"/>
      <c r="R29" s="12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</row>
    <row r="31" spans="2:119" x14ac:dyDescent="0.25">
      <c r="B31" s="1" t="s">
        <v>40</v>
      </c>
      <c r="F31" s="16">
        <f t="shared" ref="F31:L31" si="58">+F14/F12</f>
        <v>0.79147503334270308</v>
      </c>
      <c r="G31" s="16">
        <f t="shared" si="58"/>
        <v>0.80424070870681974</v>
      </c>
      <c r="H31" s="16">
        <f t="shared" si="58"/>
        <v>0.81841355958290052</v>
      </c>
      <c r="I31" s="16">
        <f t="shared" si="58"/>
        <v>0.82624096268620506</v>
      </c>
      <c r="J31" s="16">
        <f t="shared" si="58"/>
        <v>0.82742205588377216</v>
      </c>
      <c r="K31" s="16">
        <f t="shared" si="58"/>
        <v>0.82357614560827697</v>
      </c>
      <c r="L31" s="16">
        <f t="shared" si="58"/>
        <v>0.8129720448094081</v>
      </c>
      <c r="M31" s="16">
        <f>+M14/M12</f>
        <v>0.7916355377581209</v>
      </c>
      <c r="N31" s="16">
        <f t="shared" ref="N31:R31" si="59">+N14/N12</f>
        <v>0.76805455388151866</v>
      </c>
      <c r="O31" s="16">
        <f t="shared" si="59"/>
        <v>0.73494709897610921</v>
      </c>
      <c r="P31" s="16">
        <f t="shared" si="59"/>
        <v>0.8</v>
      </c>
      <c r="Q31" s="16">
        <f t="shared" si="59"/>
        <v>0.8</v>
      </c>
      <c r="R31" s="16">
        <f t="shared" si="59"/>
        <v>0.8</v>
      </c>
      <c r="W31" s="14">
        <f>+W14/W12</f>
        <v>0.7521535394551967</v>
      </c>
      <c r="X31" s="14">
        <f>+X14/X12</f>
        <v>0.77568720630992416</v>
      </c>
      <c r="Y31" s="14">
        <f>+Y14/Y12</f>
        <v>0.81989564220183497</v>
      </c>
      <c r="Z31" s="14">
        <f>+Z14/Z12</f>
        <v>0.79453022456949285</v>
      </c>
      <c r="AA31" s="14">
        <f>+AA14/AA12</f>
        <v>0.78</v>
      </c>
      <c r="AB31" s="14">
        <f t="shared" ref="AB31:AF31" si="60">+AB14/AB12</f>
        <v>0.75000000000000011</v>
      </c>
      <c r="AC31" s="14">
        <f t="shared" si="60"/>
        <v>0.72</v>
      </c>
      <c r="AD31" s="14">
        <f t="shared" si="60"/>
        <v>0.7</v>
      </c>
      <c r="AE31" s="14">
        <f t="shared" si="60"/>
        <v>0.7</v>
      </c>
      <c r="AF31" s="14">
        <f t="shared" si="60"/>
        <v>0.7</v>
      </c>
    </row>
    <row r="33" spans="2:34" x14ac:dyDescent="0.25">
      <c r="B33" s="17" t="s">
        <v>3</v>
      </c>
      <c r="K33" s="5">
        <f>105.237+98.355+0.856</f>
        <v>204.44799999999998</v>
      </c>
      <c r="L33" s="5">
        <f>129.295+97.997+0.856</f>
        <v>228.14799999999997</v>
      </c>
      <c r="M33" s="5">
        <f>165.518+88.553+0.856</f>
        <v>254.92699999999999</v>
      </c>
      <c r="N33" s="5">
        <f>220.584+79.667+0.856</f>
        <v>301.10699999999997</v>
      </c>
    </row>
    <row r="34" spans="2:34" x14ac:dyDescent="0.25">
      <c r="B34" s="17" t="s">
        <v>58</v>
      </c>
      <c r="K34" s="5">
        <v>29.826000000000001</v>
      </c>
      <c r="L34" s="5">
        <v>40.588000000000001</v>
      </c>
      <c r="M34" s="5">
        <v>49.11</v>
      </c>
      <c r="N34" s="5">
        <v>64.427000000000007</v>
      </c>
      <c r="AA34" s="1">
        <v>0.61</v>
      </c>
      <c r="AB34" s="1">
        <v>0.88</v>
      </c>
      <c r="AH34" s="3">
        <f>NPV(8%,AA24:DO24)</f>
        <v>10210.448111003787</v>
      </c>
    </row>
    <row r="35" spans="2:34" x14ac:dyDescent="0.25">
      <c r="B35" s="17" t="s">
        <v>59</v>
      </c>
      <c r="K35" s="5">
        <v>28.315999999999999</v>
      </c>
      <c r="L35" s="5">
        <v>23.038</v>
      </c>
      <c r="M35" s="5">
        <v>23.193999999999999</v>
      </c>
      <c r="N35" s="5">
        <v>31.152999999999999</v>
      </c>
      <c r="AH35" s="2">
        <f>AH34/Main!I3</f>
        <v>45.958732575377553</v>
      </c>
    </row>
    <row r="36" spans="2:34" x14ac:dyDescent="0.25">
      <c r="B36" s="17" t="s">
        <v>60</v>
      </c>
      <c r="K36" s="18">
        <f>110.881+17.863</f>
        <v>128.744</v>
      </c>
      <c r="L36" s="18">
        <f>110.881+17.133</f>
        <v>128.01400000000001</v>
      </c>
      <c r="M36" s="18">
        <f>112.728+44.818</f>
        <v>157.54599999999999</v>
      </c>
      <c r="N36" s="5">
        <f>112.728+43.41</f>
        <v>156.13799999999998</v>
      </c>
    </row>
    <row r="37" spans="2:34" x14ac:dyDescent="0.25">
      <c r="B37" s="17" t="s">
        <v>61</v>
      </c>
      <c r="K37" s="5">
        <v>45.212000000000003</v>
      </c>
      <c r="L37" s="5">
        <v>49.54</v>
      </c>
      <c r="M37" s="5">
        <v>52.143999999999998</v>
      </c>
      <c r="N37" s="5">
        <v>82.082999999999998</v>
      </c>
    </row>
    <row r="38" spans="2:34" x14ac:dyDescent="0.25">
      <c r="B38" s="17" t="s">
        <v>55</v>
      </c>
      <c r="K38" s="5">
        <v>11.422000000000001</v>
      </c>
      <c r="L38" s="5">
        <v>11.034000000000001</v>
      </c>
      <c r="M38" s="5">
        <v>10.884</v>
      </c>
      <c r="N38" s="5">
        <v>10.881</v>
      </c>
    </row>
    <row r="39" spans="2:34" x14ac:dyDescent="0.25">
      <c r="B39" s="17" t="s">
        <v>62</v>
      </c>
      <c r="K39" s="5">
        <v>0</v>
      </c>
      <c r="L39" s="5">
        <v>0</v>
      </c>
      <c r="M39" s="5">
        <v>54.317999999999998</v>
      </c>
      <c r="N39" s="5">
        <v>61.603000000000002</v>
      </c>
    </row>
    <row r="40" spans="2:34" x14ac:dyDescent="0.25">
      <c r="B40" s="17" t="s">
        <v>63</v>
      </c>
      <c r="K40" s="5">
        <v>0.13800000000000001</v>
      </c>
      <c r="L40" s="5">
        <v>0.13800000000000001</v>
      </c>
      <c r="M40" s="5">
        <v>0.13800000000000001</v>
      </c>
      <c r="N40" s="5">
        <v>0.14699999999999999</v>
      </c>
    </row>
    <row r="41" spans="2:34" x14ac:dyDescent="0.25">
      <c r="B41" s="17" t="s">
        <v>57</v>
      </c>
      <c r="K41" s="5">
        <f>SUM(K33:K40)</f>
        <v>448.10599999999994</v>
      </c>
      <c r="L41" s="5">
        <f>SUM(L33:L40)</f>
        <v>480.5</v>
      </c>
      <c r="M41" s="5">
        <f>SUM(M33:M40)</f>
        <v>602.26099999999997</v>
      </c>
      <c r="N41" s="5">
        <f>SUM(N33:N40)</f>
        <v>707.53899999999999</v>
      </c>
    </row>
    <row r="42" spans="2:34" x14ac:dyDescent="0.25">
      <c r="M42" s="5"/>
    </row>
    <row r="43" spans="2:34" x14ac:dyDescent="0.25">
      <c r="B43" s="17" t="s">
        <v>52</v>
      </c>
      <c r="K43" s="5">
        <v>43.918999999999997</v>
      </c>
      <c r="L43" s="5">
        <v>57.098999999999997</v>
      </c>
      <c r="M43" s="5">
        <v>75.444000000000003</v>
      </c>
      <c r="N43" s="5">
        <v>91.18</v>
      </c>
    </row>
    <row r="44" spans="2:34" x14ac:dyDescent="0.25">
      <c r="B44" s="17" t="s">
        <v>53</v>
      </c>
      <c r="K44" s="5">
        <v>26.713999999999999</v>
      </c>
      <c r="L44" s="5">
        <v>28.948</v>
      </c>
      <c r="M44" s="5">
        <v>43.223999999999997</v>
      </c>
      <c r="N44" s="5">
        <v>53.012999999999998</v>
      </c>
    </row>
    <row r="45" spans="2:34" x14ac:dyDescent="0.25">
      <c r="B45" s="17" t="s">
        <v>54</v>
      </c>
      <c r="K45" s="5">
        <v>13.734999999999999</v>
      </c>
      <c r="L45" s="5">
        <v>20.99</v>
      </c>
      <c r="M45" s="5">
        <v>32.183999999999997</v>
      </c>
      <c r="N45" s="5">
        <v>75.284999999999997</v>
      </c>
    </row>
    <row r="46" spans="2:34" x14ac:dyDescent="0.25">
      <c r="B46" s="17" t="s">
        <v>64</v>
      </c>
      <c r="K46" s="5">
        <v>7.4119999999999999</v>
      </c>
      <c r="L46" s="5">
        <v>0</v>
      </c>
      <c r="M46" s="5">
        <v>0</v>
      </c>
      <c r="N46" s="5">
        <v>1.889</v>
      </c>
    </row>
    <row r="47" spans="2:34" x14ac:dyDescent="0.25">
      <c r="B47" s="17" t="s">
        <v>55</v>
      </c>
      <c r="K47" s="5">
        <f>1.544+10.279</f>
        <v>11.823</v>
      </c>
      <c r="L47" s="5">
        <f>1.634+9.841</f>
        <v>11.475</v>
      </c>
      <c r="M47" s="5">
        <v>1.7929999999999999</v>
      </c>
      <c r="N47" s="5">
        <v>9.4559999999999995</v>
      </c>
    </row>
    <row r="48" spans="2:34" x14ac:dyDescent="0.25">
      <c r="B48" s="17" t="s">
        <v>56</v>
      </c>
      <c r="K48" s="5">
        <v>2.1000000000000001E-2</v>
      </c>
      <c r="L48" s="5">
        <v>2.1999999999999999E-2</v>
      </c>
      <c r="M48" s="5">
        <v>9.5649999999999995</v>
      </c>
      <c r="N48" s="5">
        <v>0</v>
      </c>
    </row>
    <row r="49" spans="2:14" x14ac:dyDescent="0.25">
      <c r="B49" s="17" t="s">
        <v>51</v>
      </c>
      <c r="K49" s="5">
        <v>344.48200000000003</v>
      </c>
      <c r="L49" s="5">
        <v>361.96600000000001</v>
      </c>
      <c r="M49" s="5">
        <v>440.05099999999999</v>
      </c>
      <c r="N49" s="5">
        <v>476.71600000000001</v>
      </c>
    </row>
    <row r="50" spans="2:14" x14ac:dyDescent="0.25">
      <c r="B50" s="17" t="s">
        <v>50</v>
      </c>
      <c r="K50" s="5">
        <f>SUM(K43:K49)</f>
        <v>448.10600000000005</v>
      </c>
      <c r="L50" s="5">
        <f t="shared" ref="L50" si="61">SUM(L43:L49)</f>
        <v>480.5</v>
      </c>
      <c r="M50" s="5">
        <f>SUM(M43:M49)</f>
        <v>602.26099999999997</v>
      </c>
      <c r="N50" s="5">
        <f>SUM(N43:N49)</f>
        <v>707.53899999999999</v>
      </c>
    </row>
    <row r="52" spans="2:14" x14ac:dyDescent="0.25">
      <c r="B52" s="17" t="s">
        <v>65</v>
      </c>
      <c r="K52" s="5">
        <f>K24</f>
        <v>13.678000000000049</v>
      </c>
      <c r="L52" s="5">
        <f t="shared" ref="L52:N52" si="62">L24</f>
        <v>13.297000000000057</v>
      </c>
      <c r="M52" s="5">
        <f t="shared" si="62"/>
        <v>23.592999999999968</v>
      </c>
      <c r="N52" s="5">
        <f t="shared" si="62"/>
        <v>22.290999999999947</v>
      </c>
    </row>
    <row r="53" spans="2:14" x14ac:dyDescent="0.25">
      <c r="B53" s="17" t="s">
        <v>66</v>
      </c>
      <c r="K53" s="5">
        <v>11.128</v>
      </c>
      <c r="L53" s="5">
        <f>24.425-K53</f>
        <v>13.297000000000001</v>
      </c>
      <c r="M53" s="5">
        <f>100.013-L53-K53</f>
        <v>75.588000000000008</v>
      </c>
      <c r="N53" s="5">
        <f>126.038-M53-L53-K53</f>
        <v>26.024999999999991</v>
      </c>
    </row>
    <row r="54" spans="2:14" x14ac:dyDescent="0.25">
      <c r="B54" s="17" t="s">
        <v>68</v>
      </c>
      <c r="K54" s="5">
        <v>3.0009999999999999</v>
      </c>
      <c r="L54" s="5">
        <f>6.644-K54</f>
        <v>3.6430000000000002</v>
      </c>
      <c r="M54" s="5">
        <f>11.027-L54-K54</f>
        <v>4.3829999999999991</v>
      </c>
      <c r="N54" s="5">
        <f>17.088-M54-L54-K54</f>
        <v>6.0610000000000017</v>
      </c>
    </row>
    <row r="55" spans="2:14" x14ac:dyDescent="0.25">
      <c r="B55" s="17" t="s">
        <v>67</v>
      </c>
      <c r="K55" s="5">
        <v>19.032</v>
      </c>
      <c r="L55" s="5">
        <f>43.074-K55</f>
        <v>24.041999999999998</v>
      </c>
      <c r="M55" s="5">
        <f>67.973-L55-K55</f>
        <v>24.898999999999997</v>
      </c>
      <c r="N55" s="5">
        <f>92.322-M55-L55-K55</f>
        <v>24.349</v>
      </c>
    </row>
    <row r="56" spans="2:14" x14ac:dyDescent="0.25">
      <c r="B56" s="17" t="s">
        <v>72</v>
      </c>
      <c r="K56" s="5">
        <v>-1.077</v>
      </c>
      <c r="L56" s="5">
        <f>-2.281-K56</f>
        <v>-1.2040000000000002</v>
      </c>
      <c r="M56" s="5">
        <f>-3.44-L56-K56</f>
        <v>-1.1589999999999998</v>
      </c>
      <c r="N56" s="5">
        <f>-4.355-M56-L56-K56</f>
        <v>-0.91500000000000048</v>
      </c>
    </row>
    <row r="57" spans="2:14" x14ac:dyDescent="0.25">
      <c r="B57" s="17" t="s">
        <v>71</v>
      </c>
      <c r="K57" s="5">
        <v>7.4999999999999997E-2</v>
      </c>
      <c r="L57" s="5">
        <f>0.114-K57</f>
        <v>3.9000000000000007E-2</v>
      </c>
      <c r="M57" s="5">
        <f>0.114-L57-K57</f>
        <v>0</v>
      </c>
      <c r="N57" s="5">
        <f>0.114-M57-L57-K57</f>
        <v>0</v>
      </c>
    </row>
    <row r="58" spans="2:14" x14ac:dyDescent="0.25">
      <c r="B58" s="17" t="s">
        <v>55</v>
      </c>
      <c r="K58" s="5">
        <v>0.57399999999999995</v>
      </c>
      <c r="L58" s="5">
        <f>1.221-K58</f>
        <v>0.64700000000000013</v>
      </c>
      <c r="M58" s="5">
        <f>1.875-L58-K58</f>
        <v>0.6539999999999998</v>
      </c>
      <c r="N58" s="5">
        <f>2.546-M58-L58-K58</f>
        <v>0.67099999999999971</v>
      </c>
    </row>
    <row r="59" spans="2:14" x14ac:dyDescent="0.25">
      <c r="B59" s="21" t="s">
        <v>85</v>
      </c>
      <c r="K59" s="5">
        <v>0</v>
      </c>
      <c r="L59" s="5">
        <v>0</v>
      </c>
      <c r="M59" s="5">
        <f>-54.34-L59-K59</f>
        <v>-54.34</v>
      </c>
      <c r="N59" s="5">
        <f>-61.649-M59-L59-K59</f>
        <v>-7.3089999999999975</v>
      </c>
    </row>
    <row r="60" spans="2:14" x14ac:dyDescent="0.25">
      <c r="B60" s="17" t="s">
        <v>70</v>
      </c>
      <c r="K60" s="5">
        <v>0.40799999999999997</v>
      </c>
      <c r="L60" s="5">
        <f>0.412-K60</f>
        <v>4.0000000000000036E-3</v>
      </c>
      <c r="M60" s="5">
        <f>0.435-L60-K60</f>
        <v>2.300000000000002E-2</v>
      </c>
      <c r="N60" s="5">
        <f>0.357-M60-L60-K60</f>
        <v>-7.8000000000000014E-2</v>
      </c>
    </row>
    <row r="61" spans="2:14" x14ac:dyDescent="0.25">
      <c r="B61" s="17" t="s">
        <v>69</v>
      </c>
      <c r="K61" s="5">
        <f>-7.362-6.708-0.047+3.602-2.258+6.002-0.532</f>
        <v>-7.3029999999999999</v>
      </c>
      <c r="L61" s="5">
        <f>-18.124-1.43-0.47+16.156-0.24+13.257-1.1-2.825-K61</f>
        <v>12.527000000000001</v>
      </c>
      <c r="M61" s="5">
        <f>-26.295-1.535-0.047+35.052+14.002+24.451-1.761-2.825-L61-K61</f>
        <v>35.817999999999991</v>
      </c>
      <c r="N61" s="5">
        <f>-41.612-9.494-0.056+43.71+23.791+67.552-2.443-2.825-M61-L61-K61</f>
        <v>37.58100000000001</v>
      </c>
    </row>
    <row r="62" spans="2:14" ht="13" x14ac:dyDescent="0.3">
      <c r="B62" s="17" t="s">
        <v>29</v>
      </c>
      <c r="K62" s="8">
        <f>SUM(K53:K61)</f>
        <v>25.838000000000005</v>
      </c>
      <c r="L62" s="8">
        <f t="shared" ref="L62:M62" si="63">SUM(L53:L61)</f>
        <v>52.994999999999997</v>
      </c>
      <c r="M62" s="8">
        <f t="shared" si="63"/>
        <v>85.865999999999985</v>
      </c>
      <c r="N62" s="8">
        <f>SUM(N53:N61)</f>
        <v>86.384999999999991</v>
      </c>
    </row>
    <row r="63" spans="2:14" x14ac:dyDescent="0.25">
      <c r="N63" s="5"/>
    </row>
    <row r="64" spans="2:14" x14ac:dyDescent="0.25">
      <c r="B64" s="17" t="s">
        <v>75</v>
      </c>
      <c r="K64" s="5">
        <f>-70.7+97.7</f>
        <v>27</v>
      </c>
      <c r="L64" s="5">
        <f>-97.539+126.095-K64</f>
        <v>1.5559999999999974</v>
      </c>
      <c r="M64" s="5">
        <f>-150.595+189.292+0.725-L64-K64</f>
        <v>10.866000000000007</v>
      </c>
      <c r="N64" s="5">
        <f>-160.564+208.94+0.725-M64-L64-K64</f>
        <v>9.679000000000002</v>
      </c>
    </row>
    <row r="65" spans="2:34" x14ac:dyDescent="0.25">
      <c r="B65" s="17" t="s">
        <v>74</v>
      </c>
      <c r="K65" s="5">
        <v>-3.3769999999999998</v>
      </c>
      <c r="L65" s="5">
        <f>-6.191-K65</f>
        <v>-2.8140000000000001</v>
      </c>
      <c r="M65" s="5">
        <f>-8.73-L65-K65</f>
        <v>-2.5390000000000006</v>
      </c>
      <c r="N65" s="5">
        <f>-11.095-M65-L65-K65</f>
        <v>-2.3650000000000011</v>
      </c>
    </row>
    <row r="66" spans="2:34" x14ac:dyDescent="0.25">
      <c r="B66" s="21" t="s">
        <v>86</v>
      </c>
      <c r="K66" s="5">
        <v>0</v>
      </c>
      <c r="L66" s="5">
        <v>0</v>
      </c>
      <c r="M66" s="5">
        <f>-15.399-L66-K66</f>
        <v>-15.398999999999999</v>
      </c>
      <c r="N66" s="5">
        <f>-15.399-M66-K66-L66</f>
        <v>0</v>
      </c>
    </row>
    <row r="67" spans="2:34" x14ac:dyDescent="0.25">
      <c r="B67" s="17" t="s">
        <v>31</v>
      </c>
      <c r="K67" s="5">
        <v>-10.581</v>
      </c>
      <c r="L67" s="5">
        <f>-13.793-K67</f>
        <v>-3.2119999999999997</v>
      </c>
      <c r="M67" s="5">
        <f>-17.135-L67-K67</f>
        <v>-3.3420000000000023</v>
      </c>
      <c r="N67" s="5">
        <f>-41.655-M67-L67-K67</f>
        <v>-24.52</v>
      </c>
    </row>
    <row r="68" spans="2:34" x14ac:dyDescent="0.25">
      <c r="B68" s="17" t="s">
        <v>73</v>
      </c>
      <c r="K68" s="5">
        <f>SUM(K64:K67)</f>
        <v>13.042000000000002</v>
      </c>
      <c r="L68" s="5">
        <f>SUM(L64:L67)</f>
        <v>-4.4700000000000024</v>
      </c>
      <c r="M68" s="5">
        <f>SUM(M64:M67)</f>
        <v>-10.413999999999996</v>
      </c>
      <c r="N68" s="5">
        <f>SUM(N64:N67)</f>
        <v>-17.206</v>
      </c>
    </row>
    <row r="69" spans="2:34" x14ac:dyDescent="0.25">
      <c r="N69" s="5"/>
    </row>
    <row r="70" spans="2:34" s="3" customFormat="1" x14ac:dyDescent="0.25">
      <c r="B70" s="20" t="s">
        <v>78</v>
      </c>
      <c r="C70" s="5"/>
      <c r="D70" s="5"/>
      <c r="E70" s="5"/>
      <c r="F70" s="5"/>
      <c r="G70" s="5"/>
      <c r="H70" s="5"/>
      <c r="I70" s="5"/>
      <c r="J70" s="5"/>
      <c r="K70" s="5">
        <f>5.07-7.314</f>
        <v>-2.2439999999999998</v>
      </c>
      <c r="L70" s="5">
        <f>16.472-22.281-K70+1.622</f>
        <v>-1.9429999999999976</v>
      </c>
      <c r="M70" s="5">
        <f>18.505+1.622-L70-K70-33.096</f>
        <v>-8.782</v>
      </c>
      <c r="N70" s="5">
        <f>26.651-52.501+3.901-M70-L70-K70+0.333</f>
        <v>-8.6470000000000002</v>
      </c>
      <c r="O70" s="5"/>
      <c r="P70" s="5"/>
      <c r="Q70" s="5"/>
      <c r="R70" s="5"/>
    </row>
    <row r="71" spans="2:34" s="3" customFormat="1" x14ac:dyDescent="0.25">
      <c r="B71" s="20" t="s">
        <v>64</v>
      </c>
      <c r="C71" s="5"/>
      <c r="D71" s="5"/>
      <c r="E71" s="5"/>
      <c r="F71" s="5"/>
      <c r="G71" s="5"/>
      <c r="H71" s="5"/>
      <c r="I71" s="5"/>
      <c r="J71" s="5"/>
      <c r="K71" s="5">
        <v>0</v>
      </c>
      <c r="L71" s="5">
        <f>-3.19-K71</f>
        <v>-3.19</v>
      </c>
      <c r="M71" s="5">
        <f>-3.19-L71-K71</f>
        <v>0</v>
      </c>
      <c r="N71" s="5">
        <f>-3.19-M71-L71-K71</f>
        <v>0</v>
      </c>
      <c r="O71" s="5"/>
      <c r="P71" s="5"/>
      <c r="Q71" s="5"/>
      <c r="R71" s="5"/>
    </row>
    <row r="72" spans="2:34" s="3" customFormat="1" x14ac:dyDescent="0.25">
      <c r="B72" s="20" t="s">
        <v>77</v>
      </c>
      <c r="C72" s="5"/>
      <c r="D72" s="5"/>
      <c r="E72" s="5"/>
      <c r="F72" s="5"/>
      <c r="G72" s="5"/>
      <c r="H72" s="5"/>
      <c r="I72" s="5"/>
      <c r="J72" s="5"/>
      <c r="K72" s="5">
        <v>-28.064</v>
      </c>
      <c r="L72" s="5">
        <f>-47.996-K72</f>
        <v>-19.932000000000002</v>
      </c>
      <c r="M72" s="5">
        <f>-78.034-L72-K72</f>
        <v>-30.038000000000004</v>
      </c>
      <c r="N72" s="5">
        <f>-83.039-M72-L72-K72</f>
        <v>-5.0049999999999955</v>
      </c>
      <c r="O72" s="5"/>
      <c r="P72" s="5"/>
      <c r="Q72" s="5"/>
      <c r="R72" s="5"/>
    </row>
    <row r="73" spans="2:34" s="3" customFormat="1" x14ac:dyDescent="0.25">
      <c r="B73" s="20" t="s">
        <v>76</v>
      </c>
      <c r="C73" s="5"/>
      <c r="D73" s="5"/>
      <c r="E73" s="5"/>
      <c r="F73" s="5"/>
      <c r="G73" s="5"/>
      <c r="H73" s="5"/>
      <c r="I73" s="5"/>
      <c r="J73" s="5"/>
      <c r="K73" s="5">
        <f>SUM(K70:K72)</f>
        <v>-30.308</v>
      </c>
      <c r="L73" s="5">
        <f>SUM(L70:L72)</f>
        <v>-25.064999999999998</v>
      </c>
      <c r="M73" s="5">
        <f>SUM(M70:M72)</f>
        <v>-38.820000000000007</v>
      </c>
      <c r="N73" s="5">
        <f>SUM(N70:N72)</f>
        <v>-13.651999999999996</v>
      </c>
      <c r="O73" s="5"/>
      <c r="P73" s="5"/>
      <c r="Q73" s="5"/>
      <c r="R73" s="5"/>
    </row>
    <row r="74" spans="2:34" s="3" customFormat="1" x14ac:dyDescent="0.25">
      <c r="B74" s="20" t="s">
        <v>79</v>
      </c>
      <c r="C74" s="5"/>
      <c r="D74" s="5"/>
      <c r="E74" s="5"/>
      <c r="F74" s="5"/>
      <c r="G74" s="5"/>
      <c r="H74" s="5"/>
      <c r="I74" s="5"/>
      <c r="J74" s="5"/>
      <c r="K74" s="5">
        <v>2E-3</v>
      </c>
      <c r="L74" s="5">
        <f>0.001-K74</f>
        <v>-1E-3</v>
      </c>
      <c r="M74" s="5">
        <f>0.191-L74-K74</f>
        <v>0.19</v>
      </c>
      <c r="N74" s="5">
        <f>-0.27-M74-L74-K74</f>
        <v>-0.46100000000000002</v>
      </c>
      <c r="O74" s="5"/>
      <c r="P74" s="5"/>
      <c r="Q74" s="5"/>
      <c r="R74" s="5"/>
    </row>
    <row r="75" spans="2:34" s="3" customFormat="1" x14ac:dyDescent="0.25">
      <c r="B75" s="20" t="s">
        <v>80</v>
      </c>
      <c r="C75" s="5"/>
      <c r="D75" s="5"/>
      <c r="E75" s="5"/>
      <c r="F75" s="5"/>
      <c r="G75" s="5"/>
      <c r="H75" s="5"/>
      <c r="I75" s="5"/>
      <c r="J75" s="5"/>
      <c r="K75" s="5">
        <f>+K74+K73+K68+K62</f>
        <v>8.5740000000000052</v>
      </c>
      <c r="L75" s="5">
        <f>+L74+L73+L68+L62</f>
        <v>23.458999999999996</v>
      </c>
      <c r="M75" s="5">
        <f>+M74+M73+M68+M62</f>
        <v>36.821999999999981</v>
      </c>
      <c r="N75" s="5">
        <f>+N74+N73+N68+N62</f>
        <v>55.065999999999995</v>
      </c>
      <c r="O75" s="5"/>
      <c r="P75" s="5"/>
      <c r="Q75" s="5"/>
      <c r="R75" s="5"/>
    </row>
    <row r="77" spans="2:34" x14ac:dyDescent="0.25">
      <c r="B77" s="1" t="s">
        <v>29</v>
      </c>
      <c r="D77" s="5"/>
      <c r="E77" s="5"/>
      <c r="F77" s="5"/>
      <c r="H77" s="5"/>
      <c r="I77" s="5"/>
      <c r="J77" s="5"/>
      <c r="K77" s="5"/>
      <c r="L77" s="5"/>
      <c r="M77" s="19"/>
      <c r="AG77" s="17" t="s">
        <v>47</v>
      </c>
      <c r="AH77" s="14">
        <v>0.09</v>
      </c>
    </row>
    <row r="78" spans="2:34" x14ac:dyDescent="0.25">
      <c r="B78" s="1" t="s">
        <v>31</v>
      </c>
      <c r="L78" s="5"/>
      <c r="M78" s="19"/>
      <c r="AG78" s="17" t="s">
        <v>48</v>
      </c>
      <c r="AH78" s="14">
        <v>-0.01</v>
      </c>
    </row>
    <row r="79" spans="2:34" x14ac:dyDescent="0.25">
      <c r="B79" s="1" t="s">
        <v>32</v>
      </c>
      <c r="K79" s="5">
        <f t="shared" ref="K79:L79" si="64">+K62+K67+K65</f>
        <v>11.880000000000006</v>
      </c>
      <c r="L79" s="5">
        <f t="shared" si="64"/>
        <v>46.969000000000001</v>
      </c>
      <c r="M79" s="5">
        <f>+M62+M67+M65</f>
        <v>79.984999999999985</v>
      </c>
      <c r="N79" s="5">
        <f>+N62+N67+N65</f>
        <v>59.499999999999993</v>
      </c>
      <c r="O79" s="4">
        <v>50</v>
      </c>
      <c r="AG79" s="17" t="s">
        <v>49</v>
      </c>
      <c r="AH79" s="3">
        <f>NPV(AH77,AA24:DO24)</f>
        <v>9027.7768708697113</v>
      </c>
    </row>
    <row r="82" spans="2:12" x14ac:dyDescent="0.25">
      <c r="B82" s="1" t="s">
        <v>41</v>
      </c>
      <c r="E82" s="4">
        <v>-6.1</v>
      </c>
      <c r="F82" s="4">
        <v>3.9</v>
      </c>
      <c r="G82" s="4">
        <v>6.1</v>
      </c>
      <c r="H82" s="4">
        <v>10.6</v>
      </c>
      <c r="I82" s="4">
        <v>12.3</v>
      </c>
      <c r="J82" s="4">
        <v>20.6</v>
      </c>
      <c r="K82" s="4">
        <v>32.299999999999997</v>
      </c>
      <c r="L82" s="4">
        <v>39.299999999999997</v>
      </c>
    </row>
  </sheetData>
  <hyperlinks>
    <hyperlink ref="A1" location="Main!A1" display="Main" xr:uid="{9B4CD693-CDBF-3A42-842C-D8D3A1E1334A}"/>
  </hyperlink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5C123-7E1D-4334-B166-54791422ED3E}">
  <dimension ref="B1:M3"/>
  <sheetViews>
    <sheetView zoomScale="175" zoomScaleNormal="17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G4" sqref="G4"/>
    </sheetView>
  </sheetViews>
  <sheetFormatPr defaultRowHeight="16" x14ac:dyDescent="0.4"/>
  <cols>
    <col min="3" max="7" width="8.6640625" style="22"/>
  </cols>
  <sheetData>
    <row r="1" spans="2:13" x14ac:dyDescent="0.4">
      <c r="C1" s="22" t="s">
        <v>8</v>
      </c>
      <c r="H1" t="s">
        <v>28</v>
      </c>
    </row>
    <row r="2" spans="2:13" x14ac:dyDescent="0.4">
      <c r="B2" t="s">
        <v>87</v>
      </c>
      <c r="C2" s="22" t="s">
        <v>44</v>
      </c>
      <c r="D2" s="22" t="s">
        <v>45</v>
      </c>
      <c r="E2" s="22" t="s">
        <v>46</v>
      </c>
      <c r="F2" s="22">
        <v>2025</v>
      </c>
      <c r="G2" s="22">
        <v>2026</v>
      </c>
      <c r="H2" s="22" t="s">
        <v>44</v>
      </c>
      <c r="I2" s="22" t="s">
        <v>45</v>
      </c>
      <c r="J2" s="22" t="s">
        <v>46</v>
      </c>
      <c r="K2" s="22">
        <v>2025</v>
      </c>
      <c r="L2" s="22">
        <v>2026</v>
      </c>
      <c r="M2" s="22"/>
    </row>
    <row r="3" spans="2:13" x14ac:dyDescent="0.4">
      <c r="B3" s="23">
        <v>45782</v>
      </c>
      <c r="C3" s="25">
        <v>565</v>
      </c>
      <c r="D3" s="25">
        <v>590</v>
      </c>
      <c r="E3" s="25">
        <v>636</v>
      </c>
      <c r="F3" s="25">
        <v>2330</v>
      </c>
      <c r="G3" s="25">
        <v>2880</v>
      </c>
      <c r="H3" s="24">
        <v>0.15</v>
      </c>
      <c r="I3" s="24">
        <v>0.18</v>
      </c>
      <c r="J3" s="24">
        <v>0.2</v>
      </c>
      <c r="K3" s="24">
        <v>0.61</v>
      </c>
      <c r="L3" s="24">
        <v>0.88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Model</vt:lpstr>
      <vt:lpstr>EE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2024-09-06T16:45:14Z</dcterms:created>
  <dcterms:modified xsi:type="dcterms:W3CDTF">2025-05-13T18:04:22Z</dcterms:modified>
</cp:coreProperties>
</file>