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1881AFA-26C6-430B-943A-CF8CD8CF80E5}" xr6:coauthVersionLast="47" xr6:coauthVersionMax="47" xr10:uidLastSave="{00000000-0000-0000-0000-000000000000}"/>
  <bookViews>
    <workbookView xWindow="-45360" yWindow="1290" windowWidth="25035" windowHeight="19185" xr2:uid="{F3553354-160E-4727-9B37-588F22321C2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T63" i="2"/>
  <c r="S63" i="2"/>
  <c r="R63" i="2"/>
  <c r="R30" i="2"/>
  <c r="R23" i="2"/>
  <c r="R25" i="2" s="1"/>
  <c r="R27" i="2" s="1"/>
  <c r="R29" i="2" s="1"/>
  <c r="R31" i="2" s="1"/>
  <c r="S30" i="2"/>
  <c r="S28" i="2"/>
  <c r="S23" i="2"/>
  <c r="S25" i="2" s="1"/>
  <c r="S27" i="2" s="1"/>
  <c r="T31" i="2"/>
  <c r="T30" i="2"/>
  <c r="T29" i="2"/>
  <c r="T28" i="2"/>
  <c r="T27" i="2"/>
  <c r="T25" i="2"/>
  <c r="T23" i="2"/>
  <c r="S2" i="2"/>
  <c r="T2" i="2" s="1"/>
  <c r="U2" i="2" s="1"/>
  <c r="V2" i="2" s="1"/>
  <c r="W2" i="2" s="1"/>
  <c r="X2" i="2" s="1"/>
  <c r="Y2" i="2" s="1"/>
  <c r="Z2" i="2" s="1"/>
  <c r="AA2" i="2" s="1"/>
  <c r="R2" i="2"/>
  <c r="S29" i="2" l="1"/>
  <c r="S31" i="2" s="1"/>
  <c r="H33" i="2"/>
  <c r="H32" i="2" s="1"/>
  <c r="L32" i="2"/>
  <c r="L33" i="2"/>
  <c r="H63" i="2"/>
  <c r="L63" i="2"/>
  <c r="L38" i="2" l="1"/>
  <c r="L36" i="2"/>
  <c r="L37" i="2"/>
  <c r="L11" i="2"/>
  <c r="H11" i="2"/>
  <c r="H10" i="2"/>
  <c r="L10" i="2"/>
  <c r="H9" i="2"/>
  <c r="L9" i="2"/>
  <c r="H20" i="2"/>
  <c r="H23" i="2" s="1"/>
  <c r="H25" i="2" s="1"/>
  <c r="L20" i="2"/>
  <c r="L39" i="2" s="1"/>
  <c r="H30" i="2"/>
  <c r="H28" i="2"/>
  <c r="L30" i="2"/>
  <c r="L28" i="2"/>
  <c r="M6" i="1"/>
  <c r="M7" i="1" s="1"/>
  <c r="L54" i="2"/>
  <c r="L57" i="2" s="1"/>
  <c r="L42" i="2"/>
  <c r="L48" i="2" s="1"/>
  <c r="M4" i="1"/>
  <c r="L7" i="2" l="1"/>
  <c r="H7" i="2"/>
  <c r="L23" i="2"/>
  <c r="L25" i="2" s="1"/>
  <c r="L27" i="2" s="1"/>
  <c r="L29" i="2" s="1"/>
  <c r="L31" i="2" s="1"/>
  <c r="H27" i="2"/>
  <c r="H29" i="2" s="1"/>
  <c r="H31" i="2" s="1"/>
  <c r="L41" i="2"/>
  <c r="L35" i="2" l="1"/>
</calcChain>
</file>

<file path=xl/sharedStrings.xml><?xml version="1.0" encoding="utf-8"?>
<sst xmlns="http://schemas.openxmlformats.org/spreadsheetml/2006/main" count="82" uniqueCount="73">
  <si>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</si>
  <si>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</si>
  <si>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</si>
  <si>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</si>
  <si>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</si>
  <si>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</si>
  <si>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</si>
  <si>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</si>
  <si>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</si>
  <si>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</si>
  <si>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</si>
  <si>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</si>
  <si>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</si>
  <si>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</si>
  <si>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</si>
  <si>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</si>
  <si>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</si>
  <si>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</si>
  <si>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</si>
  <si>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</si>
  <si>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AR</t>
  </si>
  <si>
    <t>OCA</t>
  </si>
  <si>
    <t>PP&amp;E</t>
  </si>
  <si>
    <t>Assets</t>
  </si>
  <si>
    <t>OLTA</t>
  </si>
  <si>
    <t>Goodwill</t>
  </si>
  <si>
    <t>Benefits</t>
  </si>
  <si>
    <t>AP</t>
  </si>
  <si>
    <t>Overdraft</t>
  </si>
  <si>
    <t>DR</t>
  </si>
  <si>
    <t>L+SE</t>
  </si>
  <si>
    <t>SE</t>
  </si>
  <si>
    <t>OLTL</t>
  </si>
  <si>
    <t>Net Cash</t>
  </si>
  <si>
    <t>Services</t>
  </si>
  <si>
    <t>Investment</t>
  </si>
  <si>
    <t>Premiums</t>
  </si>
  <si>
    <t>MLR</t>
  </si>
  <si>
    <t>Gross Profit</t>
  </si>
  <si>
    <t>Operating Income</t>
  </si>
  <si>
    <t>Operating Costs</t>
  </si>
  <si>
    <t>Taxes</t>
  </si>
  <si>
    <t>Net Income</t>
  </si>
  <si>
    <t>Pretax Income</t>
  </si>
  <si>
    <t>Interest Expense</t>
  </si>
  <si>
    <t>Revenue y/y</t>
  </si>
  <si>
    <t>6mo CFFO</t>
  </si>
  <si>
    <t>6mo CapEx</t>
  </si>
  <si>
    <t>6mo FCF</t>
  </si>
  <si>
    <t>EPS</t>
  </si>
  <si>
    <t>Shares Outstanding</t>
  </si>
  <si>
    <t>State</t>
  </si>
  <si>
    <t>Group MA</t>
  </si>
  <si>
    <t>Individual MA</t>
  </si>
  <si>
    <t>Commercial</t>
  </si>
  <si>
    <t>Medicare Supplement</t>
  </si>
  <si>
    <t>Specialty Benefits</t>
  </si>
  <si>
    <t>PDP</t>
  </si>
  <si>
    <t>Part A: Hospital</t>
  </si>
  <si>
    <t>Part B: Medical Insurance</t>
  </si>
  <si>
    <t>Part D: Drugs</t>
  </si>
  <si>
    <t>Part C: Medicare Advantage</t>
  </si>
  <si>
    <t>MA PPPY</t>
  </si>
  <si>
    <t>Group MA PPPY</t>
  </si>
  <si>
    <t>PDP PPPY</t>
  </si>
  <si>
    <t>Medical Membership</t>
  </si>
  <si>
    <t>PPPY inflation</t>
  </si>
  <si>
    <t>Premiums y/y</t>
  </si>
  <si>
    <t>PPPY</t>
  </si>
  <si>
    <t>Lives Covered</t>
  </si>
  <si>
    <t>H5216 contract is 45% MA.</t>
  </si>
  <si>
    <t>5% bonus, 70% rebate --&gt; 0% bonus, 60% rebate</t>
  </si>
  <si>
    <t>2800 - MA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</si>
</sst>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D180A4C-631C-46B7-987C-C470A818AB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41671</xdr:colOff>
      <xdr:row>0</xdr:row>
      <xdr:rowOff>47625</xdr:rowOff>
    </xdr:from>
    <xdr:to>
      <xdr:col>12</xdr:col>
      <xdr:colOff>41671</xdr:colOff>
      <xdr:row>70</xdr:row>
      <xdr:rowOff>89297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77F759-EF7B-C6FA-DDA9-CE3F3FEAB8E7}"/>
            </a:ext>
          </a:extLst>
        </xdr:cNvPr>
        <xdr:cNvCxnSpPr/>
      </xdr:nvCxnSpPr>
      <xdr:spPr>
        <a:xfrm>
          <a:off x="7786687" y="47625"/>
          <a:ext cx="0" cy="1129307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51E5-ECE2-4209-9E0D-70A2E086C1FA}">
  <dimension ref="B2:N11"/>
  <sheetViews>
    <sheetView tabSelected="1" zoomScale="175" zoomScaleNormal="175" workbookViewId="0">
      <selection activeCell="F4" sqref="F4"/>
    </sheetView>
  </sheetViews>
  <sheetFormatPr defaultRowHeight="12.75" x14ac:dyDescent="0.2"/>
  <sheetData>
    <row r="2" spans="2:14" x14ac:dyDescent="0.2">
      <c r="B2" t="s">
        <v>58</v>
      </c>
      <c r="L2" t="s">
        <v>0</v>
      </c>
      <c r="M2" s="1">
        <v>226</v>
      </c>
    </row>
    <row r="3" spans="2:14" x14ac:dyDescent="0.2">
      <c r="B3" t="s">
        <v>59</v>
      </c>
      <c r="L3" t="s">
        <v>1</v>
      </c>
      <c r="M3" s="2">
        <v>120.401661</v>
      </c>
      <c r="N3" s="3" t="s">
        <v>6</v>
      </c>
    </row>
    <row r="4" spans="2:14" x14ac:dyDescent="0.2">
      <c r="B4" t="s">
        <v>61</v>
      </c>
      <c r="L4" t="s">
        <v>2</v>
      </c>
      <c r="M4" s="2">
        <f>+M2*M3</f>
        <v>27210.775386000001</v>
      </c>
    </row>
    <row r="5" spans="2:14" x14ac:dyDescent="0.2">
      <c r="B5" t="s">
        <v>60</v>
      </c>
      <c r="L5" t="s">
        <v>3</v>
      </c>
      <c r="M5" s="2">
        <v>24049</v>
      </c>
      <c r="N5" s="3" t="s">
        <v>6</v>
      </c>
    </row>
    <row r="6" spans="2:14" x14ac:dyDescent="0.2">
      <c r="L6" t="s">
        <v>4</v>
      </c>
      <c r="M6" s="2">
        <f>11446+12895+355</f>
        <v>24696</v>
      </c>
      <c r="N6" s="3" t="s">
        <v>6</v>
      </c>
    </row>
    <row r="7" spans="2:14" x14ac:dyDescent="0.2">
      <c r="B7" t="s">
        <v>70</v>
      </c>
      <c r="L7" t="s">
        <v>5</v>
      </c>
      <c r="M7" s="2">
        <f>+M4-M5+M6</f>
        <v>27857.775386000001</v>
      </c>
    </row>
    <row r="8" spans="2:14" x14ac:dyDescent="0.2">
      <c r="B8" t="s">
        <v>71</v>
      </c>
    </row>
    <row r="9" spans="2:14" x14ac:dyDescent="0.2">
      <c r="B9" t="s">
        <v>72</v>
      </c>
    </row>
    <row r="10" spans="2:14" x14ac:dyDescent="0.2">
      <c r="B10">
        <v>2800</v>
      </c>
    </row>
    <row r="11" spans="2:14" x14ac:dyDescent="0.2">
      <c r="B11">
        <f>+B10*0.45</f>
        <v>1260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3975-A8FD-461C-8314-E8F1EA59798F}">
  <dimension ref="A1:AA63"/>
  <sheetViews>
    <sheetView zoomScale="160" zoomScaleNormal="160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T10" sqref="T10"/>
    </sheetView>
  </sheetViews>
  <sheetFormatPr defaultRowHeight="12.75" x14ac:dyDescent="0.2"/>
  <cols>
    <col min="1" max="1" width="5" bestFit="1" customWidth="1"/>
    <col min="2" max="2" width="19.28515625" bestFit="1" customWidth="1"/>
    <col min="3" max="7" width="9.140625" style="3"/>
    <col min="8" max="8" width="9.5703125" style="3" customWidth="1"/>
    <col min="9" max="11" width="9.140625" style="3"/>
    <col min="12" max="12" width="9.42578125" style="3" bestFit="1" customWidth="1"/>
    <col min="13" max="14" width="9.140625" style="3"/>
  </cols>
  <sheetData>
    <row r="1" spans="1:27" x14ac:dyDescent="0.2">
      <c r="A1" t="s">
        <v>7</v>
      </c>
    </row>
    <row r="2" spans="1:27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Q2">
        <v>2020</v>
      </c>
      <c r="R2">
        <f>+Q2+1</f>
        <v>2021</v>
      </c>
      <c r="S2">
        <f t="shared" ref="S2:AA2" si="0">+R2+1</f>
        <v>2022</v>
      </c>
      <c r="T2">
        <f t="shared" si="0"/>
        <v>2023</v>
      </c>
      <c r="U2">
        <f t="shared" si="0"/>
        <v>2024</v>
      </c>
      <c r="V2">
        <f t="shared" si="0"/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</row>
    <row r="3" spans="1:27" x14ac:dyDescent="0.2">
      <c r="B3" t="s">
        <v>53</v>
      </c>
      <c r="H3" s="4">
        <v>5269.1</v>
      </c>
      <c r="I3" s="4"/>
      <c r="J3" s="4"/>
      <c r="K3" s="4"/>
      <c r="L3" s="4">
        <v>5617.6</v>
      </c>
    </row>
    <row r="4" spans="1:27" x14ac:dyDescent="0.2">
      <c r="B4" t="s">
        <v>52</v>
      </c>
      <c r="H4" s="4">
        <v>509.5</v>
      </c>
      <c r="I4" s="4"/>
      <c r="J4" s="4"/>
      <c r="K4" s="4"/>
      <c r="L4" s="4">
        <v>544.9</v>
      </c>
    </row>
    <row r="5" spans="1:27" x14ac:dyDescent="0.2">
      <c r="B5" t="s">
        <v>57</v>
      </c>
      <c r="H5" s="4">
        <v>2915.3</v>
      </c>
      <c r="I5" s="4"/>
      <c r="J5" s="4"/>
      <c r="K5" s="4"/>
      <c r="L5" s="4">
        <v>2341.1999999999998</v>
      </c>
    </row>
    <row r="6" spans="1:27" x14ac:dyDescent="0.2">
      <c r="B6" t="s">
        <v>65</v>
      </c>
      <c r="H6" s="4">
        <v>17128.3</v>
      </c>
      <c r="I6" s="4"/>
      <c r="J6" s="4"/>
      <c r="K6" s="4"/>
      <c r="L6" s="4">
        <v>16303.6</v>
      </c>
    </row>
    <row r="7" spans="1:27" x14ac:dyDescent="0.2">
      <c r="B7" t="s">
        <v>68</v>
      </c>
      <c r="H7" s="9">
        <f>+H20/H6*1000</f>
        <v>1488.4722943899862</v>
      </c>
      <c r="L7" s="9">
        <f>+L20/L6*1000</f>
        <v>1726.121838121642</v>
      </c>
    </row>
    <row r="9" spans="1:27" x14ac:dyDescent="0.2">
      <c r="B9" t="s">
        <v>62</v>
      </c>
      <c r="H9" s="9">
        <f>+H13/H3*1000</f>
        <v>3748.0784194644248</v>
      </c>
      <c r="L9" s="9">
        <f>+L13/L3*1000</f>
        <v>3954.5357448020504</v>
      </c>
    </row>
    <row r="10" spans="1:27" x14ac:dyDescent="0.2">
      <c r="B10" t="s">
        <v>63</v>
      </c>
      <c r="H10" s="9">
        <f>+H14/H4*1000</f>
        <v>3399.4111874386654</v>
      </c>
      <c r="L10" s="9">
        <f>+L14/L4*1000</f>
        <v>3556.6158928243717</v>
      </c>
    </row>
    <row r="11" spans="1:27" x14ac:dyDescent="0.2">
      <c r="B11" t="s">
        <v>64</v>
      </c>
      <c r="H11" s="9">
        <f>+H15/H5*1000</f>
        <v>194.83415085925975</v>
      </c>
      <c r="L11" s="9">
        <f>+L15/L5*1000</f>
        <v>370.32291132752437</v>
      </c>
    </row>
    <row r="13" spans="1:27" s="2" customFormat="1" x14ac:dyDescent="0.2">
      <c r="B13" s="2" t="s">
        <v>53</v>
      </c>
      <c r="C13" s="4"/>
      <c r="D13" s="4"/>
      <c r="E13" s="4"/>
      <c r="F13" s="4"/>
      <c r="G13" s="4"/>
      <c r="H13" s="4">
        <v>19749</v>
      </c>
      <c r="I13" s="4"/>
      <c r="J13" s="4"/>
      <c r="K13" s="4"/>
      <c r="L13" s="4">
        <v>22215</v>
      </c>
      <c r="M13" s="4"/>
      <c r="N13" s="4"/>
    </row>
    <row r="14" spans="1:27" s="2" customFormat="1" x14ac:dyDescent="0.2">
      <c r="B14" s="2" t="s">
        <v>52</v>
      </c>
      <c r="C14" s="4"/>
      <c r="D14" s="4"/>
      <c r="E14" s="4"/>
      <c r="F14" s="4"/>
      <c r="G14" s="4"/>
      <c r="H14" s="4">
        <v>1732</v>
      </c>
      <c r="I14" s="4"/>
      <c r="J14" s="4"/>
      <c r="K14" s="4"/>
      <c r="L14" s="4">
        <v>1938</v>
      </c>
      <c r="M14" s="4"/>
      <c r="N14" s="4"/>
    </row>
    <row r="15" spans="1:27" s="2" customFormat="1" x14ac:dyDescent="0.2">
      <c r="B15" s="2" t="s">
        <v>57</v>
      </c>
      <c r="C15" s="4"/>
      <c r="D15" s="4"/>
      <c r="E15" s="4"/>
      <c r="F15" s="4"/>
      <c r="G15" s="4"/>
      <c r="H15" s="4">
        <v>568</v>
      </c>
      <c r="I15" s="4"/>
      <c r="J15" s="4"/>
      <c r="K15" s="4"/>
      <c r="L15" s="4">
        <v>867</v>
      </c>
      <c r="M15" s="4"/>
      <c r="N15" s="4"/>
    </row>
    <row r="16" spans="1:27" s="2" customFormat="1" x14ac:dyDescent="0.2">
      <c r="B16" s="2" t="s">
        <v>54</v>
      </c>
      <c r="C16" s="4"/>
      <c r="D16" s="4"/>
      <c r="E16" s="4"/>
      <c r="F16" s="4"/>
      <c r="G16" s="4"/>
      <c r="H16" s="4">
        <v>950</v>
      </c>
      <c r="I16" s="4"/>
      <c r="J16" s="4"/>
      <c r="K16" s="4"/>
      <c r="L16" s="4">
        <v>152</v>
      </c>
      <c r="M16" s="4"/>
      <c r="N16" s="4"/>
    </row>
    <row r="17" spans="2:20" s="2" customFormat="1" x14ac:dyDescent="0.2">
      <c r="B17" s="2" t="s">
        <v>56</v>
      </c>
      <c r="C17" s="4"/>
      <c r="D17" s="4"/>
      <c r="E17" s="4"/>
      <c r="F17" s="4"/>
      <c r="G17" s="4"/>
      <c r="H17" s="4">
        <v>252</v>
      </c>
      <c r="I17" s="4"/>
      <c r="J17" s="4"/>
      <c r="K17" s="4"/>
      <c r="L17" s="4">
        <v>240</v>
      </c>
      <c r="M17" s="4"/>
      <c r="N17" s="4"/>
    </row>
    <row r="18" spans="2:20" s="2" customFormat="1" x14ac:dyDescent="0.2">
      <c r="B18" s="2" t="s">
        <v>55</v>
      </c>
      <c r="C18" s="4"/>
      <c r="D18" s="4"/>
      <c r="E18" s="4"/>
      <c r="F18" s="4"/>
      <c r="G18" s="4"/>
      <c r="H18" s="4">
        <v>182</v>
      </c>
      <c r="I18" s="4"/>
      <c r="J18" s="4"/>
      <c r="K18" s="4"/>
      <c r="L18" s="4">
        <v>206</v>
      </c>
      <c r="M18" s="4"/>
      <c r="N18" s="4"/>
    </row>
    <row r="19" spans="2:20" s="2" customFormat="1" x14ac:dyDescent="0.2">
      <c r="B19" s="2" t="s">
        <v>51</v>
      </c>
      <c r="C19" s="4"/>
      <c r="D19" s="4"/>
      <c r="E19" s="4"/>
      <c r="F19" s="4"/>
      <c r="G19" s="4"/>
      <c r="H19" s="4">
        <v>2062</v>
      </c>
      <c r="I19" s="4"/>
      <c r="J19" s="4"/>
      <c r="K19" s="4"/>
      <c r="L19" s="4">
        <v>2524</v>
      </c>
      <c r="M19" s="4"/>
      <c r="N19" s="4"/>
    </row>
    <row r="20" spans="2:20" s="2" customFormat="1" x14ac:dyDescent="0.2">
      <c r="B20" s="2" t="s">
        <v>36</v>
      </c>
      <c r="C20" s="4"/>
      <c r="D20" s="4"/>
      <c r="E20" s="4"/>
      <c r="F20" s="4"/>
      <c r="G20" s="4"/>
      <c r="H20" s="4">
        <f>SUM(H13:H19)</f>
        <v>25495</v>
      </c>
      <c r="I20" s="4"/>
      <c r="J20" s="4"/>
      <c r="K20" s="4"/>
      <c r="L20" s="4">
        <f>SUM(L13:L19)</f>
        <v>28142</v>
      </c>
      <c r="M20" s="4"/>
      <c r="N20" s="4"/>
      <c r="R20" s="2">
        <v>79822</v>
      </c>
      <c r="S20" s="2">
        <v>87712</v>
      </c>
      <c r="T20" s="2">
        <v>101272</v>
      </c>
    </row>
    <row r="21" spans="2:20" s="2" customFormat="1" x14ac:dyDescent="0.2">
      <c r="B21" s="2" t="s">
        <v>34</v>
      </c>
      <c r="C21" s="4"/>
      <c r="D21" s="4"/>
      <c r="E21" s="4"/>
      <c r="F21" s="4"/>
      <c r="G21" s="4"/>
      <c r="H21" s="4">
        <v>978</v>
      </c>
      <c r="I21" s="4"/>
      <c r="J21" s="4"/>
      <c r="K21" s="4"/>
      <c r="L21" s="4">
        <v>1100</v>
      </c>
      <c r="M21" s="4"/>
      <c r="N21" s="4"/>
      <c r="R21" s="2">
        <v>3055</v>
      </c>
      <c r="S21" s="2">
        <v>4776</v>
      </c>
      <c r="T21" s="2">
        <v>4033</v>
      </c>
    </row>
    <row r="22" spans="2:20" s="2" customFormat="1" x14ac:dyDescent="0.2">
      <c r="B22" s="2" t="s">
        <v>35</v>
      </c>
      <c r="C22" s="4"/>
      <c r="D22" s="4"/>
      <c r="E22" s="4"/>
      <c r="F22" s="4"/>
      <c r="G22" s="4"/>
      <c r="H22" s="4">
        <v>274</v>
      </c>
      <c r="I22" s="4"/>
      <c r="J22" s="4"/>
      <c r="K22" s="4"/>
      <c r="L22" s="4">
        <v>298</v>
      </c>
      <c r="M22" s="4"/>
      <c r="N22" s="4"/>
      <c r="R22" s="2">
        <v>187</v>
      </c>
      <c r="S22" s="2">
        <v>382</v>
      </c>
      <c r="T22" s="2">
        <v>1069</v>
      </c>
    </row>
    <row r="23" spans="2:20" s="5" customFormat="1" x14ac:dyDescent="0.2">
      <c r="B23" s="5" t="s">
        <v>8</v>
      </c>
      <c r="C23" s="6"/>
      <c r="D23" s="6"/>
      <c r="E23" s="6"/>
      <c r="F23" s="6"/>
      <c r="G23" s="6"/>
      <c r="H23" s="6">
        <f>SUM(H20:H22)</f>
        <v>26747</v>
      </c>
      <c r="I23" s="6"/>
      <c r="J23" s="6"/>
      <c r="K23" s="6"/>
      <c r="L23" s="6">
        <f>SUM(L20:L22)</f>
        <v>29540</v>
      </c>
      <c r="M23" s="6"/>
      <c r="N23" s="6"/>
      <c r="R23" s="5">
        <f>+R22+R21+R20</f>
        <v>83064</v>
      </c>
      <c r="S23" s="5">
        <f>+S22+S21+S20</f>
        <v>92870</v>
      </c>
      <c r="T23" s="5">
        <f>+T22+T21+T20</f>
        <v>106374</v>
      </c>
    </row>
    <row r="24" spans="2:20" s="2" customFormat="1" x14ac:dyDescent="0.2">
      <c r="B24" s="2" t="s">
        <v>26</v>
      </c>
      <c r="C24" s="4"/>
      <c r="D24" s="4"/>
      <c r="E24" s="4"/>
      <c r="F24" s="4"/>
      <c r="G24" s="4"/>
      <c r="H24" s="4">
        <v>22009</v>
      </c>
      <c r="I24" s="4"/>
      <c r="J24" s="4"/>
      <c r="K24" s="4"/>
      <c r="L24" s="4">
        <v>25039</v>
      </c>
      <c r="M24" s="4"/>
      <c r="N24" s="4"/>
      <c r="R24" s="2">
        <v>69199</v>
      </c>
      <c r="S24" s="2">
        <v>75690</v>
      </c>
      <c r="T24" s="2">
        <v>88394</v>
      </c>
    </row>
    <row r="25" spans="2:20" s="2" customFormat="1" x14ac:dyDescent="0.2">
      <c r="B25" s="2" t="s">
        <v>38</v>
      </c>
      <c r="C25" s="4"/>
      <c r="D25" s="4"/>
      <c r="E25" s="4"/>
      <c r="F25" s="4"/>
      <c r="G25" s="4"/>
      <c r="H25" s="4">
        <f>+H23-H24</f>
        <v>4738</v>
      </c>
      <c r="I25" s="4"/>
      <c r="J25" s="4"/>
      <c r="K25" s="4"/>
      <c r="L25" s="4">
        <f>+L23-L24</f>
        <v>4501</v>
      </c>
      <c r="M25" s="4"/>
      <c r="N25" s="4"/>
      <c r="R25" s="2">
        <f>+R23-R24</f>
        <v>13865</v>
      </c>
      <c r="S25" s="2">
        <f>+S23-S24</f>
        <v>17180</v>
      </c>
      <c r="T25" s="2">
        <f>+T23-T24</f>
        <v>17980</v>
      </c>
    </row>
    <row r="26" spans="2:20" s="2" customFormat="1" x14ac:dyDescent="0.2">
      <c r="B26" s="2" t="s">
        <v>40</v>
      </c>
      <c r="C26" s="4"/>
      <c r="D26" s="4"/>
      <c r="E26" s="4"/>
      <c r="F26" s="4"/>
      <c r="G26" s="4"/>
      <c r="H26" s="4">
        <v>3148</v>
      </c>
      <c r="I26" s="4"/>
      <c r="J26" s="4"/>
      <c r="K26" s="4"/>
      <c r="L26" s="4">
        <v>3148</v>
      </c>
      <c r="M26" s="4"/>
      <c r="N26" s="4"/>
      <c r="R26" s="2">
        <v>10121</v>
      </c>
      <c r="S26" s="2">
        <v>12671</v>
      </c>
      <c r="T26" s="2">
        <v>13188</v>
      </c>
    </row>
    <row r="27" spans="2:20" s="2" customFormat="1" x14ac:dyDescent="0.2">
      <c r="B27" s="2" t="s">
        <v>39</v>
      </c>
      <c r="C27" s="4"/>
      <c r="D27" s="4"/>
      <c r="E27" s="4"/>
      <c r="F27" s="4"/>
      <c r="G27" s="4"/>
      <c r="H27" s="4">
        <f>+H25-H26</f>
        <v>1590</v>
      </c>
      <c r="I27" s="4"/>
      <c r="J27" s="4"/>
      <c r="K27" s="4"/>
      <c r="L27" s="4">
        <f>+L25-L26</f>
        <v>1353</v>
      </c>
      <c r="M27" s="4"/>
      <c r="N27" s="4"/>
      <c r="R27" s="2">
        <f>+R25-R26</f>
        <v>3744</v>
      </c>
      <c r="S27" s="2">
        <f>+S25-S26</f>
        <v>4509</v>
      </c>
      <c r="T27" s="2">
        <f>+T25-T26</f>
        <v>4792</v>
      </c>
    </row>
    <row r="28" spans="2:20" s="2" customFormat="1" x14ac:dyDescent="0.2">
      <c r="B28" s="2" t="s">
        <v>44</v>
      </c>
      <c r="C28" s="4"/>
      <c r="D28" s="4"/>
      <c r="E28" s="4"/>
      <c r="F28" s="4"/>
      <c r="G28" s="4"/>
      <c r="H28" s="4">
        <f>-120-54</f>
        <v>-174</v>
      </c>
      <c r="I28" s="4"/>
      <c r="J28" s="4"/>
      <c r="K28" s="4"/>
      <c r="L28" s="4">
        <f>-168-55</f>
        <v>-223</v>
      </c>
      <c r="M28" s="4"/>
      <c r="N28" s="4"/>
      <c r="R28" s="2">
        <v>-326</v>
      </c>
      <c r="S28" s="2">
        <f>-401-68</f>
        <v>-469</v>
      </c>
      <c r="T28" s="2">
        <f>-493-137</f>
        <v>-630</v>
      </c>
    </row>
    <row r="29" spans="2:20" x14ac:dyDescent="0.2">
      <c r="B29" s="2" t="s">
        <v>43</v>
      </c>
      <c r="H29" s="4">
        <f>+H27+H28</f>
        <v>1416</v>
      </c>
      <c r="L29" s="4">
        <f>+L27+L28</f>
        <v>1130</v>
      </c>
      <c r="R29" s="2">
        <f>+R27+R28</f>
        <v>3418</v>
      </c>
      <c r="S29" s="2">
        <f>+S27+S28</f>
        <v>4040</v>
      </c>
      <c r="T29" s="2">
        <f>+T27+T28</f>
        <v>4162</v>
      </c>
    </row>
    <row r="30" spans="2:20" x14ac:dyDescent="0.2">
      <c r="B30" s="2" t="s">
        <v>41</v>
      </c>
      <c r="H30" s="4">
        <f>296-10</f>
        <v>286</v>
      </c>
      <c r="L30" s="4">
        <f>223-17</f>
        <v>206</v>
      </c>
      <c r="R30">
        <f>485-65</f>
        <v>420</v>
      </c>
      <c r="S30">
        <f>762+4</f>
        <v>766</v>
      </c>
      <c r="T30">
        <f>836+63</f>
        <v>899</v>
      </c>
    </row>
    <row r="31" spans="2:20" x14ac:dyDescent="0.2">
      <c r="B31" s="2" t="s">
        <v>42</v>
      </c>
      <c r="H31" s="4">
        <f>+H29-H30</f>
        <v>1130</v>
      </c>
      <c r="L31" s="4">
        <f>+L29-L30</f>
        <v>924</v>
      </c>
      <c r="R31" s="2">
        <f>+R29-R30</f>
        <v>2998</v>
      </c>
      <c r="S31" s="2">
        <f>+S29-S30</f>
        <v>3274</v>
      </c>
      <c r="T31" s="2">
        <f>+T29-T30</f>
        <v>3263</v>
      </c>
    </row>
    <row r="32" spans="2:20" x14ac:dyDescent="0.2">
      <c r="B32" s="2" t="s">
        <v>49</v>
      </c>
      <c r="H32" s="8">
        <f>+H31/H33</f>
        <v>9.2453034267676255</v>
      </c>
      <c r="L32" s="8">
        <f>+L31/L33</f>
        <v>7.6743127322803302</v>
      </c>
      <c r="T32" s="1"/>
    </row>
    <row r="33" spans="2:14" x14ac:dyDescent="0.2">
      <c r="B33" s="2" t="s">
        <v>50</v>
      </c>
      <c r="H33" s="4">
        <f>198.690082-76.465862</f>
        <v>122.22421999999999</v>
      </c>
      <c r="L33" s="4">
        <f>198.71881-78.317149</f>
        <v>120.40166099999999</v>
      </c>
    </row>
    <row r="34" spans="2:14" x14ac:dyDescent="0.2">
      <c r="B34" s="2"/>
    </row>
    <row r="35" spans="2:14" x14ac:dyDescent="0.2">
      <c r="B35" s="2" t="s">
        <v>45</v>
      </c>
      <c r="L35" s="7">
        <f>+L23/H23-1</f>
        <v>0.10442292593561886</v>
      </c>
    </row>
    <row r="36" spans="2:14" x14ac:dyDescent="0.2">
      <c r="B36" s="2" t="s">
        <v>69</v>
      </c>
      <c r="L36" s="7">
        <f>+L6/H6-1</f>
        <v>-4.8148386004448707E-2</v>
      </c>
    </row>
    <row r="37" spans="2:14" x14ac:dyDescent="0.2">
      <c r="B37" s="2" t="s">
        <v>67</v>
      </c>
      <c r="L37" s="7">
        <f>+L13/H13-1</f>
        <v>0.12486708187756346</v>
      </c>
    </row>
    <row r="38" spans="2:14" x14ac:dyDescent="0.2">
      <c r="B38" s="2" t="s">
        <v>66</v>
      </c>
      <c r="L38" s="7">
        <f>+L7/H7-1</f>
        <v>0.15966003843494492</v>
      </c>
    </row>
    <row r="39" spans="2:14" x14ac:dyDescent="0.2">
      <c r="B39" s="2" t="s">
        <v>37</v>
      </c>
      <c r="L39" s="7">
        <f>1-(L20-L24)/L20</f>
        <v>0.88973775851041148</v>
      </c>
    </row>
    <row r="41" spans="2:14" x14ac:dyDescent="0.2">
      <c r="B41" t="s">
        <v>33</v>
      </c>
      <c r="L41" s="4">
        <f>+L42-L50-L54-L52</f>
        <v>-647</v>
      </c>
    </row>
    <row r="42" spans="2:14" s="2" customFormat="1" x14ac:dyDescent="0.2">
      <c r="B42" s="2" t="s">
        <v>3</v>
      </c>
      <c r="C42" s="4"/>
      <c r="D42" s="4"/>
      <c r="E42" s="4"/>
      <c r="F42" s="4"/>
      <c r="G42" s="4"/>
      <c r="H42" s="4"/>
      <c r="I42" s="4"/>
      <c r="J42" s="4"/>
      <c r="K42" s="4"/>
      <c r="L42" s="4">
        <f>5501+17424+388+736</f>
        <v>24049</v>
      </c>
      <c r="M42" s="4"/>
      <c r="N42" s="4"/>
    </row>
    <row r="43" spans="2:14" s="2" customFormat="1" x14ac:dyDescent="0.2">
      <c r="B43" s="2" t="s">
        <v>20</v>
      </c>
      <c r="C43" s="4"/>
      <c r="D43" s="4"/>
      <c r="E43" s="4"/>
      <c r="F43" s="4"/>
      <c r="G43" s="4"/>
      <c r="H43" s="4"/>
      <c r="I43" s="4"/>
      <c r="J43" s="4"/>
      <c r="K43" s="4"/>
      <c r="L43" s="4">
        <v>4090</v>
      </c>
      <c r="M43" s="4"/>
      <c r="N43" s="4"/>
    </row>
    <row r="44" spans="2:14" s="2" customFormat="1" x14ac:dyDescent="0.2">
      <c r="B44" s="2" t="s">
        <v>21</v>
      </c>
      <c r="C44" s="4"/>
      <c r="D44" s="4"/>
      <c r="E44" s="4"/>
      <c r="F44" s="4"/>
      <c r="G44" s="4"/>
      <c r="H44" s="4"/>
      <c r="I44" s="4"/>
      <c r="J44" s="4"/>
      <c r="K44" s="4"/>
      <c r="L44" s="4">
        <v>5843</v>
      </c>
      <c r="M44" s="4"/>
      <c r="N44" s="4"/>
    </row>
    <row r="45" spans="2:14" s="2" customFormat="1" x14ac:dyDescent="0.2">
      <c r="B45" s="2" t="s">
        <v>22</v>
      </c>
      <c r="C45" s="4"/>
      <c r="D45" s="4"/>
      <c r="E45" s="4"/>
      <c r="F45" s="4"/>
      <c r="G45" s="4"/>
      <c r="H45" s="4"/>
      <c r="I45" s="4"/>
      <c r="J45" s="4"/>
      <c r="K45" s="4"/>
      <c r="L45" s="4">
        <v>2821</v>
      </c>
      <c r="M45" s="4"/>
      <c r="N45" s="4"/>
    </row>
    <row r="46" spans="2:14" s="2" customFormat="1" x14ac:dyDescent="0.2">
      <c r="B46" s="2" t="s">
        <v>25</v>
      </c>
      <c r="C46" s="4"/>
      <c r="D46" s="4"/>
      <c r="E46" s="4"/>
      <c r="F46" s="4"/>
      <c r="G46" s="4"/>
      <c r="H46" s="4"/>
      <c r="I46" s="4"/>
      <c r="J46" s="4"/>
      <c r="K46" s="4"/>
      <c r="L46" s="4">
        <v>9567</v>
      </c>
      <c r="M46" s="4"/>
      <c r="N46" s="4"/>
    </row>
    <row r="47" spans="2:14" s="2" customFormat="1" x14ac:dyDescent="0.2">
      <c r="B47" s="2" t="s">
        <v>24</v>
      </c>
      <c r="C47" s="4"/>
      <c r="D47" s="4"/>
      <c r="E47" s="4"/>
      <c r="F47" s="4"/>
      <c r="G47" s="4"/>
      <c r="H47" s="4"/>
      <c r="I47" s="4"/>
      <c r="J47" s="4"/>
      <c r="K47" s="4"/>
      <c r="L47" s="4">
        <v>3723</v>
      </c>
      <c r="M47" s="4"/>
      <c r="N47" s="4"/>
    </row>
    <row r="48" spans="2:14" s="2" customFormat="1" x14ac:dyDescent="0.2">
      <c r="B48" s="2" t="s">
        <v>23</v>
      </c>
      <c r="C48" s="4"/>
      <c r="D48" s="4"/>
      <c r="E48" s="4"/>
      <c r="F48" s="4"/>
      <c r="G48" s="4"/>
      <c r="H48" s="4"/>
      <c r="I48" s="4"/>
      <c r="J48" s="4"/>
      <c r="K48" s="4"/>
      <c r="L48" s="4">
        <f>SUM(L42:L47)</f>
        <v>50093</v>
      </c>
      <c r="M48" s="4"/>
      <c r="N48" s="4"/>
    </row>
    <row r="49" spans="2:20" s="2" customFormat="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2:20" s="2" customFormat="1" x14ac:dyDescent="0.2">
      <c r="B50" s="2" t="s">
        <v>26</v>
      </c>
      <c r="C50" s="4"/>
      <c r="D50" s="4"/>
      <c r="E50" s="4"/>
      <c r="F50" s="4"/>
      <c r="G50" s="4"/>
      <c r="H50" s="4"/>
      <c r="I50" s="4"/>
      <c r="J50" s="4"/>
      <c r="K50" s="4"/>
      <c r="L50" s="4">
        <v>11446</v>
      </c>
      <c r="M50" s="4"/>
      <c r="N50" s="4"/>
    </row>
    <row r="51" spans="2:20" s="2" customFormat="1" x14ac:dyDescent="0.2">
      <c r="B51" s="2" t="s">
        <v>27</v>
      </c>
      <c r="C51" s="4"/>
      <c r="D51" s="4"/>
      <c r="E51" s="4"/>
      <c r="F51" s="4"/>
      <c r="G51" s="4"/>
      <c r="H51" s="4"/>
      <c r="I51" s="4"/>
      <c r="J51" s="4"/>
      <c r="K51" s="4"/>
      <c r="L51" s="4">
        <v>6527</v>
      </c>
      <c r="M51" s="4"/>
      <c r="N51" s="4"/>
    </row>
    <row r="52" spans="2:20" s="2" customFormat="1" x14ac:dyDescent="0.2">
      <c r="B52" s="2" t="s">
        <v>28</v>
      </c>
      <c r="C52" s="4"/>
      <c r="D52" s="4"/>
      <c r="E52" s="4"/>
      <c r="F52" s="4"/>
      <c r="G52" s="4"/>
      <c r="H52" s="4"/>
      <c r="I52" s="4"/>
      <c r="J52" s="4"/>
      <c r="K52" s="4"/>
      <c r="L52" s="4">
        <v>355</v>
      </c>
      <c r="M52" s="4"/>
      <c r="N52" s="4"/>
    </row>
    <row r="53" spans="2:20" s="2" customFormat="1" x14ac:dyDescent="0.2">
      <c r="B53" s="2" t="s">
        <v>29</v>
      </c>
      <c r="C53" s="4"/>
      <c r="D53" s="4"/>
      <c r="E53" s="4"/>
      <c r="F53" s="4"/>
      <c r="G53" s="4"/>
      <c r="H53" s="4"/>
      <c r="I53" s="4"/>
      <c r="J53" s="4"/>
      <c r="K53" s="4"/>
      <c r="L53" s="4">
        <v>313</v>
      </c>
      <c r="M53" s="4"/>
      <c r="N53" s="4"/>
    </row>
    <row r="54" spans="2:20" s="2" customFormat="1" x14ac:dyDescent="0.2">
      <c r="B54" s="2" t="s">
        <v>4</v>
      </c>
      <c r="C54" s="4"/>
      <c r="D54" s="4"/>
      <c r="E54" s="4"/>
      <c r="F54" s="4"/>
      <c r="G54" s="4"/>
      <c r="H54" s="4"/>
      <c r="I54" s="4"/>
      <c r="J54" s="4"/>
      <c r="K54" s="4"/>
      <c r="L54" s="4">
        <f>1149+11746</f>
        <v>12895</v>
      </c>
      <c r="M54" s="4"/>
      <c r="N54" s="4"/>
    </row>
    <row r="55" spans="2:20" s="2" customFormat="1" x14ac:dyDescent="0.2">
      <c r="B55" s="2" t="s">
        <v>32</v>
      </c>
      <c r="C55" s="4"/>
      <c r="D55" s="4"/>
      <c r="E55" s="4"/>
      <c r="F55" s="4"/>
      <c r="G55" s="4"/>
      <c r="H55" s="4"/>
      <c r="I55" s="4"/>
      <c r="J55" s="4"/>
      <c r="K55" s="4"/>
      <c r="L55" s="4">
        <v>1829</v>
      </c>
      <c r="M55" s="4"/>
      <c r="N55" s="4"/>
    </row>
    <row r="56" spans="2:20" s="2" customFormat="1" x14ac:dyDescent="0.2">
      <c r="B56" s="2" t="s">
        <v>31</v>
      </c>
      <c r="C56" s="4"/>
      <c r="D56" s="4"/>
      <c r="E56" s="4"/>
      <c r="F56" s="4"/>
      <c r="G56" s="4"/>
      <c r="H56" s="4"/>
      <c r="I56" s="4"/>
      <c r="J56" s="4"/>
      <c r="K56" s="4"/>
      <c r="L56" s="4">
        <v>16728</v>
      </c>
      <c r="M56" s="4"/>
      <c r="N56" s="4"/>
    </row>
    <row r="57" spans="2:20" s="2" customFormat="1" x14ac:dyDescent="0.2">
      <c r="B57" s="2" t="s">
        <v>30</v>
      </c>
      <c r="C57" s="4"/>
      <c r="D57" s="4"/>
      <c r="E57" s="4"/>
      <c r="F57" s="4"/>
      <c r="G57" s="4"/>
      <c r="H57" s="4"/>
      <c r="I57" s="4"/>
      <c r="J57" s="4"/>
      <c r="K57" s="4"/>
      <c r="L57" s="4">
        <f>SUM(L50:L56)</f>
        <v>50093</v>
      </c>
      <c r="M57" s="4"/>
      <c r="N57" s="4"/>
    </row>
    <row r="61" spans="2:20" s="2" customFormat="1" x14ac:dyDescent="0.2">
      <c r="B61" s="2" t="s">
        <v>46</v>
      </c>
      <c r="C61" s="4"/>
      <c r="D61" s="4"/>
      <c r="E61" s="4"/>
      <c r="F61" s="4"/>
      <c r="G61" s="4"/>
      <c r="H61" s="4">
        <v>9836</v>
      </c>
      <c r="I61" s="4"/>
      <c r="J61" s="4"/>
      <c r="K61" s="4"/>
      <c r="L61" s="4">
        <v>1636</v>
      </c>
      <c r="M61" s="4"/>
      <c r="N61" s="4"/>
      <c r="R61" s="2">
        <v>2262</v>
      </c>
      <c r="S61" s="2">
        <v>4587</v>
      </c>
      <c r="T61" s="2">
        <v>3981</v>
      </c>
    </row>
    <row r="62" spans="2:20" s="2" customFormat="1" x14ac:dyDescent="0.2">
      <c r="B62" s="2" t="s">
        <v>47</v>
      </c>
      <c r="C62" s="4"/>
      <c r="D62" s="4"/>
      <c r="E62" s="4"/>
      <c r="F62" s="4"/>
      <c r="G62" s="4"/>
      <c r="H62" s="4">
        <v>487</v>
      </c>
      <c r="I62" s="4"/>
      <c r="J62" s="4"/>
      <c r="K62" s="4"/>
      <c r="L62" s="4">
        <v>291</v>
      </c>
      <c r="M62" s="4"/>
      <c r="N62" s="4"/>
      <c r="R62" s="2">
        <v>1342</v>
      </c>
      <c r="S62" s="2">
        <v>1137</v>
      </c>
      <c r="T62" s="2">
        <v>1004</v>
      </c>
    </row>
    <row r="63" spans="2:20" s="2" customFormat="1" x14ac:dyDescent="0.2">
      <c r="B63" s="2" t="s">
        <v>48</v>
      </c>
      <c r="C63" s="4"/>
      <c r="D63" s="4"/>
      <c r="E63" s="4"/>
      <c r="F63" s="4"/>
      <c r="G63" s="4"/>
      <c r="H63" s="4">
        <f>+H61-H62</f>
        <v>9349</v>
      </c>
      <c r="I63" s="4"/>
      <c r="J63" s="4"/>
      <c r="K63" s="4"/>
      <c r="L63" s="4">
        <f>+L61-L62</f>
        <v>1345</v>
      </c>
      <c r="M63" s="4"/>
      <c r="N63" s="4"/>
      <c r="R63" s="2">
        <f>+R61-R62</f>
        <v>920</v>
      </c>
      <c r="S63" s="2">
        <f>+S61-S62</f>
        <v>3450</v>
      </c>
      <c r="T63" s="2">
        <f>+T61-T62</f>
        <v>2977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2024-10-02T12:47:06Z</dcterms:created>
  <dcterms:modified xsi:type="dcterms:W3CDTF">2024-10-02T15:34:13Z</dcterms:modified>
</cp:coreProperties>
</file>