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E6B17B-0FD0-4D63-A41D-079EB40BE895}" xr6:coauthVersionLast="47" xr6:coauthVersionMax="47" xr10:uidLastSave="{00000000-0000-0000-0000-000000000000}"/>
  <bookViews>
    <workbookView xWindow="-21195" yWindow="750" windowWidth="20670" windowHeight="19650" xr2:uid="{00000000-000D-0000-FFFF-FFFF00000000}"/>
  </bookViews>
  <sheets>
    <sheet name="Main" sheetId="1" r:id="rId1"/>
    <sheet name="Model" sheetId="16" r:id="rId2"/>
    <sheet name="Jakafi" sheetId="12" r:id="rId3"/>
    <sheet name="NEJM letter" sheetId="17" r:id="rId4"/>
    <sheet name="Opzelura" sheetId="22" r:id="rId5"/>
    <sheet name="Olumiant" sheetId="21" r:id="rId6"/>
    <sheet name="Minjuvi" sheetId="23" r:id="rId7"/>
    <sheet name="Tabrecta" sheetId="18" r:id="rId8"/>
    <sheet name="Pemazyre" sheetId="25" r:id="rId9"/>
    <sheet name="retifanlimab" sheetId="26" r:id="rId10"/>
    <sheet name="parsaclisib" sheetId="24" r:id="rId11"/>
    <sheet name="INCB57643" sheetId="27" r:id="rId12"/>
    <sheet name="CK0804" sheetId="29" r:id="rId13"/>
    <sheet name="INCB00928" sheetId="28" r:id="rId14"/>
    <sheet name="axatilimab" sheetId="30" r:id="rId15"/>
    <sheet name="INCB7839" sheetId="19" r:id="rId16"/>
    <sheet name="INCB24360" sheetId="20" r:id="rId17"/>
    <sheet name="INCB 7839" sheetId="2" r:id="rId18"/>
    <sheet name="INCB 8696" sheetId="11" r:id="rId19"/>
    <sheet name="Dexelvucitabine" sheetId="7" r:id="rId20"/>
    <sheet name="INCB 13739" sheetId="9" r:id="rId21"/>
    <sheet name="INCB 15050" sheetId="8" r:id="rId22"/>
    <sheet name="Old Model" sheetId="13" r:id="rId23"/>
    <sheet name="JAK field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C4" i="16" l="1"/>
  <c r="CC10" i="16" s="1"/>
  <c r="CC17" i="16" s="1"/>
  <c r="CC30" i="16"/>
  <c r="CC16" i="16"/>
  <c r="CC15" i="16"/>
  <c r="CC14" i="16"/>
  <c r="CC13" i="16"/>
  <c r="CC12" i="16"/>
  <c r="CC11" i="16"/>
  <c r="CC9" i="16"/>
  <c r="CC8" i="16"/>
  <c r="CC7" i="16"/>
  <c r="CC6" i="16"/>
  <c r="CC5" i="16"/>
  <c r="BJ27" i="16"/>
  <c r="BI27" i="16"/>
  <c r="BJ21" i="16"/>
  <c r="BJ23" i="16" s="1"/>
  <c r="BJ24" i="16" s="1"/>
  <c r="BJ26" i="16" s="1"/>
  <c r="BJ28" i="16" s="1"/>
  <c r="BJ29" i="16" s="1"/>
  <c r="BI21" i="16"/>
  <c r="BJ18" i="16"/>
  <c r="BI18" i="16"/>
  <c r="BJ19" i="16"/>
  <c r="BI19" i="16"/>
  <c r="BJ30" i="16"/>
  <c r="BI30" i="16"/>
  <c r="BI23" i="16"/>
  <c r="BJ34" i="16"/>
  <c r="BJ33" i="16"/>
  <c r="BI33" i="16"/>
  <c r="BJ32" i="16"/>
  <c r="BI32" i="16"/>
  <c r="BJ17" i="16"/>
  <c r="BI17" i="16"/>
  <c r="BJ15" i="16"/>
  <c r="BI15" i="16"/>
  <c r="BJ14" i="16"/>
  <c r="BI14" i="16"/>
  <c r="BJ13" i="16"/>
  <c r="BI13" i="16"/>
  <c r="BJ12" i="16"/>
  <c r="BI12" i="16"/>
  <c r="BJ10" i="16"/>
  <c r="BI10" i="16"/>
  <c r="BJ9" i="16"/>
  <c r="BI9" i="16"/>
  <c r="BJ8" i="16"/>
  <c r="BI8" i="16"/>
  <c r="BJ7" i="16"/>
  <c r="BI7" i="16"/>
  <c r="BJ6" i="16"/>
  <c r="BI6" i="16"/>
  <c r="BJ5" i="16"/>
  <c r="BI5" i="16"/>
  <c r="BJ4" i="16"/>
  <c r="BI4" i="16"/>
  <c r="CB7" i="16"/>
  <c r="CB6" i="16"/>
  <c r="CB5" i="16"/>
  <c r="CB4" i="16"/>
  <c r="CA4" i="16"/>
  <c r="BE19" i="16"/>
  <c r="BF19" i="16"/>
  <c r="BG19" i="16"/>
  <c r="BH34" i="16"/>
  <c r="BH33" i="16"/>
  <c r="BG33" i="16"/>
  <c r="BH32" i="16"/>
  <c r="BH26" i="16"/>
  <c r="BH28" i="16" s="1"/>
  <c r="BH29" i="16" s="1"/>
  <c r="BG23" i="16"/>
  <c r="BF23" i="16"/>
  <c r="BF24" i="16" s="1"/>
  <c r="BE23" i="16"/>
  <c r="BE24" i="16" s="1"/>
  <c r="BD23" i="16"/>
  <c r="BD24" i="16" s="1"/>
  <c r="BH24" i="16"/>
  <c r="BH23" i="16"/>
  <c r="BD19" i="16"/>
  <c r="BD17" i="16"/>
  <c r="BH19" i="16"/>
  <c r="BH17" i="16"/>
  <c r="BH10" i="16"/>
  <c r="BG10" i="16"/>
  <c r="BG17" i="16" s="1"/>
  <c r="BD33" i="16"/>
  <c r="K5" i="1"/>
  <c r="BF33" i="16"/>
  <c r="BE33" i="16"/>
  <c r="BB25" i="16"/>
  <c r="BC33" i="16"/>
  <c r="BC25" i="16"/>
  <c r="BC23" i="16"/>
  <c r="BC10" i="16"/>
  <c r="BC17" i="16" s="1"/>
  <c r="CA20" i="16"/>
  <c r="CA16" i="16"/>
  <c r="CB16" i="16" s="1"/>
  <c r="CD16" i="16" s="1"/>
  <c r="CE16" i="16" s="1"/>
  <c r="CF16" i="16" s="1"/>
  <c r="CG16" i="16" s="1"/>
  <c r="CH16" i="16" s="1"/>
  <c r="CA14" i="16"/>
  <c r="CB14" i="16" s="1"/>
  <c r="CA13" i="16"/>
  <c r="CB13" i="16" s="1"/>
  <c r="CD13" i="16" s="1"/>
  <c r="CE13" i="16" s="1"/>
  <c r="CF13" i="16" s="1"/>
  <c r="CG13" i="16" s="1"/>
  <c r="CH13" i="16" s="1"/>
  <c r="CA12" i="16"/>
  <c r="CB12" i="16" s="1"/>
  <c r="CD12" i="16" s="1"/>
  <c r="CE12" i="16" s="1"/>
  <c r="CF12" i="16" s="1"/>
  <c r="CG12" i="16" s="1"/>
  <c r="CH12" i="16" s="1"/>
  <c r="CA11" i="16"/>
  <c r="CA7" i="16"/>
  <c r="CA6" i="16"/>
  <c r="CA5" i="16"/>
  <c r="BR10" i="16"/>
  <c r="BT10" i="16"/>
  <c r="BS10" i="16"/>
  <c r="CA9" i="16"/>
  <c r="CB9" i="16" s="1"/>
  <c r="CA30" i="16"/>
  <c r="CB30" i="16" s="1"/>
  <c r="CD30" i="16" s="1"/>
  <c r="CE30" i="16" s="1"/>
  <c r="CF30" i="16" s="1"/>
  <c r="CG30" i="16" s="1"/>
  <c r="CH30" i="16" s="1"/>
  <c r="CA21" i="16"/>
  <c r="BA33" i="16"/>
  <c r="AZ33" i="16"/>
  <c r="AY33" i="16"/>
  <c r="AX33" i="16"/>
  <c r="BB33" i="16"/>
  <c r="AT25" i="16"/>
  <c r="AT23" i="16"/>
  <c r="AX25" i="16"/>
  <c r="AX23" i="16"/>
  <c r="AS17" i="16"/>
  <c r="AR17" i="16"/>
  <c r="AQ17" i="16"/>
  <c r="AV25" i="16"/>
  <c r="AZ25" i="16"/>
  <c r="AV23" i="16"/>
  <c r="AZ23" i="16"/>
  <c r="AZ10" i="16"/>
  <c r="AZ17" i="16" s="1"/>
  <c r="AY10" i="16"/>
  <c r="AX10" i="16"/>
  <c r="AX17" i="16" s="1"/>
  <c r="AX19" i="16" s="1"/>
  <c r="AX34" i="16" s="1"/>
  <c r="AW10" i="16"/>
  <c r="AW17" i="16" s="1"/>
  <c r="AW19" i="16" s="1"/>
  <c r="AW34" i="16" s="1"/>
  <c r="AV10" i="16"/>
  <c r="AV17" i="16" s="1"/>
  <c r="AV19" i="16" s="1"/>
  <c r="AV34" i="16" s="1"/>
  <c r="AU10" i="16"/>
  <c r="AT10" i="16"/>
  <c r="AT17" i="16" s="1"/>
  <c r="AT19" i="16" s="1"/>
  <c r="AT34" i="16" s="1"/>
  <c r="AW25" i="16"/>
  <c r="BA25" i="16"/>
  <c r="AW23" i="16"/>
  <c r="BA23" i="16"/>
  <c r="BA10" i="16"/>
  <c r="BA17" i="16" s="1"/>
  <c r="CD14" i="16" l="1"/>
  <c r="CE14" i="16" s="1"/>
  <c r="CF14" i="16" s="1"/>
  <c r="CG14" i="16" s="1"/>
  <c r="CH14" i="16" s="1"/>
  <c r="BI24" i="16"/>
  <c r="BI26" i="16" s="1"/>
  <c r="BI28" i="16" s="1"/>
  <c r="BI29" i="16" s="1"/>
  <c r="BI34" i="16"/>
  <c r="BG24" i="16"/>
  <c r="BG26" i="16" s="1"/>
  <c r="BG28" i="16" s="1"/>
  <c r="BG29" i="16" s="1"/>
  <c r="BG34" i="16"/>
  <c r="BG32" i="16"/>
  <c r="BD10" i="16"/>
  <c r="BD32" i="16" s="1"/>
  <c r="BF10" i="16"/>
  <c r="BF17" i="16" s="1"/>
  <c r="BE10" i="16"/>
  <c r="BE17" i="16" s="1"/>
  <c r="BC19" i="16"/>
  <c r="CD4" i="16"/>
  <c r="CE4" i="16" s="1"/>
  <c r="CF4" i="16" s="1"/>
  <c r="CG4" i="16" s="1"/>
  <c r="CH4" i="16" s="1"/>
  <c r="CA10" i="16"/>
  <c r="CA17" i="16" s="1"/>
  <c r="CB21" i="16"/>
  <c r="CC21" i="16" s="1"/>
  <c r="CD21" i="16" s="1"/>
  <c r="CE21" i="16" s="1"/>
  <c r="CF21" i="16" s="1"/>
  <c r="CG21" i="16" s="1"/>
  <c r="CH21" i="16" s="1"/>
  <c r="CA23" i="16"/>
  <c r="CB33" i="16"/>
  <c r="CB10" i="16"/>
  <c r="CD6" i="16"/>
  <c r="CE6" i="16" s="1"/>
  <c r="CF6" i="16" s="1"/>
  <c r="CG6" i="16" s="1"/>
  <c r="CH6" i="16" s="1"/>
  <c r="BB23" i="16"/>
  <c r="CD5" i="16"/>
  <c r="CE5" i="16" s="1"/>
  <c r="CF5" i="16" s="1"/>
  <c r="CG5" i="16" s="1"/>
  <c r="CH5" i="16" s="1"/>
  <c r="CD7" i="16"/>
  <c r="BB10" i="16"/>
  <c r="BB17" i="16" s="1"/>
  <c r="BB19" i="16" s="1"/>
  <c r="BA32" i="16"/>
  <c r="AZ19" i="16"/>
  <c r="AZ32" i="16"/>
  <c r="AV24" i="16"/>
  <c r="AV26" i="16" s="1"/>
  <c r="AV28" i="16" s="1"/>
  <c r="AV29" i="16" s="1"/>
  <c r="AX32" i="16"/>
  <c r="AT24" i="16"/>
  <c r="AT26" i="16" s="1"/>
  <c r="AT28" i="16" s="1"/>
  <c r="AT29" i="16" s="1"/>
  <c r="AX24" i="16"/>
  <c r="AX26" i="16" s="1"/>
  <c r="AX28" i="16" s="1"/>
  <c r="AX29" i="16" s="1"/>
  <c r="AW24" i="16"/>
  <c r="AW26" i="16" s="1"/>
  <c r="AW28" i="16" s="1"/>
  <c r="AW29" i="16" s="1"/>
  <c r="BA19" i="16"/>
  <c r="AY17" i="16"/>
  <c r="BC32" i="16" s="1"/>
  <c r="AU17" i="16"/>
  <c r="AU19" i="16" s="1"/>
  <c r="AU34" i="16" s="1"/>
  <c r="AY88" i="16"/>
  <c r="AY82" i="16"/>
  <c r="AY77" i="16"/>
  <c r="AY78" i="16" s="1"/>
  <c r="AY66" i="16"/>
  <c r="AY57" i="16"/>
  <c r="AY55" i="16"/>
  <c r="AY61" i="16" s="1"/>
  <c r="AY67" i="16" s="1"/>
  <c r="AY44" i="16"/>
  <c r="AY46" i="16"/>
  <c r="AY39" i="16"/>
  <c r="AY49" i="16" s="1"/>
  <c r="AU25" i="16"/>
  <c r="AU23" i="16"/>
  <c r="AY25" i="16"/>
  <c r="AY23" i="16"/>
  <c r="BD34" i="16" l="1"/>
  <c r="BF32" i="16"/>
  <c r="BE32" i="16"/>
  <c r="BC34" i="16"/>
  <c r="BC24" i="16"/>
  <c r="BC26" i="16" s="1"/>
  <c r="BC28" i="16" s="1"/>
  <c r="BC29" i="16" s="1"/>
  <c r="BB32" i="16"/>
  <c r="BB34" i="16"/>
  <c r="CD9" i="16"/>
  <c r="CD10" i="16" s="1"/>
  <c r="CC33" i="16"/>
  <c r="CE7" i="16"/>
  <c r="AZ34" i="16"/>
  <c r="AZ24" i="16"/>
  <c r="AZ26" i="16" s="1"/>
  <c r="AZ28" i="16" s="1"/>
  <c r="AZ29" i="16" s="1"/>
  <c r="BA34" i="16"/>
  <c r="BA24" i="16"/>
  <c r="BA26" i="16" s="1"/>
  <c r="BA28" i="16" s="1"/>
  <c r="BA29" i="16" s="1"/>
  <c r="AY19" i="16"/>
  <c r="AY24" i="16" s="1"/>
  <c r="AY26" i="16" s="1"/>
  <c r="AY28" i="16" s="1"/>
  <c r="AY29" i="16" s="1"/>
  <c r="AY90" i="16"/>
  <c r="AY32" i="16"/>
  <c r="AU24" i="16"/>
  <c r="AU26" i="16" s="1"/>
  <c r="AU28" i="16" s="1"/>
  <c r="AU29" i="16" s="1"/>
  <c r="BQ11" i="16"/>
  <c r="L25" i="16"/>
  <c r="L59" i="16"/>
  <c r="L56" i="16"/>
  <c r="L44" i="16"/>
  <c r="L39" i="16"/>
  <c r="K25" i="16"/>
  <c r="K23" i="16"/>
  <c r="L23" i="16"/>
  <c r="K17" i="16"/>
  <c r="K19" i="16" s="1"/>
  <c r="L17" i="16"/>
  <c r="L19" i="16" s="1"/>
  <c r="K66" i="16"/>
  <c r="L66" i="16"/>
  <c r="K56" i="16"/>
  <c r="K59" i="16"/>
  <c r="K39" i="16"/>
  <c r="K49" i="16" s="1"/>
  <c r="BP66" i="16"/>
  <c r="BP59" i="16"/>
  <c r="BP56" i="16"/>
  <c r="BP39" i="16"/>
  <c r="BP49" i="16" s="1"/>
  <c r="J66" i="16"/>
  <c r="J59" i="16"/>
  <c r="J56" i="16"/>
  <c r="J39" i="16"/>
  <c r="J49" i="16" s="1"/>
  <c r="BD26" i="16" l="1"/>
  <c r="BD28" i="16" s="1"/>
  <c r="BD29" i="16" s="1"/>
  <c r="BB24" i="16"/>
  <c r="BB26" i="16" s="1"/>
  <c r="BB28" i="16" s="1"/>
  <c r="BB29" i="16" s="1"/>
  <c r="CE9" i="16"/>
  <c r="CD33" i="16"/>
  <c r="CE10" i="16"/>
  <c r="CF7" i="16"/>
  <c r="AY34" i="16"/>
  <c r="AY69" i="16"/>
  <c r="J61" i="16"/>
  <c r="J67" i="16" s="1"/>
  <c r="L61" i="16"/>
  <c r="L67" i="16" s="1"/>
  <c r="BP61" i="16"/>
  <c r="BP67" i="16" s="1"/>
  <c r="K24" i="16"/>
  <c r="K26" i="16" s="1"/>
  <c r="K28" i="16" s="1"/>
  <c r="K29" i="16" s="1"/>
  <c r="K61" i="16"/>
  <c r="K67" i="16" s="1"/>
  <c r="BP38" i="16"/>
  <c r="L49" i="16"/>
  <c r="L24" i="16"/>
  <c r="L26" i="16" s="1"/>
  <c r="L28" i="16" s="1"/>
  <c r="L29" i="16" s="1"/>
  <c r="BP25" i="16"/>
  <c r="BP17" i="16"/>
  <c r="BP19" i="16" s="1"/>
  <c r="BP23" i="16"/>
  <c r="J25" i="16"/>
  <c r="J23" i="16"/>
  <c r="J17" i="16"/>
  <c r="J19" i="16" s="1"/>
  <c r="CF9" i="16" l="1"/>
  <c r="CF10" i="16" s="1"/>
  <c r="CE33" i="16"/>
  <c r="CG7" i="16"/>
  <c r="J24" i="16"/>
  <c r="J26" i="16" s="1"/>
  <c r="J28" i="16" s="1"/>
  <c r="J29" i="16" s="1"/>
  <c r="BP24" i="16"/>
  <c r="BP26" i="16" s="1"/>
  <c r="BP28" i="16" s="1"/>
  <c r="BQ21" i="16"/>
  <c r="BR21" i="16" s="1"/>
  <c r="BS21" i="16" s="1"/>
  <c r="K4" i="1"/>
  <c r="K7" i="1" s="1"/>
  <c r="CG9" i="16" l="1"/>
  <c r="CF33" i="16"/>
  <c r="CH7" i="16"/>
  <c r="CG10" i="16"/>
  <c r="BT23" i="16"/>
  <c r="BQ3" i="16"/>
  <c r="BQ5" i="16" s="1"/>
  <c r="CG33" i="16" l="1"/>
  <c r="CH9" i="16"/>
  <c r="CH33" i="16" s="1"/>
  <c r="CC23" i="16"/>
  <c r="CB23" i="16"/>
  <c r="CD23" i="16"/>
  <c r="CE23" i="16"/>
  <c r="F66" i="16"/>
  <c r="F59" i="16"/>
  <c r="F56" i="16"/>
  <c r="F40" i="16"/>
  <c r="F39" i="16"/>
  <c r="F30" i="16"/>
  <c r="F16" i="16"/>
  <c r="F18" i="16"/>
  <c r="F20" i="16"/>
  <c r="F21" i="16"/>
  <c r="F22" i="16"/>
  <c r="F27" i="16"/>
  <c r="F11" i="16"/>
  <c r="BO25" i="16"/>
  <c r="BO59" i="16"/>
  <c r="BO56" i="16"/>
  <c r="BO40" i="16"/>
  <c r="BO39" i="16"/>
  <c r="BN25" i="16"/>
  <c r="BM25" i="16"/>
  <c r="BM23" i="16"/>
  <c r="BN23" i="16"/>
  <c r="BO23" i="16"/>
  <c r="BQ23" i="16"/>
  <c r="BR23" i="16"/>
  <c r="BS23" i="16"/>
  <c r="BN17" i="16"/>
  <c r="BN19" i="16" s="1"/>
  <c r="BO17" i="16"/>
  <c r="BO19" i="16" s="1"/>
  <c r="BM17" i="16"/>
  <c r="BM19" i="16" s="1"/>
  <c r="BN66" i="16"/>
  <c r="BO66" i="16"/>
  <c r="BM66" i="16"/>
  <c r="BN59" i="16"/>
  <c r="BM59" i="16"/>
  <c r="BN56" i="16"/>
  <c r="BM56" i="16"/>
  <c r="BN39" i="16"/>
  <c r="BM39" i="16"/>
  <c r="BN40" i="16"/>
  <c r="C25" i="16"/>
  <c r="C59" i="16"/>
  <c r="C56" i="16"/>
  <c r="C40" i="16"/>
  <c r="C39" i="16"/>
  <c r="D25" i="16"/>
  <c r="D59" i="16"/>
  <c r="D56" i="16"/>
  <c r="D40" i="16"/>
  <c r="D39" i="16"/>
  <c r="E25" i="16"/>
  <c r="E59" i="16"/>
  <c r="E56" i="16"/>
  <c r="E40" i="16"/>
  <c r="E39" i="16"/>
  <c r="G25" i="16"/>
  <c r="G59" i="16"/>
  <c r="G56" i="16"/>
  <c r="G41" i="16"/>
  <c r="G39" i="16"/>
  <c r="H25" i="16"/>
  <c r="H59" i="16"/>
  <c r="H56" i="16"/>
  <c r="H40" i="16"/>
  <c r="H39" i="16"/>
  <c r="I25" i="16"/>
  <c r="D23" i="16"/>
  <c r="E23" i="16"/>
  <c r="G23" i="16"/>
  <c r="H23" i="16"/>
  <c r="I23" i="16"/>
  <c r="C23" i="16"/>
  <c r="D17" i="16"/>
  <c r="D19" i="16" s="1"/>
  <c r="E17" i="16"/>
  <c r="E19" i="16" s="1"/>
  <c r="G17" i="16"/>
  <c r="G19" i="16" s="1"/>
  <c r="H17" i="16"/>
  <c r="H19" i="16" s="1"/>
  <c r="I17" i="16"/>
  <c r="I19" i="16" s="1"/>
  <c r="C17" i="16"/>
  <c r="C19" i="16" s="1"/>
  <c r="D66" i="16"/>
  <c r="E66" i="16"/>
  <c r="G66" i="16"/>
  <c r="H66" i="16"/>
  <c r="I66" i="16"/>
  <c r="C66" i="16"/>
  <c r="I59" i="16"/>
  <c r="I56" i="16"/>
  <c r="I40" i="16"/>
  <c r="I39" i="16"/>
  <c r="BN2" i="16"/>
  <c r="BO2" i="16" s="1"/>
  <c r="BP2" i="16" s="1"/>
  <c r="BQ2" i="16" s="1"/>
  <c r="BR2" i="16" s="1"/>
  <c r="BS2" i="16" s="1"/>
  <c r="BT2" i="16" s="1"/>
  <c r="BU2" i="16" s="1"/>
  <c r="BV2" i="16" s="1"/>
  <c r="BW2" i="16" s="1"/>
  <c r="BX2" i="16" s="1"/>
  <c r="BY2" i="16" s="1"/>
  <c r="CH10" i="16" l="1"/>
  <c r="BM61" i="16"/>
  <c r="BM67" i="16" s="1"/>
  <c r="F49" i="16"/>
  <c r="CF23" i="16"/>
  <c r="H49" i="16"/>
  <c r="E61" i="16"/>
  <c r="C49" i="16"/>
  <c r="BM49" i="16"/>
  <c r="BM38" i="16"/>
  <c r="BO49" i="16"/>
  <c r="BO38" i="16"/>
  <c r="I49" i="16"/>
  <c r="BN49" i="16"/>
  <c r="BN38" i="16"/>
  <c r="F23" i="16"/>
  <c r="F19" i="16"/>
  <c r="F25" i="16"/>
  <c r="H61" i="16"/>
  <c r="H67" i="16" s="1"/>
  <c r="G49" i="16"/>
  <c r="E49" i="16"/>
  <c r="C61" i="16"/>
  <c r="C67" i="16" s="1"/>
  <c r="I61" i="16"/>
  <c r="I67" i="16" s="1"/>
  <c r="D49" i="16"/>
  <c r="BO61" i="16"/>
  <c r="BO67" i="16" s="1"/>
  <c r="F61" i="16"/>
  <c r="F67" i="16" s="1"/>
  <c r="I24" i="16"/>
  <c r="I26" i="16" s="1"/>
  <c r="I28" i="16" s="1"/>
  <c r="I29" i="16" s="1"/>
  <c r="BN61" i="16"/>
  <c r="BN67" i="16" s="1"/>
  <c r="D61" i="16"/>
  <c r="D67" i="16" s="1"/>
  <c r="F17" i="16"/>
  <c r="BO24" i="16"/>
  <c r="BN24" i="16"/>
  <c r="BN26" i="16" s="1"/>
  <c r="BN28" i="16" s="1"/>
  <c r="BN29" i="16" s="1"/>
  <c r="BM24" i="16"/>
  <c r="BM26" i="16" s="1"/>
  <c r="BM28" i="16" s="1"/>
  <c r="BM29" i="16" s="1"/>
  <c r="G61" i="16"/>
  <c r="G67" i="16" s="1"/>
  <c r="C24" i="16"/>
  <c r="C26" i="16" s="1"/>
  <c r="C28" i="16" s="1"/>
  <c r="C29" i="16" s="1"/>
  <c r="D24" i="16"/>
  <c r="D26" i="16" s="1"/>
  <c r="D28" i="16" s="1"/>
  <c r="D29" i="16" s="1"/>
  <c r="E24" i="16"/>
  <c r="E26" i="16" s="1"/>
  <c r="E28" i="16" s="1"/>
  <c r="E29" i="16" s="1"/>
  <c r="E67" i="16"/>
  <c r="G24" i="16"/>
  <c r="G26" i="16" s="1"/>
  <c r="G28" i="16" s="1"/>
  <c r="G29" i="16" s="1"/>
  <c r="H24" i="16"/>
  <c r="H26" i="16" s="1"/>
  <c r="H28" i="16" s="1"/>
  <c r="H29" i="16" s="1"/>
  <c r="F29" i="13"/>
  <c r="CH23" i="16" l="1"/>
  <c r="CG23" i="16"/>
  <c r="BP29" i="16"/>
  <c r="BO26" i="16"/>
  <c r="F24" i="16"/>
  <c r="Q21" i="13"/>
  <c r="R21" i="13" s="1"/>
  <c r="S21" i="13" s="1"/>
  <c r="T21" i="13" s="1"/>
  <c r="U21" i="13" s="1"/>
  <c r="V21" i="13" s="1"/>
  <c r="W21" i="13" s="1"/>
  <c r="X21" i="13" s="1"/>
  <c r="Y21" i="13" s="1"/>
  <c r="Z21" i="13" s="1"/>
  <c r="Q20" i="13"/>
  <c r="R20" i="13" s="1"/>
  <c r="H34" i="13"/>
  <c r="I34" i="13" s="1"/>
  <c r="J34" i="13" s="1"/>
  <c r="G34" i="13"/>
  <c r="G26" i="13"/>
  <c r="J15" i="13"/>
  <c r="I15" i="13"/>
  <c r="H15" i="13"/>
  <c r="G15" i="13"/>
  <c r="N8" i="13"/>
  <c r="M8" i="13"/>
  <c r="L8" i="13"/>
  <c r="Z5" i="13"/>
  <c r="L12" i="13"/>
  <c r="L14" i="13" s="1"/>
  <c r="L16" i="13" s="1"/>
  <c r="J13" i="13"/>
  <c r="I13" i="13"/>
  <c r="H13" i="13"/>
  <c r="G13" i="13"/>
  <c r="P13" i="13"/>
  <c r="Q13" i="13" s="1"/>
  <c r="R13" i="13" s="1"/>
  <c r="M9" i="13"/>
  <c r="X5" i="13"/>
  <c r="P7" i="13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H7" i="13"/>
  <c r="L10" i="13"/>
  <c r="L4" i="13"/>
  <c r="M3" i="13"/>
  <c r="M4" i="13" s="1"/>
  <c r="N58" i="13"/>
  <c r="N57" i="13"/>
  <c r="N42" i="13"/>
  <c r="N40" i="13"/>
  <c r="N39" i="13"/>
  <c r="N56" i="13"/>
  <c r="N55" i="13"/>
  <c r="N53" i="13"/>
  <c r="N52" i="13"/>
  <c r="N51" i="13"/>
  <c r="N50" i="13"/>
  <c r="N49" i="13"/>
  <c r="N45" i="13"/>
  <c r="N44" i="13"/>
  <c r="N43" i="13"/>
  <c r="N38" i="13"/>
  <c r="N37" i="13"/>
  <c r="F80" i="13"/>
  <c r="F75" i="13"/>
  <c r="F64" i="13"/>
  <c r="N31" i="13"/>
  <c r="N26" i="13"/>
  <c r="N24" i="13"/>
  <c r="D73" i="13"/>
  <c r="E73" i="13" s="1"/>
  <c r="N73" i="13" s="1"/>
  <c r="D79" i="13"/>
  <c r="E79" i="13" s="1"/>
  <c r="N79" i="13" s="1"/>
  <c r="D78" i="13"/>
  <c r="E78" i="13" s="1"/>
  <c r="N78" i="13" s="1"/>
  <c r="D77" i="13"/>
  <c r="D76" i="13"/>
  <c r="E76" i="13" s="1"/>
  <c r="D74" i="13"/>
  <c r="D72" i="13"/>
  <c r="E72" i="13" s="1"/>
  <c r="N72" i="13" s="1"/>
  <c r="D69" i="13"/>
  <c r="E69" i="13" s="1"/>
  <c r="D68" i="13"/>
  <c r="E68" i="13" s="1"/>
  <c r="D67" i="13"/>
  <c r="E67" i="13" s="1"/>
  <c r="N68" i="13" s="1"/>
  <c r="D66" i="13"/>
  <c r="E66" i="13" s="1"/>
  <c r="D65" i="13"/>
  <c r="D64" i="13"/>
  <c r="E64" i="13" s="1"/>
  <c r="N64" i="13" s="1"/>
  <c r="C80" i="13"/>
  <c r="C75" i="13"/>
  <c r="C70" i="13"/>
  <c r="D70" i="13" s="1"/>
  <c r="E70" i="13" s="1"/>
  <c r="N70" i="13" s="1"/>
  <c r="M79" i="13"/>
  <c r="M80" i="13" s="1"/>
  <c r="M75" i="13"/>
  <c r="M73" i="13"/>
  <c r="M70" i="13"/>
  <c r="M69" i="13"/>
  <c r="M68" i="13"/>
  <c r="G25" i="13"/>
  <c r="F22" i="13"/>
  <c r="F23" i="13" s="1"/>
  <c r="G21" i="13"/>
  <c r="G20" i="13"/>
  <c r="M29" i="13"/>
  <c r="L29" i="13"/>
  <c r="M54" i="13"/>
  <c r="M59" i="13" s="1"/>
  <c r="M61" i="13" s="1"/>
  <c r="M41" i="13"/>
  <c r="M46" i="13" s="1"/>
  <c r="L54" i="13"/>
  <c r="L59" i="13"/>
  <c r="L61" i="13" s="1"/>
  <c r="L41" i="13"/>
  <c r="L46" i="13" s="1"/>
  <c r="C29" i="13"/>
  <c r="C27" i="13"/>
  <c r="C23" i="13"/>
  <c r="C28" i="13" s="1"/>
  <c r="C30" i="13" s="1"/>
  <c r="C32" i="13" s="1"/>
  <c r="C33" i="13" s="1"/>
  <c r="C54" i="13"/>
  <c r="C59" i="13" s="1"/>
  <c r="C61" i="13" s="1"/>
  <c r="C41" i="13"/>
  <c r="C46" i="13" s="1"/>
  <c r="D29" i="13"/>
  <c r="D27" i="13"/>
  <c r="D23" i="13"/>
  <c r="D54" i="13"/>
  <c r="D59" i="13" s="1"/>
  <c r="D61" i="13" s="1"/>
  <c r="D41" i="13"/>
  <c r="D46" i="13" s="1"/>
  <c r="E29" i="13"/>
  <c r="E27" i="13"/>
  <c r="E23" i="13"/>
  <c r="E28" i="13" s="1"/>
  <c r="E30" i="13" s="1"/>
  <c r="E32" i="13" s="1"/>
  <c r="E54" i="13"/>
  <c r="E59" i="13" s="1"/>
  <c r="E61" i="13" s="1"/>
  <c r="E41" i="13"/>
  <c r="E46" i="13" s="1"/>
  <c r="M2" i="13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D28" i="13"/>
  <c r="N54" i="13"/>
  <c r="F27" i="13"/>
  <c r="N48" i="13"/>
  <c r="E77" i="13"/>
  <c r="N77" i="13" s="1"/>
  <c r="N21" i="13"/>
  <c r="N20" i="13"/>
  <c r="N66" i="13" l="1"/>
  <c r="N67" i="13"/>
  <c r="D30" i="13"/>
  <c r="D32" i="13" s="1"/>
  <c r="BS17" i="16"/>
  <c r="BS18" i="16" s="1"/>
  <c r="BO28" i="16"/>
  <c r="F26" i="16"/>
  <c r="D33" i="13"/>
  <c r="D63" i="13"/>
  <c r="D71" i="13" s="1"/>
  <c r="M10" i="13"/>
  <c r="D75" i="13"/>
  <c r="N3" i="13"/>
  <c r="O3" i="13" s="1"/>
  <c r="O34" i="13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D80" i="13"/>
  <c r="F28" i="13"/>
  <c r="F30" i="13" s="1"/>
  <c r="F32" i="13" s="1"/>
  <c r="F63" i="13" s="1"/>
  <c r="F71" i="13" s="1"/>
  <c r="F81" i="13" s="1"/>
  <c r="E33" i="13"/>
  <c r="E63" i="13"/>
  <c r="H21" i="13"/>
  <c r="I21" i="13" s="1"/>
  <c r="J21" i="13" s="1"/>
  <c r="E80" i="13"/>
  <c r="N76" i="13"/>
  <c r="N80" i="13" s="1"/>
  <c r="C63" i="13"/>
  <c r="C71" i="13" s="1"/>
  <c r="C81" i="13" s="1"/>
  <c r="G29" i="13"/>
  <c r="N29" i="13"/>
  <c r="H20" i="13"/>
  <c r="E65" i="13"/>
  <c r="N65" i="13" s="1"/>
  <c r="E74" i="13"/>
  <c r="E75" i="13" s="1"/>
  <c r="L22" i="13"/>
  <c r="S20" i="13"/>
  <c r="N59" i="13"/>
  <c r="N25" i="13"/>
  <c r="N27" i="13" s="1"/>
  <c r="N69" i="13"/>
  <c r="H25" i="13"/>
  <c r="I25" i="13" s="1"/>
  <c r="J25" i="13" s="1"/>
  <c r="M12" i="13"/>
  <c r="M14" i="13" s="1"/>
  <c r="M16" i="13" s="1"/>
  <c r="M22" i="13" s="1"/>
  <c r="N9" i="13"/>
  <c r="S13" i="13"/>
  <c r="H26" i="13"/>
  <c r="I26" i="13" s="1"/>
  <c r="J26" i="13" s="1"/>
  <c r="D81" i="13" l="1"/>
  <c r="BT17" i="16"/>
  <c r="BT18" i="16" s="1"/>
  <c r="BS19" i="16"/>
  <c r="BS24" i="16" s="1"/>
  <c r="BS26" i="16" s="1"/>
  <c r="BS28" i="16" s="1"/>
  <c r="BS29" i="16" s="1"/>
  <c r="BO29" i="16"/>
  <c r="F28" i="16"/>
  <c r="F29" i="16" s="1"/>
  <c r="N10" i="13"/>
  <c r="N4" i="13"/>
  <c r="F33" i="13"/>
  <c r="O21" i="13"/>
  <c r="M24" i="13"/>
  <c r="M27" i="13" s="1"/>
  <c r="M23" i="13"/>
  <c r="M28" i="13" s="1"/>
  <c r="M30" i="13" s="1"/>
  <c r="M32" i="13" s="1"/>
  <c r="N74" i="13"/>
  <c r="N75" i="13" s="1"/>
  <c r="O25" i="13"/>
  <c r="P25" i="13" s="1"/>
  <c r="T20" i="13"/>
  <c r="L23" i="13"/>
  <c r="L24" i="13"/>
  <c r="L27" i="13" s="1"/>
  <c r="T13" i="13"/>
  <c r="O4" i="13"/>
  <c r="G3" i="13"/>
  <c r="O10" i="13"/>
  <c r="J3" i="13"/>
  <c r="P3" i="13"/>
  <c r="H3" i="13"/>
  <c r="I3" i="13"/>
  <c r="N12" i="13"/>
  <c r="N14" i="13" s="1"/>
  <c r="N16" i="13" s="1"/>
  <c r="N22" i="13" s="1"/>
  <c r="N23" i="13" s="1"/>
  <c r="N28" i="13" s="1"/>
  <c r="N30" i="13" s="1"/>
  <c r="N32" i="13" s="1"/>
  <c r="O9" i="13"/>
  <c r="O26" i="13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I20" i="13"/>
  <c r="H29" i="13"/>
  <c r="I29" i="13" s="1"/>
  <c r="J29" i="13" s="1"/>
  <c r="E71" i="13"/>
  <c r="E81" i="13" s="1"/>
  <c r="BT19" i="16" l="1"/>
  <c r="BT24" i="16" s="1"/>
  <c r="BT26" i="16" s="1"/>
  <c r="BT28" i="16" s="1"/>
  <c r="L28" i="13"/>
  <c r="L30" i="13" s="1"/>
  <c r="L32" i="13" s="1"/>
  <c r="L33" i="13" s="1"/>
  <c r="O29" i="13"/>
  <c r="P29" i="13" s="1"/>
  <c r="Q29" i="13" s="1"/>
  <c r="N63" i="13"/>
  <c r="N71" i="13" s="1"/>
  <c r="N81" i="13" s="1"/>
  <c r="N33" i="13"/>
  <c r="U13" i="13"/>
  <c r="J10" i="13"/>
  <c r="J12" i="13" s="1"/>
  <c r="J14" i="13" s="1"/>
  <c r="J16" i="13" s="1"/>
  <c r="I10" i="13"/>
  <c r="I12" i="13" s="1"/>
  <c r="I14" i="13" s="1"/>
  <c r="I16" i="13" s="1"/>
  <c r="H10" i="13"/>
  <c r="H12" i="13" s="1"/>
  <c r="H14" i="13" s="1"/>
  <c r="H16" i="13" s="1"/>
  <c r="G10" i="13"/>
  <c r="G12" i="13" s="1"/>
  <c r="G14" i="13" s="1"/>
  <c r="G16" i="13" s="1"/>
  <c r="J20" i="13"/>
  <c r="O20" i="13" s="1"/>
  <c r="U20" i="13"/>
  <c r="M63" i="13"/>
  <c r="M71" i="13" s="1"/>
  <c r="M81" i="13" s="1"/>
  <c r="M83" i="13" s="1"/>
  <c r="M33" i="13"/>
  <c r="J9" i="13"/>
  <c r="I9" i="13"/>
  <c r="P9" i="13"/>
  <c r="H9" i="13"/>
  <c r="O12" i="13"/>
  <c r="O14" i="13" s="1"/>
  <c r="O16" i="13" s="1"/>
  <c r="G9" i="13"/>
  <c r="P4" i="13"/>
  <c r="P10" i="13"/>
  <c r="P6" i="13"/>
  <c r="P8" i="13" s="1"/>
  <c r="Q3" i="13"/>
  <c r="I4" i="13"/>
  <c r="G4" i="13"/>
  <c r="J4" i="13"/>
  <c r="H4" i="13"/>
  <c r="R25" i="13"/>
  <c r="S25" i="13" s="1"/>
  <c r="T25" i="13" s="1"/>
  <c r="U25" i="13" s="1"/>
  <c r="V25" i="13" s="1"/>
  <c r="W25" i="13" s="1"/>
  <c r="X25" i="13" s="1"/>
  <c r="Y25" i="13" s="1"/>
  <c r="Q25" i="13"/>
  <c r="BT29" i="16" l="1"/>
  <c r="I8" i="13"/>
  <c r="I6" i="13"/>
  <c r="Q9" i="13"/>
  <c r="P12" i="13"/>
  <c r="P14" i="13" s="1"/>
  <c r="P16" i="13" s="1"/>
  <c r="P22" i="13" s="1"/>
  <c r="J8" i="13"/>
  <c r="J6" i="13"/>
  <c r="V20" i="13"/>
  <c r="G8" i="13"/>
  <c r="G6" i="13"/>
  <c r="V13" i="13"/>
  <c r="C82" i="13"/>
  <c r="C83" i="13" s="1"/>
  <c r="D82" i="13" s="1"/>
  <c r="D83" i="13" s="1"/>
  <c r="E82" i="13" s="1"/>
  <c r="E83" i="13" s="1"/>
  <c r="F82" i="13" s="1"/>
  <c r="F83" i="13" s="1"/>
  <c r="N82" i="13"/>
  <c r="N83" i="13" s="1"/>
  <c r="H8" i="13"/>
  <c r="H6" i="13"/>
  <c r="Q4" i="13"/>
  <c r="Q6" i="13"/>
  <c r="Q8" i="13" s="1"/>
  <c r="Q10" i="13"/>
  <c r="R3" i="13"/>
  <c r="BQ7" i="16" l="1"/>
  <c r="O6" i="13"/>
  <c r="O5" i="13" s="1"/>
  <c r="O8" i="13"/>
  <c r="O22" i="13" s="1"/>
  <c r="O23" i="13" s="1"/>
  <c r="W13" i="13"/>
  <c r="W20" i="13"/>
  <c r="Q12" i="13"/>
  <c r="Q14" i="13" s="1"/>
  <c r="Q16" i="13" s="1"/>
  <c r="Q22" i="13" s="1"/>
  <c r="R9" i="13"/>
  <c r="P24" i="13"/>
  <c r="P27" i="13" s="1"/>
  <c r="P23" i="13"/>
  <c r="R6" i="13"/>
  <c r="R8" i="13" s="1"/>
  <c r="R4" i="13"/>
  <c r="R10" i="13"/>
  <c r="S3" i="13"/>
  <c r="N36" i="13"/>
  <c r="G24" i="13"/>
  <c r="G22" i="13"/>
  <c r="G23" i="13" s="1"/>
  <c r="J24" i="13"/>
  <c r="J27" i="13" s="1"/>
  <c r="J22" i="13"/>
  <c r="J23" i="13" s="1"/>
  <c r="I24" i="13"/>
  <c r="I27" i="13" s="1"/>
  <c r="I22" i="13"/>
  <c r="I23" i="13" s="1"/>
  <c r="H24" i="13"/>
  <c r="H27" i="13" s="1"/>
  <c r="H22" i="13"/>
  <c r="H23" i="13" s="1"/>
  <c r="BQ17" i="16" l="1"/>
  <c r="BQ18" i="16" s="1"/>
  <c r="BR17" i="16"/>
  <c r="BR18" i="16" s="1"/>
  <c r="Q24" i="13"/>
  <c r="Q27" i="13" s="1"/>
  <c r="Q23" i="13"/>
  <c r="X13" i="13"/>
  <c r="I28" i="13"/>
  <c r="I30" i="13" s="1"/>
  <c r="S6" i="13"/>
  <c r="S8" i="13" s="1"/>
  <c r="T3" i="13"/>
  <c r="S4" i="13"/>
  <c r="S10" i="13"/>
  <c r="P28" i="13"/>
  <c r="P30" i="13" s="1"/>
  <c r="O24" i="13"/>
  <c r="O27" i="13" s="1"/>
  <c r="O28" i="13" s="1"/>
  <c r="O30" i="13" s="1"/>
  <c r="G27" i="13"/>
  <c r="G28" i="13" s="1"/>
  <c r="G30" i="13" s="1"/>
  <c r="G32" i="13" s="1"/>
  <c r="G33" i="13" s="1"/>
  <c r="X20" i="13"/>
  <c r="H28" i="13"/>
  <c r="H30" i="13" s="1"/>
  <c r="J28" i="13"/>
  <c r="J30" i="13" s="1"/>
  <c r="N41" i="13"/>
  <c r="R12" i="13"/>
  <c r="R14" i="13" s="1"/>
  <c r="R16" i="13" s="1"/>
  <c r="R22" i="13" s="1"/>
  <c r="S9" i="13"/>
  <c r="Q28" i="13" l="1"/>
  <c r="Q30" i="13" s="1"/>
  <c r="BR19" i="16"/>
  <c r="BR24" i="16" s="1"/>
  <c r="BR26" i="16" s="1"/>
  <c r="BR28" i="16" s="1"/>
  <c r="BR29" i="16" s="1"/>
  <c r="BQ19" i="16"/>
  <c r="BQ24" i="16" s="1"/>
  <c r="BQ26" i="16" s="1"/>
  <c r="BQ28" i="16" s="1"/>
  <c r="R24" i="13"/>
  <c r="R27" i="13" s="1"/>
  <c r="R23" i="13"/>
  <c r="Y13" i="13"/>
  <c r="J31" i="13"/>
  <c r="J32" i="13" s="1"/>
  <c r="J33" i="13" s="1"/>
  <c r="I31" i="13"/>
  <c r="I32" i="13" s="1"/>
  <c r="I33" i="13" s="1"/>
  <c r="F61" i="13"/>
  <c r="N46" i="13"/>
  <c r="P31" i="13"/>
  <c r="P32" i="13" s="1"/>
  <c r="P33" i="13" s="1"/>
  <c r="Y20" i="13"/>
  <c r="Q31" i="13"/>
  <c r="Q32" i="13" s="1"/>
  <c r="Q33" i="13" s="1"/>
  <c r="T9" i="13"/>
  <c r="S12" i="13"/>
  <c r="S14" i="13" s="1"/>
  <c r="S16" i="13" s="1"/>
  <c r="S22" i="13" s="1"/>
  <c r="H31" i="13"/>
  <c r="H32" i="13"/>
  <c r="H33" i="13" s="1"/>
  <c r="T10" i="13"/>
  <c r="T6" i="13"/>
  <c r="T8" i="13" s="1"/>
  <c r="U3" i="13"/>
  <c r="T4" i="13"/>
  <c r="BQ38" i="16" l="1"/>
  <c r="BR38" i="16" s="1"/>
  <c r="BS38" i="16" s="1"/>
  <c r="BT38" i="16" s="1"/>
  <c r="BU38" i="16" s="1"/>
  <c r="BQ29" i="16"/>
  <c r="BQ65" i="16"/>
  <c r="BR65" i="16" s="1"/>
  <c r="BS65" i="16" s="1"/>
  <c r="BT65" i="16" s="1"/>
  <c r="BU65" i="16" s="1"/>
  <c r="BV65" i="16" s="1"/>
  <c r="BW65" i="16" s="1"/>
  <c r="S24" i="13"/>
  <c r="S27" i="13" s="1"/>
  <c r="S23" i="13"/>
  <c r="T12" i="13"/>
  <c r="T14" i="13" s="1"/>
  <c r="T16" i="13" s="1"/>
  <c r="T22" i="13" s="1"/>
  <c r="U9" i="13"/>
  <c r="Z20" i="13"/>
  <c r="N60" i="13"/>
  <c r="N61" i="13"/>
  <c r="R28" i="13"/>
  <c r="R30" i="13" s="1"/>
  <c r="Z13" i="13"/>
  <c r="U4" i="13"/>
  <c r="U10" i="13"/>
  <c r="U6" i="13"/>
  <c r="U8" i="13" s="1"/>
  <c r="V3" i="13"/>
  <c r="O31" i="13"/>
  <c r="O32" i="13" s="1"/>
  <c r="S28" i="13" l="1"/>
  <c r="S30" i="13" s="1"/>
  <c r="BX65" i="16"/>
  <c r="CA18" i="16"/>
  <c r="T24" i="13"/>
  <c r="T27" i="13" s="1"/>
  <c r="T23" i="13"/>
  <c r="V6" i="13"/>
  <c r="V8" i="13" s="1"/>
  <c r="V4" i="13"/>
  <c r="W3" i="13"/>
  <c r="V10" i="13"/>
  <c r="S31" i="13"/>
  <c r="S32" i="13" s="1"/>
  <c r="S33" i="13" s="1"/>
  <c r="R31" i="13"/>
  <c r="R32" i="13" s="1"/>
  <c r="O33" i="13"/>
  <c r="U12" i="13"/>
  <c r="U14" i="13" s="1"/>
  <c r="U16" i="13" s="1"/>
  <c r="U22" i="13" s="1"/>
  <c r="V9" i="13"/>
  <c r="T28" i="13" l="1"/>
  <c r="T30" i="13" s="1"/>
  <c r="BY64" i="16"/>
  <c r="CB17" i="16"/>
  <c r="CA19" i="16"/>
  <c r="U24" i="13"/>
  <c r="U27" i="13" s="1"/>
  <c r="U23" i="13"/>
  <c r="R33" i="13"/>
  <c r="T31" i="13"/>
  <c r="T32" i="13" s="1"/>
  <c r="T33" i="13" s="1"/>
  <c r="V12" i="13"/>
  <c r="V14" i="13" s="1"/>
  <c r="V16" i="13" s="1"/>
  <c r="V22" i="13" s="1"/>
  <c r="W9" i="13"/>
  <c r="W10" i="13"/>
  <c r="W6" i="13"/>
  <c r="W8" i="13" s="1"/>
  <c r="X3" i="13"/>
  <c r="W4" i="13"/>
  <c r="CA24" i="16" l="1"/>
  <c r="CA26" i="16" s="1"/>
  <c r="CA34" i="16"/>
  <c r="CB18" i="16"/>
  <c r="CB32" i="16"/>
  <c r="U28" i="13"/>
  <c r="U30" i="13" s="1"/>
  <c r="CC18" i="16"/>
  <c r="CB19" i="16"/>
  <c r="CB24" i="16" s="1"/>
  <c r="BZ64" i="16"/>
  <c r="V24" i="13"/>
  <c r="V27" i="13" s="1"/>
  <c r="V23" i="13"/>
  <c r="X6" i="13"/>
  <c r="X8" i="13" s="1"/>
  <c r="Y3" i="13"/>
  <c r="X4" i="13"/>
  <c r="X10" i="13"/>
  <c r="U31" i="13"/>
  <c r="U32" i="13" s="1"/>
  <c r="X9" i="13"/>
  <c r="W12" i="13"/>
  <c r="W14" i="13" s="1"/>
  <c r="W16" i="13" s="1"/>
  <c r="W22" i="13" s="1"/>
  <c r="CA27" i="16" l="1"/>
  <c r="CA28" i="16" s="1"/>
  <c r="CC32" i="16"/>
  <c r="CB26" i="16"/>
  <c r="CB34" i="16"/>
  <c r="CC19" i="16"/>
  <c r="CC24" i="16" s="1"/>
  <c r="CD17" i="16"/>
  <c r="V28" i="13"/>
  <c r="V30" i="13" s="1"/>
  <c r="U33" i="13"/>
  <c r="W24" i="13"/>
  <c r="W27" i="13" s="1"/>
  <c r="W23" i="13"/>
  <c r="V31" i="13"/>
  <c r="V32" i="13" s="1"/>
  <c r="Y9" i="13"/>
  <c r="X12" i="13"/>
  <c r="X14" i="13" s="1"/>
  <c r="X16" i="13" s="1"/>
  <c r="X22" i="13" s="1"/>
  <c r="Y10" i="13"/>
  <c r="Y6" i="13"/>
  <c r="Y8" i="13" s="1"/>
  <c r="Y4" i="13"/>
  <c r="Z3" i="13"/>
  <c r="CA29" i="16" l="1"/>
  <c r="CA65" i="16"/>
  <c r="CB27" i="16"/>
  <c r="CB28" i="16" s="1"/>
  <c r="CC26" i="16"/>
  <c r="CC34" i="16"/>
  <c r="CD18" i="16"/>
  <c r="CD19" i="16" s="1"/>
  <c r="CD24" i="16" s="1"/>
  <c r="CD32" i="16"/>
  <c r="CE17" i="16"/>
  <c r="W28" i="13"/>
  <c r="W30" i="13" s="1"/>
  <c r="V33" i="13"/>
  <c r="X24" i="13"/>
  <c r="X27" i="13" s="1"/>
  <c r="X23" i="13"/>
  <c r="W31" i="13"/>
  <c r="W32" i="13"/>
  <c r="W33" i="13" s="1"/>
  <c r="Z9" i="13"/>
  <c r="Z12" i="13" s="1"/>
  <c r="Z14" i="13" s="1"/>
  <c r="Z16" i="13" s="1"/>
  <c r="Y12" i="13"/>
  <c r="Y14" i="13" s="1"/>
  <c r="Y16" i="13" s="1"/>
  <c r="Y22" i="13" s="1"/>
  <c r="Z4" i="13"/>
  <c r="Z6" i="13"/>
  <c r="Z8" i="13" s="1"/>
  <c r="Z22" i="13" s="1"/>
  <c r="Z10" i="13"/>
  <c r="CB29" i="16" l="1"/>
  <c r="CB65" i="16"/>
  <c r="CC27" i="16"/>
  <c r="CC28" i="16" s="1"/>
  <c r="CD26" i="16"/>
  <c r="CD34" i="16"/>
  <c r="CE18" i="16"/>
  <c r="CE19" i="16" s="1"/>
  <c r="CE24" i="16" s="1"/>
  <c r="CE32" i="16"/>
  <c r="CF17" i="16"/>
  <c r="X28" i="13"/>
  <c r="X30" i="13" s="1"/>
  <c r="X31" i="13" s="1"/>
  <c r="X32" i="13" s="1"/>
  <c r="Y24" i="13"/>
  <c r="Y27" i="13" s="1"/>
  <c r="Y23" i="13"/>
  <c r="Z24" i="13"/>
  <c r="Z27" i="13" s="1"/>
  <c r="Z23" i="13"/>
  <c r="CC29" i="16" l="1"/>
  <c r="CC65" i="16"/>
  <c r="CD27" i="16"/>
  <c r="CD28" i="16" s="1"/>
  <c r="CF18" i="16"/>
  <c r="CF19" i="16" s="1"/>
  <c r="CF24" i="16" s="1"/>
  <c r="CF32" i="16"/>
  <c r="CE26" i="16"/>
  <c r="CE34" i="16"/>
  <c r="CG17" i="16"/>
  <c r="CH17" i="16"/>
  <c r="Z28" i="13"/>
  <c r="Z30" i="13" s="1"/>
  <c r="Z31" i="13" s="1"/>
  <c r="Y28" i="13"/>
  <c r="Y30" i="13" s="1"/>
  <c r="Y31" i="13" s="1"/>
  <c r="X33" i="13"/>
  <c r="CD29" i="16" l="1"/>
  <c r="CD65" i="16"/>
  <c r="CE27" i="16"/>
  <c r="CE28" i="16" s="1"/>
  <c r="CE29" i="16" s="1"/>
  <c r="CF26" i="16"/>
  <c r="CF34" i="16"/>
  <c r="CH18" i="16"/>
  <c r="CH19" i="16" s="1"/>
  <c r="CH24" i="16" s="1"/>
  <c r="CH32" i="16"/>
  <c r="CG18" i="16"/>
  <c r="CG19" i="16" s="1"/>
  <c r="CG24" i="16" s="1"/>
  <c r="CG32" i="16"/>
  <c r="Z32" i="13"/>
  <c r="Z33" i="13" s="1"/>
  <c r="Y32" i="13"/>
  <c r="Y33" i="13" s="1"/>
  <c r="AA32" i="13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BP32" i="13" s="1"/>
  <c r="BQ32" i="13" s="1"/>
  <c r="BR32" i="13" s="1"/>
  <c r="BS32" i="13" s="1"/>
  <c r="BT32" i="13" s="1"/>
  <c r="BU32" i="13" s="1"/>
  <c r="BV32" i="13" s="1"/>
  <c r="BW32" i="13" s="1"/>
  <c r="BX32" i="13" s="1"/>
  <c r="BY32" i="13" s="1"/>
  <c r="BZ32" i="13" s="1"/>
  <c r="CA32" i="13" s="1"/>
  <c r="CB32" i="13" s="1"/>
  <c r="CC32" i="13" s="1"/>
  <c r="CD32" i="13" s="1"/>
  <c r="CE32" i="13" s="1"/>
  <c r="CF32" i="13" s="1"/>
  <c r="CG32" i="13" s="1"/>
  <c r="CH32" i="13" s="1"/>
  <c r="CI32" i="13" s="1"/>
  <c r="CJ32" i="13" s="1"/>
  <c r="CK32" i="13" s="1"/>
  <c r="CL32" i="13" s="1"/>
  <c r="CM32" i="13" s="1"/>
  <c r="CN32" i="13" s="1"/>
  <c r="CO32" i="13" s="1"/>
  <c r="AC38" i="13" s="1"/>
  <c r="AC39" i="13" s="1"/>
  <c r="CF27" i="16" l="1"/>
  <c r="CF28" i="16" s="1"/>
  <c r="CF29" i="16" s="1"/>
  <c r="CE65" i="16"/>
  <c r="CG26" i="16"/>
  <c r="CG34" i="16"/>
  <c r="CH26" i="16"/>
  <c r="CH34" i="16"/>
  <c r="CG27" i="16" l="1"/>
  <c r="CG28" i="16" s="1"/>
  <c r="CG29" i="16" s="1"/>
  <c r="CH27" i="16"/>
  <c r="CH28" i="16" s="1"/>
  <c r="CI28" i="16" s="1"/>
  <c r="CJ28" i="16" s="1"/>
  <c r="CK28" i="16" s="1"/>
  <c r="CL28" i="16" s="1"/>
  <c r="CM28" i="16" s="1"/>
  <c r="CN28" i="16" s="1"/>
  <c r="CO28" i="16" s="1"/>
  <c r="CP28" i="16" s="1"/>
  <c r="CQ28" i="16" s="1"/>
  <c r="CR28" i="16" s="1"/>
  <c r="CS28" i="16" s="1"/>
  <c r="CT28" i="16" s="1"/>
  <c r="CU28" i="16" s="1"/>
  <c r="CV28" i="16" s="1"/>
  <c r="CW28" i="16" s="1"/>
  <c r="CX28" i="16" s="1"/>
  <c r="CY28" i="16" s="1"/>
  <c r="CZ28" i="16" s="1"/>
  <c r="DA28" i="16" s="1"/>
  <c r="DB28" i="16" s="1"/>
  <c r="DC28" i="16" s="1"/>
  <c r="DD28" i="16" s="1"/>
  <c r="DE28" i="16" s="1"/>
  <c r="DF28" i="16" s="1"/>
  <c r="DG28" i="16" s="1"/>
  <c r="DH28" i="16" s="1"/>
  <c r="DI28" i="16" s="1"/>
  <c r="DJ28" i="16" s="1"/>
  <c r="DK28" i="16" s="1"/>
  <c r="DL28" i="16" s="1"/>
  <c r="DM28" i="16" s="1"/>
  <c r="DN28" i="16" s="1"/>
  <c r="DO28" i="16" s="1"/>
  <c r="DP28" i="16" s="1"/>
  <c r="DQ28" i="16" s="1"/>
  <c r="DR28" i="16" s="1"/>
  <c r="DS28" i="16" s="1"/>
  <c r="DT28" i="16" s="1"/>
  <c r="DU28" i="16" s="1"/>
  <c r="DV28" i="16" s="1"/>
  <c r="DW28" i="16" s="1"/>
  <c r="DX28" i="16" s="1"/>
  <c r="DY28" i="16" s="1"/>
  <c r="DZ28" i="16" s="1"/>
  <c r="EA28" i="16" s="1"/>
  <c r="EB28" i="16" s="1"/>
  <c r="EC28" i="16" s="1"/>
  <c r="CH29" i="16" l="1"/>
  <c r="CL30" i="16"/>
  <c r="CM30" i="16" s="1"/>
  <c r="BZ48" i="16"/>
  <c r="BF26" i="16" l="1"/>
  <c r="BE26" i="16"/>
  <c r="BF34" i="16"/>
  <c r="BE34" i="16"/>
  <c r="BE28" i="16" l="1"/>
  <c r="BE29" i="16" s="1"/>
  <c r="BF28" i="16"/>
  <c r="BF29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SPA, Orphan Drug in both US &amp; EU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tc={49F84EA7-60E9-4A07-9687-5F73B3753E1C}</author>
    <author>tc={25129F1A-9EAA-4FD0-9F4A-A70EBC5AE74F}</author>
    <author>tc={04FE2A7F-DDC2-4FDA-A6AD-EA5A9527A019}</author>
    <author>Adam</author>
    <author>ARV</author>
    <author>tc={BA114B32-968D-4E6F-8674-2789D31ED391}</author>
    <author>tc={7413EC19-BA19-4CCC-9594-8B2A112953A1}</author>
    <author>tc={D53B09E1-7A11-47C4-8D54-4288AE7355A4}</author>
    <author>tc={FCFEDBA0-6902-4A7F-92C9-3140B839E47B}</author>
    <author>tc={79E616ED-05E5-4BD1-9850-F7A3D4BC4AC2}</author>
    <author>tc={9501135F-C97E-459E-9860-B0129BB24B00}</author>
  </authors>
  <commentList>
    <comment ref="AY4" authorId="0" shapeId="0" xr:uid="{49F84EA7-60E9-4A07-9687-5F73B3753E1C}">
      <text>
        <t>[Threaded comment]
Your version of Excel allows you to read this threaded comment; however, any edits to it will get removed if the file is opened in a newer version of Excel. Learn more: https://go.microsoft.com/fwlink/?linkid=870924
Comment:
    38k new patients treated</t>
      </text>
    </comment>
    <comment ref="CA9" authorId="1" shapeId="0" xr:uid="{25129F1A-9EAA-4FD0-9F4A-A70EBC5AE74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raised FY guidance to 2.33-2.40B</t>
      </text>
    </comment>
    <comment ref="CG9" authorId="2" shapeId="0" xr:uid="{04FE2A7F-DDC2-4FDA-A6AD-EA5A9527A019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12/27/27 COM expires</t>
      </text>
    </comment>
    <comment ref="J10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Shipped 4.9 mill in 2011.  Was only available for 6 weeks.  Total recgonized rev. was 2.3 mill (~12% gross to net), which represents ~240 pts on drug at end of 2011.
</t>
        </r>
      </text>
    </comment>
    <comment ref="BQ10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ARV:  </t>
        </r>
        <r>
          <rPr>
            <sz val="9"/>
            <color indexed="81"/>
            <rFont val="Tahoma"/>
            <family val="2"/>
          </rPr>
          <t>CEO (8/2/12) suggests 2012 sales between 120 and 135 mill.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1" authorId="5" shapeId="0" xr:uid="{BA114B32-968D-4E6F-8674-2789D31ED391}">
      <text>
        <t>[Threaded comment]
Your version of Excel allows you to read this threaded comment; however, any edits to it will get removed if the file is opened in a newer version of Excel. Learn more: https://go.microsoft.com/fwlink/?linkid=870924
Comment:
    110m gaap</t>
      </text>
    </comment>
    <comment ref="AV11" authorId="6" shapeId="0" xr:uid="{7413EC19-BA19-4CCC-9594-8B2A112953A1}">
      <text>
        <t>[Threaded comment]
Your version of Excel allows you to read this threaded comment; however, any edits to it will get removed if the file is opened in a newer version of Excel. Learn more: https://go.microsoft.com/fwlink/?linkid=870924
Comment:
    10m gaap</t>
      </text>
    </comment>
    <comment ref="AW11" authorId="7" shapeId="0" xr:uid="{D53B09E1-7A11-47C4-8D54-4288AE7355A4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GAAP</t>
      </text>
    </comment>
    <comment ref="AX11" authorId="8" shapeId="0" xr:uid="{FCFEDBA0-6902-4A7F-92C9-3140B839E47B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AZ11" authorId="9" shapeId="0" xr:uid="{79E616ED-05E5-4BD1-9850-F7A3D4BC4AC2}">
      <text>
        <t>[Threaded comment]
Your version of Excel allows you to read this threaded comment; however, any edits to it will get removed if the file is opened in a newer version of Excel. Learn more: https://go.microsoft.com/fwlink/?linkid=870924
Comment:
    130m gaap</t>
      </text>
    </comment>
    <comment ref="BB11" authorId="10" shapeId="0" xr:uid="{9501135F-C97E-459E-9860-B0129BB24B00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BT30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Assumes debt converts to 45 million shares.
</t>
        </r>
      </text>
    </comment>
    <comment ref="I59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4.75% ann. Interest, covertible at 8.78/share due in 2015.
Initally sold 400 mill debt.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D3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diluted</t>
        </r>
      </text>
    </comment>
  </commentList>
</comments>
</file>

<file path=xl/sharedStrings.xml><?xml version="1.0" encoding="utf-8"?>
<sst xmlns="http://schemas.openxmlformats.org/spreadsheetml/2006/main" count="952" uniqueCount="642">
  <si>
    <t>Name</t>
  </si>
  <si>
    <t>Indication</t>
  </si>
  <si>
    <t>Reverset</t>
  </si>
  <si>
    <t>INCB7839</t>
  </si>
  <si>
    <t>Class</t>
  </si>
  <si>
    <t>Phase</t>
  </si>
  <si>
    <t>Competition</t>
  </si>
  <si>
    <t>INCB13739</t>
  </si>
  <si>
    <t>INCB8696</t>
  </si>
  <si>
    <t>INCB15050</t>
  </si>
  <si>
    <t>Brand Name</t>
  </si>
  <si>
    <t>Mechanism</t>
  </si>
  <si>
    <t>Clinical Trials</t>
  </si>
  <si>
    <t>Sheddase Inhibitor; synergy with herceptin given the ability to maintain HER2 on cells by inhibiting sheddase activity (which may make them more susceptible to Herceptin)</t>
  </si>
  <si>
    <t>Economics</t>
  </si>
  <si>
    <t>Price</t>
  </si>
  <si>
    <t>Shares</t>
  </si>
  <si>
    <t>Cash</t>
  </si>
  <si>
    <t>Debt</t>
  </si>
  <si>
    <t>MC</t>
  </si>
  <si>
    <t>Net Income</t>
  </si>
  <si>
    <t>Generic Name</t>
  </si>
  <si>
    <t>Administration</t>
  </si>
  <si>
    <t>IP</t>
  </si>
  <si>
    <t>History</t>
  </si>
  <si>
    <t>main</t>
  </si>
  <si>
    <t>Dexelvucitabine</t>
  </si>
  <si>
    <t>Drug Suspended 04/03/2006</t>
  </si>
  <si>
    <t>Observed increase in frequency of grade 4 hyperlipasemia in patients receiving 200 mg DFC without 3TC or FTC</t>
  </si>
  <si>
    <t>Increased incidence of grade 4 hyperlipasemia was observed in Study 901, the long-term extension of Incyte's first Phase IIb trial (Study 203).</t>
  </si>
  <si>
    <t>HIV/AIDS</t>
  </si>
  <si>
    <t>Phase IIa</t>
  </si>
  <si>
    <t>CCR5 Antagonist</t>
  </si>
  <si>
    <t>Phase I</t>
  </si>
  <si>
    <t>completed</t>
  </si>
  <si>
    <t>Given success of INCB9471, development held indefinitely</t>
  </si>
  <si>
    <t>Type II Diabetes</t>
  </si>
  <si>
    <t>complete inhibition of 11 Beta HSD1 activity in adipose and liver tissue</t>
  </si>
  <si>
    <t>plans to move forward with a Phase IIa, two-step insulin clamp</t>
  </si>
  <si>
    <t>trial in 1Q07 to assess the impact of this drug on glucose</t>
  </si>
  <si>
    <t>metabolism in both the liver and the periphery</t>
  </si>
  <si>
    <t>CCR2 Antagonist</t>
  </si>
  <si>
    <t>Multiple Sclerosis</t>
  </si>
  <si>
    <t>Possibly 10%; Collaboration with Pfizer</t>
  </si>
  <si>
    <t>H1 2007: initiation</t>
  </si>
  <si>
    <t>Solid Tumors, Breast Cancer</t>
  </si>
  <si>
    <t>Phase Ib / IIa solid tumors</t>
  </si>
  <si>
    <t>maximal tolerated dose has yet to be reached</t>
  </si>
  <si>
    <t>MTD unknown</t>
  </si>
  <si>
    <t>Phase Ib / IIa Breast Cancer</t>
  </si>
  <si>
    <t>plan initiation</t>
  </si>
  <si>
    <t>qd</t>
  </si>
  <si>
    <t>Main</t>
  </si>
  <si>
    <t>Admin</t>
  </si>
  <si>
    <t>Sheddase</t>
  </si>
  <si>
    <t>11 Beta HSD1 inhibitor.  Details into mechanism - how does it affect insulin.</t>
  </si>
  <si>
    <t>Did Amgen have a drug like this? With biovitrum?</t>
  </si>
  <si>
    <t>INCB18424</t>
  </si>
  <si>
    <t>Declines in spleen size but thrombocytopenia side effect.</t>
  </si>
  <si>
    <t>Oral</t>
  </si>
  <si>
    <t>15mg twice daily dosing.</t>
  </si>
  <si>
    <t>Myelofibrosis</t>
  </si>
  <si>
    <t>Phase I/II myelofibrosis - ASCO 2008, EHA 2008</t>
  </si>
  <si>
    <t xml:space="preserve">  7/27 required dose reduction due to myelosuppression. Reversible thrombocytopenia was managed with dose reduction/interruption.</t>
  </si>
  <si>
    <t>Myelofibrosis is a bone marrow disorder that results in collagen scarring in the marrow and other characteristics including spleen enlargement as well as anemia.</t>
  </si>
  <si>
    <t>Diagnosed and Treatment-Eligible</t>
  </si>
  <si>
    <t>424 Price</t>
  </si>
  <si>
    <t>424 Revenues</t>
  </si>
  <si>
    <t>NPV</t>
  </si>
  <si>
    <t>Psoriasis</t>
  </si>
  <si>
    <t>Topical</t>
  </si>
  <si>
    <t>Over 100 patients have been enrolled as of Q2 2008.</t>
  </si>
  <si>
    <t>n=100 planned to enroll in an open-label multi-dose study.</t>
  </si>
  <si>
    <t>Phase II Polycythemia Vera/Essential Thrombocythemia - Initiated Q2 2008</t>
  </si>
  <si>
    <t>Phase IIa HRPC/Multiple Myeloma study - YE08 results</t>
  </si>
  <si>
    <t>YE08: 424 results in HRPC/Multiple Myeloma</t>
  </si>
  <si>
    <t>October 24-29 2008: ACR presentation of 424 in second dose group.</t>
  </si>
  <si>
    <t>YE08: INCB7839 combination with Herceptin Phase II results.</t>
  </si>
  <si>
    <t>Early 2009: INCB19602 Phase II proof-of-concept data in diabetes.</t>
  </si>
  <si>
    <t>CP-690,550</t>
  </si>
  <si>
    <t>YE08: 424 results in myelofibrosis at ASH.</t>
  </si>
  <si>
    <t>Company</t>
  </si>
  <si>
    <t>Pfizer, PFE</t>
  </si>
  <si>
    <t>Incyte, INCY</t>
  </si>
  <si>
    <t>Rheumatoid Arthritis</t>
  </si>
  <si>
    <t>II ongoing, III planned</t>
  </si>
  <si>
    <t>JAK inhibitor</t>
  </si>
  <si>
    <t>II ongoing, II planned</t>
  </si>
  <si>
    <t>II completed, II ongoing</t>
  </si>
  <si>
    <t>XL-019</t>
  </si>
  <si>
    <t>CEP-701</t>
  </si>
  <si>
    <t>Rigel</t>
  </si>
  <si>
    <t>Cytopia</t>
  </si>
  <si>
    <t>Exelixis, EXEL</t>
  </si>
  <si>
    <t>JAK 1/2 inhibitor, no JAK3 effect</t>
  </si>
  <si>
    <t>II ongoing</t>
  </si>
  <si>
    <t>Transplant Rejection</t>
  </si>
  <si>
    <t>Crohn's Disease</t>
  </si>
  <si>
    <t>II completed, II/III ongoing</t>
  </si>
  <si>
    <t>Polycythemia Vera</t>
  </si>
  <si>
    <t>I ongoing</t>
  </si>
  <si>
    <t>Cephalon, CEPH</t>
  </si>
  <si>
    <t>PV/ET</t>
  </si>
  <si>
    <t>Abbott</t>
  </si>
  <si>
    <t>Abbott, ABT</t>
  </si>
  <si>
    <t>Rigel, RIGL</t>
  </si>
  <si>
    <t>Vertex, VRTX</t>
  </si>
  <si>
    <t>VX-509</t>
  </si>
  <si>
    <t>???</t>
  </si>
  <si>
    <t>JAK3 inhibitor</t>
  </si>
  <si>
    <t>TargeGen</t>
  </si>
  <si>
    <t>TG101438</t>
  </si>
  <si>
    <t>I/II ongoing</t>
  </si>
  <si>
    <t>JAK2 inhibitor</t>
  </si>
  <si>
    <t>Supergen</t>
  </si>
  <si>
    <t>Supergen, SUPG</t>
  </si>
  <si>
    <t xml:space="preserve">  Patients had a median enlarged spleen size of 20cm above the LCM.</t>
  </si>
  <si>
    <t>Two primary endpoints will be necessary, one of which will be splenomegaly reduction. Degree of reduction is a question.</t>
  </si>
  <si>
    <t xml:space="preserve">  MPD patients have an abnormal accumulation of blood cells in the peripheral blood and bone marrow.</t>
  </si>
  <si>
    <t xml:space="preserve">    Polycythemia versa is excess blood cells, Essential thrombocytosis is excess platelets, Myelofibrosis is fibrosis in the bone marrow and CML is excess white blood cells in the marrow.</t>
  </si>
  <si>
    <t xml:space="preserve">    Primary myelofibrosis patients have myeloproliferation, bone marrow fibrosis, progressive anemia and marked hepatosplenomegaly.</t>
  </si>
  <si>
    <t xml:space="preserve">    "Post-PV" and "Post-ET" patients have PV/ET and have increasingly fibrotic/scarred bone marrow.</t>
  </si>
  <si>
    <t>V617F mutation is acquired in MF patients.</t>
  </si>
  <si>
    <t>n=93, n=43 evaluable, n=27 with 25mg BID, n=12 10mg BID, n=4 qd.</t>
  </si>
  <si>
    <t xml:space="preserve">  70% of 25mg BID had &gt;50% reductions in spleen size. (n=19/27). 42% of the 10mg group had mean spleen reduction &gt;50%.</t>
  </si>
  <si>
    <t xml:space="preserve">  Most responses ocurred within a month.</t>
  </si>
  <si>
    <t xml:space="preserve">  Patients had &gt;50% reduction in symptoms (fatigue, pruritus, night sweats). Patients had significant weight gain but no hematological improvement.</t>
  </si>
  <si>
    <t>Avoidance of spleen removal is a positive aspect of the drug.</t>
  </si>
  <si>
    <t xml:space="preserve">  Hydroxyurea results in cytopenia?</t>
  </si>
  <si>
    <t>JAK</t>
  </si>
  <si>
    <t>Phase IIa Rheumatoid Arthritis 28-day - EULAR 2008 report - Initiated October 2007</t>
  </si>
  <si>
    <t>n=48 total patients. N=16 first cohort at 15mg bid and 4 placebo. N=32 is cohort 2 with 5mg, 25mg BID and 50mg QD.</t>
  </si>
  <si>
    <t>n=16, 75%/50%/25%/17% ACR20/50/70/90. Responses seen as early as one week. Placebo was 50%/0%/0%/0%.</t>
  </si>
  <si>
    <t>12-week interim data at ACR 2008 suggests activity. 3mg active. 6 doses tested.</t>
  </si>
  <si>
    <t>Pfizer's CP-690,550 Phase IIa data</t>
  </si>
  <si>
    <t>CP-690,550 Phase IIb 24-week data</t>
  </si>
  <si>
    <t>5 cases of liver tox at 15mg BID.</t>
  </si>
  <si>
    <t>9/2008: INCB18424 Psoriasis Phase II data presented.</t>
  </si>
  <si>
    <t>Phase IIa Psoriasis data - Presented 9/2008</t>
  </si>
  <si>
    <t>Study "201" and "202" showed improvements in total lesion scores similar to the approved therapies Dovenex and Diprolene.</t>
  </si>
  <si>
    <t>JAK1/2</t>
  </si>
  <si>
    <t>No dose response?</t>
  </si>
  <si>
    <t>Q210</t>
  </si>
  <si>
    <t>ruxolitinib</t>
  </si>
  <si>
    <t>Incidence</t>
  </si>
  <si>
    <t>Phase III COMFORT-1 - December 2010 results</t>
  </si>
  <si>
    <t>Operating Income</t>
  </si>
  <si>
    <t>Pretax Income</t>
  </si>
  <si>
    <t>Maturity</t>
  </si>
  <si>
    <t>Discount</t>
  </si>
  <si>
    <t>Myelofibrosis US Prevalence</t>
  </si>
  <si>
    <t>Share</t>
  </si>
  <si>
    <t>65,000-100,000 and 71,000-80,000 prevalence for PV/ET. 20-30% of PV and 2-4% of ET will transform to MF (post-PV/ET). Ma et al 2008.</t>
  </si>
  <si>
    <t>Q110</t>
  </si>
  <si>
    <t>Q310</t>
  </si>
  <si>
    <t>Q410</t>
  </si>
  <si>
    <t>Cash &amp; equiv</t>
  </si>
  <si>
    <t>Marketable securities</t>
  </si>
  <si>
    <t>Restricted cash</t>
  </si>
  <si>
    <t>Accts receivable</t>
  </si>
  <si>
    <t>Prepaid expenses, other</t>
  </si>
  <si>
    <t>Total current assets</t>
  </si>
  <si>
    <t>Property &amp; equip</t>
  </si>
  <si>
    <t>Other</t>
  </si>
  <si>
    <t>Total assets</t>
  </si>
  <si>
    <t>Accts payable</t>
  </si>
  <si>
    <t>Accrued comp</t>
  </si>
  <si>
    <t>Interest payable</t>
  </si>
  <si>
    <t>Other current liabilities</t>
  </si>
  <si>
    <t>Deferred rev</t>
  </si>
  <si>
    <t>Accrued restructuring</t>
  </si>
  <si>
    <t>Total current liabilities</t>
  </si>
  <si>
    <t>Convert sr notes</t>
  </si>
  <si>
    <t>Convert subord notes</t>
  </si>
  <si>
    <t>Other liabilities</t>
  </si>
  <si>
    <t>Total liabilities</t>
  </si>
  <si>
    <t>SE</t>
  </si>
  <si>
    <t>Total liabilities &amp; SE</t>
  </si>
  <si>
    <t>Total revenues</t>
  </si>
  <si>
    <t>License &amp; royalty revs</t>
  </si>
  <si>
    <t>Contract revs</t>
  </si>
  <si>
    <t>COGS</t>
  </si>
  <si>
    <t>R&amp;D</t>
  </si>
  <si>
    <t>SG&amp;A</t>
  </si>
  <si>
    <t>Total expenses</t>
  </si>
  <si>
    <t>Interest, other</t>
  </si>
  <si>
    <t>Shares out</t>
  </si>
  <si>
    <t>Earnings per share</t>
  </si>
  <si>
    <t>Tax</t>
  </si>
  <si>
    <t>Nov 2009: partner ex-US rights for '424 in cancer with NVS, and ww rights to INCB28060 in all indications (w right to co-develop &amp; co-promote in US)</t>
  </si>
  <si>
    <t xml:space="preserve">Jan 2010: initiate European Ph3 trial of '424 </t>
  </si>
  <si>
    <t>c-MET inhibitor</t>
  </si>
  <si>
    <t>NVS Ex-US</t>
  </si>
  <si>
    <t>Dec 2009: partner ww rights for INCB28050 with LLY for inflam and autoimmune diseases</t>
  </si>
  <si>
    <t>July 2010: INCY opts to co-develop INCB28050 in RA (and retains option to co-promote in US)</t>
  </si>
  <si>
    <t>INCB24360</t>
  </si>
  <si>
    <t>Dec 20, 2010: Positive topline data reported for COMFORT-1 of '424 in myelofibrosis, NDA to be filed in Q211</t>
  </si>
  <si>
    <t>n=309, primary endpt of % pts achieving 35% or greater reduction in spleen volume at Wk 24 as measured by MRI or CT vs placebo</t>
  </si>
  <si>
    <t>42% response rate versus 1% for placebo (p&lt;0.0001)</t>
  </si>
  <si>
    <t>secondary endpts also met stat sig, incl Myelofibrosis Symptom Assessment Form Diary</t>
  </si>
  <si>
    <t>safety consistent w prev studies: reversible thrombocytopenia and anemia</t>
  </si>
  <si>
    <t>detailed results at ASH2011 (ph2 results recently published in NEJM)</t>
  </si>
  <si>
    <t>Phase III COMFORT-II - early 2011 results</t>
  </si>
  <si>
    <t>European study, n=219 randomized 2:1 open-label vs best avail tx</t>
  </si>
  <si>
    <t>primary endpt: proportion of pts with &gt;35% reduction spleen volume at Wk 48</t>
  </si>
  <si>
    <t>Nov 10, 2010: Ph2a data of INCB28050 in RA presented ACR</t>
  </si>
  <si>
    <t>ACR2010</t>
  </si>
  <si>
    <t>Ph2a, n=125, to receive 4mg qd, 7mg qd or 10mg qd</t>
  </si>
  <si>
    <t>primary endpt: % of pts achieving ACR20 thruout 24 Wks</t>
  </si>
  <si>
    <t>ACR responses improved over wks 12-24, w up to 72% of pts ACR20, 44% ACR50 &amp; 30% ACR70 at Wk 24</t>
  </si>
  <si>
    <t>placebo pts: 32% ACR20, 13% ACR50 &amp; 3% ACR70 at Wk 12</t>
  </si>
  <si>
    <t>INCB28050 pts: 59% ACR20, 35% ACR50 &amp; 16% ACR70</t>
  </si>
  <si>
    <t xml:space="preserve">Oct 2010: Initiate Ph3 trial of '424 in polycythemia vera </t>
  </si>
  <si>
    <t>global study, n=300 polycythemia vera pts intolerant or resistant to hydroxyurea</t>
  </si>
  <si>
    <t>Phase III RESPONSE - results expected June 2013</t>
  </si>
  <si>
    <t>study not powered to detect OS</t>
  </si>
  <si>
    <t>primary endpt, at Wk 32: proportion of pts (1) absence of protocol-defined phlebotomy eligibility and (2) a 35% or greater reduction fr baseline in spleen volume</t>
  </si>
  <si>
    <t>Oct 2010: LLY initiatesPh2b of INCB28050 in RA</t>
  </si>
  <si>
    <t>Net loss</t>
  </si>
  <si>
    <t>Non-cash restructuring</t>
  </si>
  <si>
    <t>D&amp;A</t>
  </si>
  <si>
    <t>Stock-based comp</t>
  </si>
  <si>
    <t>Loss on embedded deriv liability</t>
  </si>
  <si>
    <t>Realized loss/gain investments</t>
  </si>
  <si>
    <t>Change in working capital</t>
  </si>
  <si>
    <t>Cash fr operating activities</t>
  </si>
  <si>
    <t>Cap ex</t>
  </si>
  <si>
    <t>Cash fr investing activities</t>
  </si>
  <si>
    <t>Stock fr plans</t>
  </si>
  <si>
    <t>Issuance of common stock</t>
  </si>
  <si>
    <t>Change in restricted cash</t>
  </si>
  <si>
    <t>Repurchase/proceeds fr notes</t>
  </si>
  <si>
    <t>Cash fr financing activities</t>
  </si>
  <si>
    <t>Change in cash</t>
  </si>
  <si>
    <t>Beginning cash</t>
  </si>
  <si>
    <t>Ending cash</t>
  </si>
  <si>
    <t>Loss/impair on repurchase of notes</t>
  </si>
  <si>
    <t>Q211</t>
  </si>
  <si>
    <t>Q111</t>
  </si>
  <si>
    <t>Q311</t>
  </si>
  <si>
    <t>Q411</t>
  </si>
  <si>
    <t>Myelofibrosis ex-US Prevalence</t>
  </si>
  <si>
    <t>Penetration</t>
  </si>
  <si>
    <t>424 Revs</t>
  </si>
  <si>
    <t>Royalty Rate</t>
  </si>
  <si>
    <t>Royalty Revs</t>
  </si>
  <si>
    <t># pts</t>
  </si>
  <si>
    <t>late 2011: complete enrollment in joint global Ph3 RESPONSE trial in PV</t>
  </si>
  <si>
    <t>H111: submit NDA for ruxolitinib in MF</t>
  </si>
  <si>
    <t>H111: results from COMFORT-1 Ph3 US trial in MF</t>
  </si>
  <si>
    <t>late 2011: launch ruxolitinib in MF</t>
  </si>
  <si>
    <t>2011: NVS to present results from COMFORT-II Ph3 EU trial and submit MAA for MF</t>
  </si>
  <si>
    <t>Accounts receivable</t>
  </si>
  <si>
    <t>Prepaids</t>
  </si>
  <si>
    <t>PP&amp;E</t>
  </si>
  <si>
    <t>Deferred revenue</t>
  </si>
  <si>
    <t>Convertible notes</t>
  </si>
  <si>
    <t>Common</t>
  </si>
  <si>
    <t>APIC</t>
  </si>
  <si>
    <t>Acc. Other comp. gain</t>
  </si>
  <si>
    <t>Acc. Deficit</t>
  </si>
  <si>
    <t>Other expenses</t>
  </si>
  <si>
    <t>Gross profit</t>
  </si>
  <si>
    <t>Interest and other</t>
  </si>
  <si>
    <t>Pretax income</t>
  </si>
  <si>
    <t>Taxes</t>
  </si>
  <si>
    <t>Net income</t>
  </si>
  <si>
    <t>EPS</t>
  </si>
  <si>
    <t>Double-blind, placebo controlled</t>
  </si>
  <si>
    <t>% Reduction in spleen volume at week 24</t>
  </si>
  <si>
    <t>&lt; 10%</t>
  </si>
  <si>
    <t>10% to 35%</t>
  </si>
  <si>
    <t>&gt;35%</t>
  </si>
  <si>
    <t>41.9% of ttm pts had &gt;35% reduction in spleen size, compared to 0.7% in pbo group.</t>
  </si>
  <si>
    <t>45% thrombocytopenia</t>
  </si>
  <si>
    <t>40.4% anemia (11% grade 3/4)</t>
  </si>
  <si>
    <t>24% diarrhea</t>
  </si>
  <si>
    <t>21.0% peripheral edema</t>
  </si>
  <si>
    <t>23/139</t>
  </si>
  <si>
    <t>51/139</t>
  </si>
  <si>
    <t>65/139</t>
  </si>
  <si>
    <t>% pts with &gt;35% decreased in spleen volume (primary endpoint)</t>
  </si>
  <si>
    <t>28% on TTM, versus 0 on control</t>
  </si>
  <si>
    <t>51% of pts received at least 1 red blood cell transfusion on ttm, compared to 38% on control</t>
  </si>
  <si>
    <t>Aes similar to COMFORT 1</t>
  </si>
  <si>
    <t>INCY did obtain an SPA for comfort I in July 2009.</t>
  </si>
  <si>
    <t>100% US, NVS has ex-US rights.  INCY has received $260 million in milestones, and is eligible for "tiered double digit" royalties ex-US.</t>
  </si>
  <si>
    <t>As of Oct. 27 2011, all 60 sales reps have been hired and trained.</t>
  </si>
  <si>
    <r>
      <t xml:space="preserve">Tefferi </t>
    </r>
    <r>
      <rPr>
        <i/>
        <sz val="10"/>
        <rFont val="Arial"/>
        <family val="2"/>
      </rPr>
      <t>et al.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New Engl. J. Med.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2011</t>
    </r>
    <r>
      <rPr>
        <sz val="10"/>
        <rFont val="Arial"/>
        <family val="2"/>
      </rPr>
      <t xml:space="preserve">,  </t>
    </r>
    <r>
      <rPr>
        <i/>
        <sz val="10"/>
        <rFont val="Arial"/>
        <family val="2"/>
      </rPr>
      <t>365</t>
    </r>
    <r>
      <rPr>
        <sz val="10"/>
        <rFont val="Arial"/>
        <family val="2"/>
      </rPr>
      <t>, 1455-1457.</t>
    </r>
  </si>
  <si>
    <t>Discussed 51 patients, out of 153, from Phase 1/2 study carried out at Mayo Clinic.</t>
  </si>
  <si>
    <t>Cited discontinuation as an issue:  Rates of treatment discontinuation at 1, 2, and 3 years were 51%, 72%, and 89%, respectively. Reasons for treatment discontinuation included disease progression or loss or lack of response (40%) and toxicity with or without disease progression or lack of response (34%)</t>
  </si>
  <si>
    <t>In comparison to a historic control of 410 patients, there was no meaningful survival benefit to drug.</t>
  </si>
  <si>
    <t>To do a meaningful OS study would take 5+ years.</t>
  </si>
  <si>
    <t>In EORTC-QLQ-C30 (QOL measure), scores for Global health status and Role funtioning were improved.</t>
  </si>
  <si>
    <t>IC50</t>
  </si>
  <si>
    <t>CYT387</t>
  </si>
  <si>
    <t>SB1518</t>
  </si>
  <si>
    <t>TG101348</t>
  </si>
  <si>
    <t>JAK1</t>
  </si>
  <si>
    <t>11 nM</t>
  </si>
  <si>
    <t>1280 nM</t>
  </si>
  <si>
    <t>2.7 nM</t>
  </si>
  <si>
    <t>&gt; 50 nM</t>
  </si>
  <si>
    <t>JAK2</t>
  </si>
  <si>
    <t>18 nM</t>
  </si>
  <si>
    <t>23 nM</t>
  </si>
  <si>
    <t>4.5 nM</t>
  </si>
  <si>
    <t>3 nM</t>
  </si>
  <si>
    <t>JAK3</t>
  </si>
  <si>
    <t>155 nM</t>
  </si>
  <si>
    <t>520 nM</t>
  </si>
  <si>
    <t>322 nM</t>
  </si>
  <si>
    <t>JAK2 V618F</t>
  </si>
  <si>
    <t>19 nM</t>
  </si>
  <si>
    <t>Preclinical</t>
  </si>
  <si>
    <t>EV</t>
  </si>
  <si>
    <t>INCY has SPA</t>
  </si>
  <si>
    <t xml:space="preserve"> Myelofibrosis, Polycythemia Vera. At one point studied in HRPC, Multiple Myeloma?</t>
  </si>
  <si>
    <t xml:space="preserve">10,000 myelofibrosis patients in the US. </t>
  </si>
  <si>
    <t>JAK1/2 inhibitor.</t>
  </si>
  <si>
    <t>Solid tumors</t>
  </si>
  <si>
    <t>NVS</t>
  </si>
  <si>
    <t>Phase 1, n = 40</t>
  </si>
  <si>
    <t>Dose escalation.</t>
  </si>
  <si>
    <t>Data expected Q1 2012</t>
  </si>
  <si>
    <t>Per 10-k, compnay expects to transtion this drug to NVS once done.</t>
  </si>
  <si>
    <t>I</t>
  </si>
  <si>
    <t>Metastatic breast cancer</t>
  </si>
  <si>
    <t>Phase 2, n = 66</t>
  </si>
  <si>
    <t>No significant difference in PFS or reponse rate compared to historic data</t>
  </si>
  <si>
    <t>Discontinued.</t>
  </si>
  <si>
    <t>Indoleamine 2, 3-dioxygenase (IDO)</t>
  </si>
  <si>
    <t>INCY</t>
  </si>
  <si>
    <t>Phase 1/2, n = 50</t>
  </si>
  <si>
    <t>Data expected mid 2012.</t>
  </si>
  <si>
    <t>INCY could receive tiered double digit royalties.</t>
  </si>
  <si>
    <t>INCY will pay for 30% of development expenses</t>
  </si>
  <si>
    <t>Jakafi</t>
  </si>
  <si>
    <t>Approved Nov. 16</t>
  </si>
  <si>
    <t>Phase IIb, n = 270</t>
  </si>
  <si>
    <t>Primary endpoint is ACR20 at 12 weeks</t>
  </si>
  <si>
    <t>Fully enrolled as of October 27, 2011</t>
  </si>
  <si>
    <t>Dosing is 1,2,4,8 mg 9104 compared to PBO</t>
  </si>
  <si>
    <t>JAK1/2 inhibitor</t>
  </si>
  <si>
    <t>RIGL, CHTP(?)</t>
  </si>
  <si>
    <t>LLY, $139 million in milestones received to date</t>
  </si>
  <si>
    <t>Phase IIa, n = 125</t>
  </si>
  <si>
    <t>PBO</t>
  </si>
  <si>
    <t>4 mg</t>
  </si>
  <si>
    <t>7 mg</t>
  </si>
  <si>
    <t>10 mg</t>
  </si>
  <si>
    <t>n = 31</t>
  </si>
  <si>
    <t>n = 32</t>
  </si>
  <si>
    <t>n = 30</t>
  </si>
  <si>
    <t>mITT total population, 12 week result</t>
  </si>
  <si>
    <t>ACR20</t>
  </si>
  <si>
    <t>ACR50</t>
  </si>
  <si>
    <t>ACR70</t>
  </si>
  <si>
    <t>No major Aes.  There were dose related decreases in mean hemoglobin of 2 to 8%.</t>
  </si>
  <si>
    <t>INCY discloses patent protection until 2026, but has not disclose structure or patent #.</t>
  </si>
  <si>
    <t>Per share</t>
  </si>
  <si>
    <t>Company expects &lt; %5 medicaid</t>
  </si>
  <si>
    <t>Expects to provide free drug for 10 to 15% of MF pts with no insurance</t>
  </si>
  <si>
    <t>Inventory</t>
  </si>
  <si>
    <t>Q112</t>
  </si>
  <si>
    <t>Q212</t>
  </si>
  <si>
    <t>Net cash</t>
  </si>
  <si>
    <t>Consensus Rev (8/6/12)</t>
  </si>
  <si>
    <t>Q312</t>
  </si>
  <si>
    <t>Q412</t>
  </si>
  <si>
    <t>Approved</t>
  </si>
  <si>
    <t>Q214</t>
  </si>
  <si>
    <t>Q122</t>
  </si>
  <si>
    <t>Jakafi (ruxolitinib)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</si>
  <si>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</si>
  <si>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</si>
  <si>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</si>
  <si>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</si>
  <si>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</si>
  <si>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</si>
  <si>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</si>
  <si>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</si>
  <si>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</si>
  <si>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</si>
  <si>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</si>
  <si>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</si>
  <si>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</si>
  <si>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</si>
  <si>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</si>
  <si>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</si>
  <si>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</si>
  <si>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</si>
  <si>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</si>
  <si>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</si>
  <si>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</si>
  <si>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</si>
  <si>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</si>
  <si>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</si>
  <si>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</si>
  <si>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</si>
  <si>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</si>
  <si>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</si>
  <si>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</si>
  <si>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</si>
  <si>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</si>
  <si>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</si>
  <si>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</si>
  <si>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</si>
  <si>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</si>
  <si>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</si>
  <si>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</si>
  <si>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</si>
  <si>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Opzelura (ruxolitinib)</t>
  </si>
  <si>
    <t>Vitiligo</t>
  </si>
  <si>
    <t>Revenue</t>
  </si>
  <si>
    <t>Royalty</t>
  </si>
  <si>
    <t>Contract</t>
  </si>
  <si>
    <t>Product</t>
  </si>
  <si>
    <t>Operating Expenses</t>
  </si>
  <si>
    <t>Revenue y/y</t>
  </si>
  <si>
    <t>Gross Margin</t>
  </si>
  <si>
    <t>Assets</t>
  </si>
  <si>
    <t>Goodwill</t>
  </si>
  <si>
    <t>Lease</t>
  </si>
  <si>
    <t>AP</t>
  </si>
  <si>
    <t>Compensation</t>
  </si>
  <si>
    <t>OCL</t>
  </si>
  <si>
    <t>Leases</t>
  </si>
  <si>
    <t>Contingent Consideration</t>
  </si>
  <si>
    <t>L+SE</t>
  </si>
  <si>
    <t>Model NI</t>
  </si>
  <si>
    <t>CFFO</t>
  </si>
  <si>
    <t>SBC</t>
  </si>
  <si>
    <t>DT</t>
  </si>
  <si>
    <t>Unrealized</t>
  </si>
  <si>
    <t>CoCo</t>
  </si>
  <si>
    <t>Reported NI</t>
  </si>
  <si>
    <t>WC</t>
  </si>
  <si>
    <t>CapEx</t>
  </si>
  <si>
    <t>Marketable</t>
  </si>
  <si>
    <t>CFFI</t>
  </si>
  <si>
    <t>CIC</t>
  </si>
  <si>
    <t>FX</t>
  </si>
  <si>
    <t>ESOP</t>
  </si>
  <si>
    <t>ESOP Tax</t>
  </si>
  <si>
    <t>CFFF</t>
  </si>
  <si>
    <t>Pemaryze</t>
  </si>
  <si>
    <t>Minjuvi</t>
  </si>
  <si>
    <t>Opzelura</t>
  </si>
  <si>
    <t>Jakavi royalty</t>
  </si>
  <si>
    <t>Olumiant royalty</t>
  </si>
  <si>
    <t>Tabrecta royalty</t>
  </si>
  <si>
    <t>Jakafi (US), Jakavi (EU), fka INCB18424</t>
  </si>
  <si>
    <t>Tabrecta, fka INCB28060</t>
  </si>
  <si>
    <t>baricitinib</t>
  </si>
  <si>
    <t>Olumiant, fka LY3009104/INCB28050</t>
  </si>
  <si>
    <t>Olumiant (baricitinib)</t>
  </si>
  <si>
    <t>LLY</t>
  </si>
  <si>
    <t>c-Met</t>
  </si>
  <si>
    <t>NSCLC</t>
  </si>
  <si>
    <t>Cream</t>
  </si>
  <si>
    <t>Brand</t>
  </si>
  <si>
    <t>Generic</t>
  </si>
  <si>
    <t>Administrational</t>
  </si>
  <si>
    <t>topical cream</t>
  </si>
  <si>
    <t>Regulatory</t>
  </si>
  <si>
    <t>FDA approved 7/18/22</t>
  </si>
  <si>
    <t>100%?</t>
  </si>
  <si>
    <t>CEO: Herve Hoppenot</t>
  </si>
  <si>
    <t>VASI PE: 30% had &gt;75% improvement vs 8% in placebo</t>
  </si>
  <si>
    <t>VASI PE: 30% had &gt;75% improvement vs 13% in placebo</t>
  </si>
  <si>
    <t>Atopic dermatitis.</t>
  </si>
  <si>
    <t>Vitiligo. 1.5m vitiligo patients in the US.</t>
  </si>
  <si>
    <t>100% WW</t>
  </si>
  <si>
    <t>7/18/22: Opzelura approve for vitiligo.</t>
  </si>
  <si>
    <t>7/12/22: Q2 earnings date.</t>
  </si>
  <si>
    <t>6/13/22: Olumiant approved for alopecia areata.</t>
  </si>
  <si>
    <t>Alopecia Areata</t>
  </si>
  <si>
    <t>Rheumatoid arthritis, Alopecia Areata</t>
  </si>
  <si>
    <t>Phase III "BRAVE-AA1"</t>
  </si>
  <si>
    <t>Phase III "BRAVE-AA2"</t>
  </si>
  <si>
    <t>17%-22% with 2mg qd and 32-35% with 4mg qd achieved 80% or more scalp hair coverage vs. 3-5% for placebo at 36 weeks.</t>
  </si>
  <si>
    <t>Monjuvi/Minjuvi (tafasitamab)</t>
  </si>
  <si>
    <t>HemOnc Clinical Development: Lance Leopold</t>
  </si>
  <si>
    <t>MOR</t>
  </si>
  <si>
    <t>CD19</t>
  </si>
  <si>
    <t>tafasitamab</t>
  </si>
  <si>
    <t>DLBCL</t>
  </si>
  <si>
    <t>MOA</t>
  </si>
  <si>
    <t>IV</t>
  </si>
  <si>
    <t>Morphosys, originally Xencor license</t>
  </si>
  <si>
    <t>6/13/22: CT collaboration with PFE TTI-622 and Monjuvi</t>
  </si>
  <si>
    <t>5/26/22: EHA preview</t>
  </si>
  <si>
    <t>CMO: Steven Stein</t>
  </si>
  <si>
    <t>parsaclisib</t>
  </si>
  <si>
    <t>II</t>
  </si>
  <si>
    <t>Myelofibrosis, GvHD</t>
  </si>
  <si>
    <t>TAK US</t>
  </si>
  <si>
    <t>Bcr-Abl</t>
  </si>
  <si>
    <t>CML</t>
  </si>
  <si>
    <t>AIHA, FL, MF</t>
  </si>
  <si>
    <t>AIHA, R/R FL, Myelofibrosis</t>
  </si>
  <si>
    <t>PI3Kdelta</t>
  </si>
  <si>
    <t>Phase I "CITADEL-102"</t>
  </si>
  <si>
    <t>Phase III "inMIND" FL/MZL with lenalidomide</t>
  </si>
  <si>
    <t>5/24/22: investor conference</t>
  </si>
  <si>
    <t>5/20/22: CHMP recommends Olumiant for AA</t>
  </si>
  <si>
    <t>5/11/22: Olumiant approved for COVID-19</t>
  </si>
  <si>
    <t>Phase III "ACTT-2" n=1033 COVID-19</t>
  </si>
  <si>
    <t>bari+remdesivir vs. remdesivir</t>
  </si>
  <si>
    <t>Phase III "COV-BARRIER" n=1525 COVID-19</t>
  </si>
  <si>
    <t>5/4/22: investor conference</t>
  </si>
  <si>
    <t>Tabrecta (capmatinib)</t>
  </si>
  <si>
    <t>5/5/22: EC approves Jakavi for post-steroid GvHD</t>
  </si>
  <si>
    <t>Group VP, Oncology: Peter Langmuir</t>
  </si>
  <si>
    <t>Phase III "REACH2" GvHD</t>
  </si>
  <si>
    <t>Phase III "REACH3" GvHD</t>
  </si>
  <si>
    <t>50% ORR vs. 26% for BAT at 24 weeks</t>
  </si>
  <si>
    <t>62% ORR vs. 39% for BAT at day 28</t>
  </si>
  <si>
    <t>5/3/22: Q122 results.</t>
  </si>
  <si>
    <t>Iclusig</t>
  </si>
  <si>
    <t>Iclusig (ponatinib)</t>
  </si>
  <si>
    <t>Pemaryze (pemigatinib)</t>
  </si>
  <si>
    <t>INCB57643</t>
  </si>
  <si>
    <t>BET</t>
  </si>
  <si>
    <t>INCB00928</t>
  </si>
  <si>
    <t>ALK2</t>
  </si>
  <si>
    <t>Phase I "CITADEL-112"</t>
  </si>
  <si>
    <t>Phase III "LIMBER-304" suboptimal ruxolitinib responders</t>
  </si>
  <si>
    <t>CK0804</t>
  </si>
  <si>
    <t>CB-Tregs</t>
  </si>
  <si>
    <t>Cellenkos</t>
  </si>
  <si>
    <t>itacitinib</t>
  </si>
  <si>
    <t>GvHD</t>
  </si>
  <si>
    <t>axatilimab</t>
  </si>
  <si>
    <t>CSF-1R</t>
  </si>
  <si>
    <t>SNDX</t>
  </si>
  <si>
    <t>retifanlimab</t>
  </si>
  <si>
    <t>PD-1</t>
  </si>
  <si>
    <t>MGNX</t>
  </si>
  <si>
    <t>III</t>
  </si>
  <si>
    <t>anal cancer</t>
  </si>
  <si>
    <t>cholangiocarcinoma</t>
  </si>
  <si>
    <t>Pemazyre</t>
  </si>
  <si>
    <t>China approval</t>
  </si>
  <si>
    <t>pemigatinib</t>
  </si>
  <si>
    <t>cholangiocarcinoma approved; glioblastoma</t>
  </si>
  <si>
    <t>Phase II "FIGHT-209" glioblastoma</t>
  </si>
  <si>
    <t>Phase II "FIGHT-210" NSCLC</t>
  </si>
  <si>
    <t>FGFR1/FGFR2/FGFR3 inhibitor</t>
  </si>
  <si>
    <t>Phase III "FIGHT-302" cholangiocarcinoma</t>
  </si>
  <si>
    <t>Phase II "FIGHT-203" myeloid/lymphoid</t>
  </si>
  <si>
    <t>Phase III "frontMIND" 1L DLBCL</t>
  </si>
  <si>
    <t>Phase III "B-MIND" DLBCL</t>
  </si>
  <si>
    <t>Phase II "L-MIND" DLBCL</t>
  </si>
  <si>
    <t>topMIND</t>
  </si>
  <si>
    <t>Phase III "PATHWAY" AIHA</t>
  </si>
  <si>
    <t>PD-1 mab</t>
  </si>
  <si>
    <t>anal cancer; endometrial cancer, Merkel cell, NSCLC</t>
  </si>
  <si>
    <t>Phase III "POD1UM-304" NSCLC</t>
  </si>
  <si>
    <t>Phase II "POD1UM-201" Merkel cell</t>
  </si>
  <si>
    <t>Phase II "POD1UM-204" endometrial</t>
  </si>
  <si>
    <t>Phase II "POD1UM-101" endometrial</t>
  </si>
  <si>
    <t>Phase III "POD1UM-303" SCAC</t>
  </si>
  <si>
    <t>Phase III "TRuE-V2" vitiligo</t>
  </si>
  <si>
    <t>Phase III "TRuE-V1" vitiligo</t>
  </si>
  <si>
    <t>Phase III "TRuE-CHE1" chronic hand eczema</t>
  </si>
  <si>
    <t>Phase III "TRuE-CHE2" chronic hand eczema</t>
  </si>
  <si>
    <t>Phase III "TRuE-AD3" pediatric eczema</t>
  </si>
  <si>
    <t>HS, Vitiligo, PN</t>
  </si>
  <si>
    <t>INCB86550</t>
  </si>
  <si>
    <t>PD-L1</t>
  </si>
  <si>
    <t>Oncology</t>
  </si>
  <si>
    <t>INCB99280</t>
  </si>
  <si>
    <t>INCB99318</t>
  </si>
  <si>
    <t>peripheral neuropathy - deprioritized/cancelled</t>
  </si>
  <si>
    <t>INCB123667</t>
  </si>
  <si>
    <t>CDK2</t>
  </si>
  <si>
    <t>INCB81776</t>
  </si>
  <si>
    <t>AXL/MER</t>
  </si>
  <si>
    <t>epacadostat</t>
  </si>
  <si>
    <t>IDO1</t>
  </si>
  <si>
    <t>INCB106385</t>
  </si>
  <si>
    <t>A2A/A2B</t>
  </si>
  <si>
    <t>INCAGN1876</t>
  </si>
  <si>
    <t>GITR mab</t>
  </si>
  <si>
    <t>INCAGN2385</t>
  </si>
  <si>
    <t>LAG-3 mab</t>
  </si>
  <si>
    <t>INCAGN1949</t>
  </si>
  <si>
    <t>OX40 mab</t>
  </si>
  <si>
    <t>INCAGN2390</t>
  </si>
  <si>
    <t>TIM-3 mab</t>
  </si>
  <si>
    <t>INCA00186</t>
  </si>
  <si>
    <t>CD73 mab</t>
  </si>
  <si>
    <t>AGEN</t>
  </si>
  <si>
    <t>Phase II "GEOMETRY mono-1"</t>
  </si>
  <si>
    <t>52% ORR in 2L, 44% ITT</t>
  </si>
  <si>
    <t>Phase III "BREEZE-AD"</t>
  </si>
  <si>
    <t>Q123</t>
  </si>
  <si>
    <t>Q223</t>
  </si>
  <si>
    <t>Q323</t>
  </si>
  <si>
    <t>Q423</t>
  </si>
  <si>
    <t>Jakafi y/y</t>
  </si>
  <si>
    <t>2026-2028</t>
  </si>
  <si>
    <t>mab</t>
  </si>
  <si>
    <t>USP 7,598,257, filed December 12, 2006, expires 12/24/2027.</t>
  </si>
  <si>
    <t>March 23, 2023 PDUFA for qd formulation</t>
  </si>
  <si>
    <t>Pfizer's Xeljanz (fka CP-690,550 (pan-JAK)). TG101209, Revlimid, Avastin, Vertex, Rigel, Cytopia. CEP-701, XL-019. allogeneic SCT, androgens, prednisone, ESAs, danazol, hydroxyurea, Thalidomide.</t>
  </si>
  <si>
    <t>Phase III "LIMBER-313" 1L MF with ruxolitinib</t>
  </si>
  <si>
    <t>BET inhibitor</t>
  </si>
  <si>
    <t>Phase II myelofibrosis with ruxolitinib</t>
  </si>
  <si>
    <t>Phase II myelofibrosis with ruxo</t>
  </si>
  <si>
    <t>Cord Blood T-regulatory cells</t>
  </si>
  <si>
    <t>Phase II "LIMBER-TREG108"</t>
  </si>
  <si>
    <t>CSF-1R mab</t>
  </si>
  <si>
    <t>SNDX?</t>
  </si>
  <si>
    <t>Phase II "AGAVE-201" 3L+ GvHD</t>
  </si>
  <si>
    <t>FGFR1/2/3</t>
  </si>
  <si>
    <t>povorcitinib (INCB54707)</t>
  </si>
  <si>
    <t>auremolimab</t>
  </si>
  <si>
    <t>IL-15betaR</t>
  </si>
  <si>
    <t>IND</t>
  </si>
  <si>
    <t>INCA32459</t>
  </si>
  <si>
    <t>LAG-3/PD-1</t>
  </si>
  <si>
    <t>Merus</t>
  </si>
  <si>
    <t>ROIC</t>
  </si>
  <si>
    <t>Terminal</t>
  </si>
  <si>
    <t>Pemaryze royalty</t>
  </si>
  <si>
    <t>Zynyz (retifanlimab)</t>
  </si>
  <si>
    <t>Q124</t>
  </si>
  <si>
    <t>Q224</t>
  </si>
  <si>
    <t>Q324</t>
  </si>
  <si>
    <t>Q424</t>
  </si>
  <si>
    <t>Zynyz</t>
  </si>
  <si>
    <t>INCB161734</t>
  </si>
  <si>
    <t>KRAS G12D</t>
  </si>
  <si>
    <t>INCB000262</t>
  </si>
  <si>
    <t>CSU/CIU/AD</t>
  </si>
  <si>
    <t>INCB000547</t>
  </si>
  <si>
    <t>Cholestatic pruritis</t>
  </si>
  <si>
    <t>MRGPRX4</t>
  </si>
  <si>
    <t>MRGPRX2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</si>
</sst>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%"/>
  </numFmts>
  <fonts count="1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/>
    <xf numFmtId="0" fontId="5" fillId="2" borderId="4" xfId="1" applyFill="1" applyBorder="1" applyAlignment="1" applyProtection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2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1" applyFill="1" applyAlignment="1" applyProtection="1"/>
    <xf numFmtId="0" fontId="0" fillId="2" borderId="5" xfId="0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6" fillId="2" borderId="0" xfId="0" applyFont="1" applyFill="1"/>
    <xf numFmtId="0" fontId="5" fillId="2" borderId="8" xfId="1" applyFill="1" applyBorder="1" applyAlignment="1" applyProtection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0" borderId="0" xfId="1" applyAlignment="1" applyProtection="1"/>
    <xf numFmtId="9" fontId="0" fillId="0" borderId="0" xfId="0" applyNumberFormat="1"/>
    <xf numFmtId="4" fontId="0" fillId="0" borderId="0" xfId="0" applyNumberFormat="1"/>
    <xf numFmtId="3" fontId="7" fillId="0" borderId="0" xfId="0" applyNumberFormat="1" applyFont="1"/>
    <xf numFmtId="9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0" borderId="0" xfId="0" applyFont="1"/>
    <xf numFmtId="1" fontId="0" fillId="0" borderId="0" xfId="0" applyNumberFormat="1"/>
    <xf numFmtId="38" fontId="0" fillId="0" borderId="0" xfId="0" applyNumberFormat="1"/>
    <xf numFmtId="40" fontId="0" fillId="0" borderId="0" xfId="0" applyNumberFormat="1"/>
    <xf numFmtId="9" fontId="7" fillId="4" borderId="9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8" fontId="4" fillId="0" borderId="0" xfId="0" applyNumberFormat="1" applyFont="1"/>
    <xf numFmtId="38" fontId="7" fillId="0" borderId="0" xfId="0" applyNumberFormat="1" applyFont="1"/>
    <xf numFmtId="8" fontId="7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9" fontId="0" fillId="0" borderId="0" xfId="2" applyFont="1"/>
    <xf numFmtId="38" fontId="0" fillId="0" borderId="0" xfId="2" applyNumberFormat="1" applyFont="1"/>
    <xf numFmtId="9" fontId="7" fillId="0" borderId="0" xfId="2" applyFont="1"/>
    <xf numFmtId="9" fontId="7" fillId="0" borderId="0" xfId="0" applyNumberFormat="1" applyFont="1"/>
    <xf numFmtId="3" fontId="0" fillId="0" borderId="0" xfId="2" applyNumberFormat="1" applyFont="1"/>
    <xf numFmtId="3" fontId="7" fillId="0" borderId="0" xfId="2" applyNumberFormat="1" applyFont="1"/>
    <xf numFmtId="4" fontId="7" fillId="0" borderId="0" xfId="0" applyNumberFormat="1" applyFont="1"/>
    <xf numFmtId="0" fontId="11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1" fillId="0" borderId="0" xfId="0" applyFont="1"/>
    <xf numFmtId="0" fontId="5" fillId="2" borderId="11" xfId="1" applyFill="1" applyBorder="1" applyAlignment="1" applyProtection="1"/>
    <xf numFmtId="9" fontId="7" fillId="4" borderId="2" xfId="0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2" fillId="2" borderId="4" xfId="1" applyFont="1" applyFill="1" applyBorder="1" applyAlignment="1" applyProtection="1"/>
    <xf numFmtId="0" fontId="5" fillId="0" borderId="0" xfId="1" applyFill="1" applyAlignment="1" applyProtection="1"/>
    <xf numFmtId="0" fontId="2" fillId="0" borderId="0" xfId="0" applyFont="1"/>
    <xf numFmtId="0" fontId="8" fillId="0" borderId="0" xfId="0" applyFont="1"/>
    <xf numFmtId="0" fontId="2" fillId="2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9" xfId="0" applyNumberFormat="1" applyFont="1" applyFill="1" applyBorder="1" applyAlignment="1">
      <alignment horizontal="center"/>
    </xf>
    <xf numFmtId="0" fontId="0" fillId="5" borderId="0" xfId="0" applyFill="1"/>
    <xf numFmtId="0" fontId="8" fillId="5" borderId="0" xfId="0" applyFont="1" applyFill="1"/>
    <xf numFmtId="0" fontId="5" fillId="5" borderId="0" xfId="1" applyFill="1" applyAlignment="1" applyProtection="1"/>
    <xf numFmtId="0" fontId="7" fillId="5" borderId="0" xfId="0" applyFont="1" applyFill="1"/>
    <xf numFmtId="0" fontId="4" fillId="5" borderId="0" xfId="0" applyFont="1" applyFill="1"/>
    <xf numFmtId="164" fontId="0" fillId="0" borderId="0" xfId="0" applyNumberFormat="1"/>
    <xf numFmtId="14" fontId="2" fillId="2" borderId="0" xfId="0" applyNumberFormat="1" applyFont="1" applyFill="1" applyAlignment="1">
      <alignment horizontal="center"/>
    </xf>
    <xf numFmtId="9" fontId="4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DC6899F4-49FA-47C0-A243-CA7720C1A5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28574</xdr:colOff>
      <xdr:row>0</xdr:row>
      <xdr:rowOff>76200</xdr:rowOff>
    </xdr:from>
    <xdr:to>
      <xdr:col>68</xdr:col>
      <xdr:colOff>28575</xdr:colOff>
      <xdr:row>67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45091349" y="76200"/>
          <a:ext cx="1" cy="907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51895</xdr:colOff>
      <xdr:row>0</xdr:row>
      <xdr:rowOff>0</xdr:rowOff>
    </xdr:from>
    <xdr:to>
      <xdr:col>60</xdr:col>
      <xdr:colOff>51895</xdr:colOff>
      <xdr:row>94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A79037-B33A-4338-DDB3-87BF636D174D}"/>
            </a:ext>
          </a:extLst>
        </xdr:cNvPr>
        <xdr:cNvCxnSpPr/>
      </xdr:nvCxnSpPr>
      <xdr:spPr>
        <a:xfrm>
          <a:off x="41337843" y="0"/>
          <a:ext cx="0" cy="154942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32844</xdr:colOff>
      <xdr:row>0</xdr:row>
      <xdr:rowOff>32845</xdr:rowOff>
    </xdr:from>
    <xdr:to>
      <xdr:col>80</xdr:col>
      <xdr:colOff>32844</xdr:colOff>
      <xdr:row>42</xdr:row>
      <xdr:rowOff>131379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6634FF-10A8-BC44-CB1F-F7094EFE1F0A}"/>
            </a:ext>
          </a:extLst>
        </xdr:cNvPr>
        <xdr:cNvCxnSpPr/>
      </xdr:nvCxnSpPr>
      <xdr:spPr>
        <a:xfrm>
          <a:off x="54594672" y="32845"/>
          <a:ext cx="0" cy="6995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22</xdr:col>
      <xdr:colOff>217838</xdr:colOff>
      <xdr:row>15</xdr:row>
      <xdr:rowOff>118749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72950" y="161925"/>
          <a:ext cx="1437038" cy="238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5</xdr:row>
      <xdr:rowOff>152400</xdr:rowOff>
    </xdr:from>
    <xdr:to>
      <xdr:col>18</xdr:col>
      <xdr:colOff>66675</xdr:colOff>
      <xdr:row>42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33" t="15280" r="29835" b="27861"/>
        <a:stretch/>
      </xdr:blipFill>
      <xdr:spPr>
        <a:xfrm>
          <a:off x="3371850" y="962025"/>
          <a:ext cx="7667625" cy="584835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13</xdr:row>
      <xdr:rowOff>85725</xdr:rowOff>
    </xdr:from>
    <xdr:to>
      <xdr:col>21</xdr:col>
      <xdr:colOff>295275</xdr:colOff>
      <xdr:row>13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3038475" y="2190750"/>
          <a:ext cx="10058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18</xdr:col>
      <xdr:colOff>247650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FFB31-56C0-43AE-A30F-9B266AB5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3724275"/>
          <a:ext cx="268605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E7A3AB8-B5D6-4EB1-9BCD-7FD22788B360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4" dT="2022-07-23T19:42:59.53" personId="{8E7A3AB8-B5D6-4EB1-9BCD-7FD22788B360}" id="{49F84EA7-60E9-4A07-9687-5F73B3753E1C}">
    <text>38k new patients treated</text>
  </threadedComment>
  <threadedComment ref="CA9" dT="2022-07-23T19:35:39.11" personId="{8E7A3AB8-B5D6-4EB1-9BCD-7FD22788B360}" id="{25129F1A-9EAA-4FD0-9F4A-A70EBC5AE74F}">
    <text>Q122: raised FY guidance to 2.33-2.40B</text>
  </threadedComment>
  <threadedComment ref="CG9" dT="2022-11-29T14:05:07.64" personId="{8E7A3AB8-B5D6-4EB1-9BCD-7FD22788B360}" id="{04FE2A7F-DDC2-4FDA-A6AD-EA5A9527A019}">
    <text>12/27/27 COM expires</text>
  </threadedComment>
  <threadedComment ref="AT11" dT="2022-11-29T13:42:01.72" personId="{8E7A3AB8-B5D6-4EB1-9BCD-7FD22788B360}" id="{BA114B32-968D-4E6F-8674-2789D31ED391}">
    <text>110m gaap</text>
  </threadedComment>
  <threadedComment ref="AV11" dT="2022-11-29T13:36:53.92" personId="{8E7A3AB8-B5D6-4EB1-9BCD-7FD22788B360}" id="{7413EC19-BA19-4CCC-9594-8B2A112953A1}">
    <text>10m gaap</text>
  </threadedComment>
  <threadedComment ref="AW11" dT="2022-11-29T13:31:05.58" personId="{8E7A3AB8-B5D6-4EB1-9BCD-7FD22788B360}" id="{D53B09E1-7A11-47C4-8D54-4288AE7355A4}">
    <text>35m GAAP</text>
  </threadedComment>
  <threadedComment ref="AX11" dT="2022-11-29T13:41:49.25" personId="{8E7A3AB8-B5D6-4EB1-9BCD-7FD22788B360}" id="{FCFEDBA0-6902-4A7F-92C9-3140B839E47B}">
    <text>50m gaap</text>
  </threadedComment>
  <threadedComment ref="AZ11" dT="2022-11-29T13:36:32.17" personId="{8E7A3AB8-B5D6-4EB1-9BCD-7FD22788B360}" id="{79E616ED-05E5-4BD1-9850-F7A3D4BC4AC2}">
    <text>130m gaap</text>
  </threadedComment>
  <threadedComment ref="BB11" dT="2023-05-30T15:04:17.22" personId="{8E7A3AB8-B5D6-4EB1-9BCD-7FD22788B360}" id="{9501135F-C97E-459E-9860-B0129BB24B00}">
    <text>50m gaap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tabSelected="1" zoomScale="145" zoomScaleNormal="145" workbookViewId="0">
      <selection activeCell="D22" sqref="D22"/>
    </sheetView>
  </sheetViews>
  <sheetFormatPr defaultRowHeight="12.75" x14ac:dyDescent="0.2"/>
  <cols>
    <col min="1" max="1" width="2.42578125" style="1" customWidth="1"/>
    <col min="2" max="2" width="25.28515625" style="1" customWidth="1"/>
    <col min="3" max="3" width="17.85546875" style="3" customWidth="1"/>
    <col min="4" max="4" width="13.5703125" style="3" bestFit="1" customWidth="1"/>
    <col min="5" max="5" width="10.5703125" style="1" customWidth="1"/>
    <col min="6" max="6" width="15.28515625" style="1" customWidth="1"/>
    <col min="7" max="7" width="13.85546875" style="1" customWidth="1"/>
    <col min="8" max="8" width="10.85546875" style="3" bestFit="1" customWidth="1"/>
    <col min="9" max="9" width="4.28515625" style="1" customWidth="1"/>
    <col min="10" max="10" width="7" style="1" bestFit="1" customWidth="1"/>
    <col min="11" max="11" width="7.42578125" style="1" customWidth="1"/>
    <col min="12" max="12" width="6.7109375" style="1" customWidth="1"/>
    <col min="13" max="16384" width="9.140625" style="1"/>
  </cols>
  <sheetData>
    <row r="2" spans="2:12" x14ac:dyDescent="0.2">
      <c r="B2" s="2" t="s">
        <v>0</v>
      </c>
      <c r="C2" s="5" t="s">
        <v>1</v>
      </c>
      <c r="D2" s="5" t="s">
        <v>4</v>
      </c>
      <c r="E2" s="53" t="s">
        <v>370</v>
      </c>
      <c r="F2" s="5" t="s">
        <v>14</v>
      </c>
      <c r="G2" s="53" t="s">
        <v>23</v>
      </c>
      <c r="H2" s="17" t="s">
        <v>53</v>
      </c>
      <c r="J2" s="1" t="s">
        <v>15</v>
      </c>
      <c r="K2" s="11">
        <v>65.72</v>
      </c>
    </row>
    <row r="3" spans="2:12" x14ac:dyDescent="0.2">
      <c r="B3" s="22" t="s">
        <v>373</v>
      </c>
      <c r="C3" s="70" t="s">
        <v>496</v>
      </c>
      <c r="D3" s="23" t="s">
        <v>140</v>
      </c>
      <c r="E3" s="74">
        <v>40863</v>
      </c>
      <c r="F3" s="35" t="s">
        <v>192</v>
      </c>
      <c r="G3" s="70" t="s">
        <v>603</v>
      </c>
      <c r="H3" s="24" t="s">
        <v>59</v>
      </c>
      <c r="J3" s="1" t="s">
        <v>16</v>
      </c>
      <c r="K3" s="19">
        <v>192.598027</v>
      </c>
      <c r="L3" s="52" t="s">
        <v>630</v>
      </c>
    </row>
    <row r="4" spans="2:12" x14ac:dyDescent="0.2">
      <c r="B4" s="7" t="s">
        <v>482</v>
      </c>
      <c r="C4" s="65" t="s">
        <v>487</v>
      </c>
      <c r="D4" s="65" t="s">
        <v>485</v>
      </c>
      <c r="E4" s="13"/>
      <c r="F4" s="66" t="s">
        <v>484</v>
      </c>
      <c r="G4" s="65" t="s">
        <v>604</v>
      </c>
      <c r="H4" s="67" t="s">
        <v>489</v>
      </c>
      <c r="J4" s="1" t="s">
        <v>19</v>
      </c>
      <c r="K4" s="19">
        <f>K2*K3</f>
        <v>12657.542334440001</v>
      </c>
    </row>
    <row r="5" spans="2:12" x14ac:dyDescent="0.2">
      <c r="B5" s="7" t="s">
        <v>456</v>
      </c>
      <c r="C5" s="65" t="s">
        <v>477</v>
      </c>
      <c r="D5" s="65" t="s">
        <v>129</v>
      </c>
      <c r="E5" s="73">
        <v>43251</v>
      </c>
      <c r="F5" s="66" t="s">
        <v>457</v>
      </c>
      <c r="G5" s="13"/>
      <c r="H5" s="67" t="s">
        <v>59</v>
      </c>
      <c r="J5" s="54" t="s">
        <v>17</v>
      </c>
      <c r="K5" s="19">
        <f>987.293+462.207+69.875+29.668</f>
        <v>1549.0429999999999</v>
      </c>
      <c r="L5" s="52" t="s">
        <v>630</v>
      </c>
    </row>
    <row r="6" spans="2:12" x14ac:dyDescent="0.2">
      <c r="B6" s="7" t="s">
        <v>512</v>
      </c>
      <c r="C6" s="65" t="s">
        <v>459</v>
      </c>
      <c r="D6" s="65" t="s">
        <v>458</v>
      </c>
      <c r="E6" s="73">
        <v>43957</v>
      </c>
      <c r="F6" s="66" t="s">
        <v>321</v>
      </c>
      <c r="G6" s="13"/>
      <c r="H6" s="67" t="s">
        <v>59</v>
      </c>
      <c r="J6" s="1" t="s">
        <v>18</v>
      </c>
      <c r="K6" s="19">
        <v>0</v>
      </c>
      <c r="L6" s="52" t="s">
        <v>630</v>
      </c>
    </row>
    <row r="7" spans="2:12" x14ac:dyDescent="0.2">
      <c r="B7" s="7" t="s">
        <v>521</v>
      </c>
      <c r="C7" s="65" t="s">
        <v>499</v>
      </c>
      <c r="D7" s="65" t="s">
        <v>498</v>
      </c>
      <c r="E7" s="13"/>
      <c r="F7" s="66" t="s">
        <v>497</v>
      </c>
      <c r="G7" s="13"/>
      <c r="H7" s="67" t="s">
        <v>59</v>
      </c>
      <c r="J7" s="1" t="s">
        <v>315</v>
      </c>
      <c r="K7" s="19">
        <f>K4-K5+K6</f>
        <v>11108.499334440001</v>
      </c>
    </row>
    <row r="8" spans="2:12" x14ac:dyDescent="0.2">
      <c r="B8" s="7" t="s">
        <v>522</v>
      </c>
      <c r="C8" s="65" t="s">
        <v>542</v>
      </c>
      <c r="D8" s="65" t="s">
        <v>617</v>
      </c>
      <c r="E8" s="73">
        <v>43938</v>
      </c>
      <c r="F8" s="66">
        <v>1</v>
      </c>
      <c r="G8" s="13"/>
      <c r="H8" s="67"/>
      <c r="K8" s="19"/>
    </row>
    <row r="9" spans="2:12" x14ac:dyDescent="0.2">
      <c r="B9" s="7" t="s">
        <v>628</v>
      </c>
      <c r="C9" s="65" t="s">
        <v>541</v>
      </c>
      <c r="D9" s="65" t="s">
        <v>538</v>
      </c>
      <c r="E9" s="81">
        <v>45007</v>
      </c>
      <c r="F9" s="72" t="s">
        <v>539</v>
      </c>
      <c r="G9" s="3"/>
      <c r="H9" s="67" t="s">
        <v>489</v>
      </c>
      <c r="K9" s="19"/>
      <c r="L9" s="30"/>
    </row>
    <row r="10" spans="2:12" x14ac:dyDescent="0.2">
      <c r="B10" s="56" t="s">
        <v>412</v>
      </c>
      <c r="C10" s="59" t="s">
        <v>413</v>
      </c>
      <c r="D10" s="59" t="s">
        <v>140</v>
      </c>
      <c r="E10" s="60">
        <v>44760</v>
      </c>
      <c r="F10" s="69" t="s">
        <v>467</v>
      </c>
      <c r="G10" s="36"/>
      <c r="H10" s="68" t="s">
        <v>460</v>
      </c>
      <c r="J10" s="54" t="s">
        <v>468</v>
      </c>
    </row>
    <row r="11" spans="2:12" s="12" customFormat="1" x14ac:dyDescent="0.2">
      <c r="B11" s="56"/>
      <c r="C11" s="36"/>
      <c r="D11" s="4"/>
      <c r="E11" s="59" t="s">
        <v>5</v>
      </c>
      <c r="F11" s="57"/>
      <c r="G11" s="36"/>
      <c r="H11" s="18"/>
      <c r="J11" s="54" t="s">
        <v>483</v>
      </c>
    </row>
    <row r="12" spans="2:12" s="12" customFormat="1" x14ac:dyDescent="0.2">
      <c r="B12" s="7" t="s">
        <v>494</v>
      </c>
      <c r="C12" s="65" t="s">
        <v>500</v>
      </c>
      <c r="D12" s="65" t="s">
        <v>502</v>
      </c>
      <c r="E12" s="65" t="s">
        <v>540</v>
      </c>
      <c r="F12" s="58">
        <v>1</v>
      </c>
      <c r="G12" s="13"/>
      <c r="H12" s="67" t="s">
        <v>59</v>
      </c>
      <c r="J12" s="54" t="s">
        <v>493</v>
      </c>
    </row>
    <row r="13" spans="2:12" s="12" customFormat="1" x14ac:dyDescent="0.2">
      <c r="B13" s="7" t="s">
        <v>523</v>
      </c>
      <c r="C13" s="65" t="s">
        <v>61</v>
      </c>
      <c r="D13" s="65" t="s">
        <v>524</v>
      </c>
      <c r="E13" s="65" t="s">
        <v>495</v>
      </c>
      <c r="F13" s="29">
        <v>1</v>
      </c>
      <c r="G13" s="3"/>
      <c r="H13" s="67" t="s">
        <v>59</v>
      </c>
      <c r="J13" s="54" t="s">
        <v>514</v>
      </c>
    </row>
    <row r="14" spans="2:12" s="12" customFormat="1" x14ac:dyDescent="0.2">
      <c r="B14" s="7" t="s">
        <v>525</v>
      </c>
      <c r="C14" s="65" t="s">
        <v>61</v>
      </c>
      <c r="D14" s="65" t="s">
        <v>526</v>
      </c>
      <c r="E14" s="65" t="s">
        <v>495</v>
      </c>
      <c r="F14" s="29">
        <v>1</v>
      </c>
      <c r="G14" s="3"/>
      <c r="H14" s="67" t="s">
        <v>59</v>
      </c>
    </row>
    <row r="15" spans="2:12" s="12" customFormat="1" x14ac:dyDescent="0.2">
      <c r="B15" s="61" t="s">
        <v>618</v>
      </c>
      <c r="C15" s="65" t="s">
        <v>569</v>
      </c>
      <c r="D15" s="65" t="s">
        <v>298</v>
      </c>
      <c r="E15" s="65" t="s">
        <v>495</v>
      </c>
      <c r="F15" s="29">
        <v>1</v>
      </c>
      <c r="G15" s="3"/>
      <c r="H15" s="67" t="s">
        <v>59</v>
      </c>
      <c r="J15" s="54"/>
    </row>
    <row r="16" spans="2:12" s="12" customFormat="1" x14ac:dyDescent="0.2">
      <c r="B16" s="61" t="s">
        <v>532</v>
      </c>
      <c r="C16" s="65" t="s">
        <v>533</v>
      </c>
      <c r="D16" s="65" t="s">
        <v>298</v>
      </c>
      <c r="E16" s="13"/>
      <c r="F16" s="29">
        <v>1</v>
      </c>
      <c r="G16" s="3"/>
      <c r="H16" s="67" t="s">
        <v>59</v>
      </c>
      <c r="J16" s="54"/>
    </row>
    <row r="17" spans="2:10" s="12" customFormat="1" x14ac:dyDescent="0.2">
      <c r="B17" s="7" t="s">
        <v>534</v>
      </c>
      <c r="C17" s="65" t="s">
        <v>533</v>
      </c>
      <c r="D17" s="65" t="s">
        <v>535</v>
      </c>
      <c r="E17" s="65" t="s">
        <v>495</v>
      </c>
      <c r="F17" s="72" t="s">
        <v>536</v>
      </c>
      <c r="G17" s="3"/>
      <c r="H17" s="67" t="s">
        <v>489</v>
      </c>
      <c r="J17" s="54"/>
    </row>
    <row r="18" spans="2:10" s="12" customFormat="1" x14ac:dyDescent="0.2">
      <c r="B18" s="61" t="s">
        <v>570</v>
      </c>
      <c r="C18" s="65" t="s">
        <v>572</v>
      </c>
      <c r="D18" s="65" t="s">
        <v>571</v>
      </c>
      <c r="E18" s="65" t="s">
        <v>326</v>
      </c>
      <c r="F18" s="72">
        <v>1</v>
      </c>
      <c r="G18" s="54" t="s">
        <v>575</v>
      </c>
      <c r="H18" s="15"/>
      <c r="J18" s="54"/>
    </row>
    <row r="19" spans="2:10" s="12" customFormat="1" x14ac:dyDescent="0.2">
      <c r="B19" s="61" t="s">
        <v>574</v>
      </c>
      <c r="C19" s="65" t="s">
        <v>572</v>
      </c>
      <c r="D19" s="65" t="s">
        <v>571</v>
      </c>
      <c r="E19" s="65" t="s">
        <v>326</v>
      </c>
      <c r="F19" s="72">
        <v>1</v>
      </c>
      <c r="G19" s="3"/>
      <c r="H19" s="15"/>
      <c r="J19" s="54"/>
    </row>
    <row r="20" spans="2:10" s="12" customFormat="1" x14ac:dyDescent="0.2">
      <c r="B20" s="61" t="s">
        <v>573</v>
      </c>
      <c r="C20" s="65" t="s">
        <v>572</v>
      </c>
      <c r="D20" s="65" t="s">
        <v>571</v>
      </c>
      <c r="E20" s="65" t="s">
        <v>326</v>
      </c>
      <c r="F20" s="72">
        <v>1</v>
      </c>
      <c r="G20" s="3"/>
      <c r="H20" s="15"/>
      <c r="J20" s="54"/>
    </row>
    <row r="21" spans="2:10" s="12" customFormat="1" x14ac:dyDescent="0.2">
      <c r="B21" s="61" t="s">
        <v>636</v>
      </c>
      <c r="C21" s="65" t="s">
        <v>637</v>
      </c>
      <c r="D21" s="65" t="s">
        <v>641</v>
      </c>
      <c r="E21" s="65" t="s">
        <v>495</v>
      </c>
      <c r="F21" s="72"/>
      <c r="G21" s="3"/>
      <c r="H21" s="15"/>
      <c r="J21" s="54"/>
    </row>
    <row r="22" spans="2:10" s="12" customFormat="1" x14ac:dyDescent="0.2">
      <c r="B22" s="61" t="s">
        <v>638</v>
      </c>
      <c r="C22" s="65" t="s">
        <v>639</v>
      </c>
      <c r="D22" s="65" t="s">
        <v>640</v>
      </c>
      <c r="E22" s="65" t="s">
        <v>495</v>
      </c>
      <c r="F22" s="72"/>
      <c r="G22" s="3"/>
      <c r="H22" s="15"/>
      <c r="J22" s="54"/>
    </row>
    <row r="23" spans="2:10" s="12" customFormat="1" x14ac:dyDescent="0.2">
      <c r="B23" s="61" t="s">
        <v>576</v>
      </c>
      <c r="C23" s="65" t="s">
        <v>572</v>
      </c>
      <c r="D23" s="65" t="s">
        <v>577</v>
      </c>
      <c r="E23" s="65" t="s">
        <v>326</v>
      </c>
      <c r="F23" s="72">
        <v>1</v>
      </c>
      <c r="G23" s="3"/>
      <c r="H23" s="15"/>
      <c r="J23" s="54"/>
    </row>
    <row r="24" spans="2:10" s="12" customFormat="1" x14ac:dyDescent="0.2">
      <c r="B24" s="61" t="s">
        <v>578</v>
      </c>
      <c r="C24" s="65" t="s">
        <v>572</v>
      </c>
      <c r="D24" s="65" t="s">
        <v>579</v>
      </c>
      <c r="E24" s="65"/>
      <c r="F24" s="72"/>
      <c r="G24" s="3"/>
      <c r="H24" s="15"/>
      <c r="J24" s="54"/>
    </row>
    <row r="25" spans="2:10" s="12" customFormat="1" x14ac:dyDescent="0.2">
      <c r="B25" s="61" t="s">
        <v>619</v>
      </c>
      <c r="C25" s="65" t="s">
        <v>413</v>
      </c>
      <c r="D25" s="65" t="s">
        <v>620</v>
      </c>
      <c r="E25" s="65" t="s">
        <v>621</v>
      </c>
      <c r="F25" s="72">
        <v>1</v>
      </c>
      <c r="G25" s="54"/>
      <c r="H25" s="15"/>
      <c r="J25" s="54"/>
    </row>
    <row r="26" spans="2:10" s="12" customFormat="1" x14ac:dyDescent="0.2">
      <c r="B26" s="61" t="s">
        <v>580</v>
      </c>
      <c r="C26" s="65" t="s">
        <v>572</v>
      </c>
      <c r="D26" s="65" t="s">
        <v>581</v>
      </c>
      <c r="E26" s="65"/>
      <c r="F26" s="72"/>
      <c r="G26" s="3"/>
      <c r="H26" s="15"/>
      <c r="J26" s="54"/>
    </row>
    <row r="27" spans="2:10" s="12" customFormat="1" x14ac:dyDescent="0.2">
      <c r="B27" s="61" t="s">
        <v>634</v>
      </c>
      <c r="C27" s="65"/>
      <c r="D27" s="65" t="s">
        <v>635</v>
      </c>
      <c r="E27" s="65" t="s">
        <v>326</v>
      </c>
      <c r="F27" s="72"/>
      <c r="G27" s="3"/>
      <c r="H27" s="15"/>
      <c r="J27" s="54"/>
    </row>
    <row r="28" spans="2:10" s="12" customFormat="1" x14ac:dyDescent="0.2">
      <c r="B28" s="61" t="s">
        <v>582</v>
      </c>
      <c r="C28" s="65" t="s">
        <v>572</v>
      </c>
      <c r="D28" s="65" t="s">
        <v>583</v>
      </c>
      <c r="E28" s="65"/>
      <c r="F28" s="72"/>
      <c r="G28" s="3"/>
      <c r="H28" s="15"/>
      <c r="J28" s="54"/>
    </row>
    <row r="29" spans="2:10" s="12" customFormat="1" x14ac:dyDescent="0.2">
      <c r="B29" s="61" t="s">
        <v>586</v>
      </c>
      <c r="C29" s="65" t="s">
        <v>572</v>
      </c>
      <c r="D29" s="65" t="s">
        <v>587</v>
      </c>
      <c r="E29" s="65"/>
      <c r="F29" s="72" t="s">
        <v>594</v>
      </c>
      <c r="G29" s="3"/>
      <c r="H29" s="15"/>
      <c r="J29" s="54"/>
    </row>
    <row r="30" spans="2:10" s="12" customFormat="1" x14ac:dyDescent="0.2">
      <c r="B30" s="61" t="s">
        <v>588</v>
      </c>
      <c r="C30" s="65" t="s">
        <v>572</v>
      </c>
      <c r="D30" s="65" t="s">
        <v>589</v>
      </c>
      <c r="E30" s="65"/>
      <c r="F30" s="72" t="s">
        <v>594</v>
      </c>
      <c r="G30" s="3"/>
      <c r="H30" s="15"/>
      <c r="J30" s="54"/>
    </row>
    <row r="31" spans="2:10" s="12" customFormat="1" x14ac:dyDescent="0.2">
      <c r="B31" s="61" t="s">
        <v>590</v>
      </c>
      <c r="C31" s="65" t="s">
        <v>572</v>
      </c>
      <c r="D31" s="65" t="s">
        <v>591</v>
      </c>
      <c r="E31" s="65"/>
      <c r="F31" s="72" t="s">
        <v>594</v>
      </c>
      <c r="G31" s="3"/>
      <c r="H31" s="15"/>
      <c r="J31" s="54"/>
    </row>
    <row r="32" spans="2:10" s="12" customFormat="1" x14ac:dyDescent="0.2">
      <c r="B32" s="61" t="s">
        <v>592</v>
      </c>
      <c r="C32" s="65" t="s">
        <v>572</v>
      </c>
      <c r="D32" s="65" t="s">
        <v>593</v>
      </c>
      <c r="E32" s="65"/>
      <c r="F32" s="72" t="s">
        <v>594</v>
      </c>
      <c r="G32" s="3"/>
      <c r="H32" s="15"/>
      <c r="J32" s="54"/>
    </row>
    <row r="33" spans="2:12" s="12" customFormat="1" x14ac:dyDescent="0.2">
      <c r="B33" s="61" t="s">
        <v>622</v>
      </c>
      <c r="C33" s="65" t="s">
        <v>572</v>
      </c>
      <c r="D33" s="65" t="s">
        <v>623</v>
      </c>
      <c r="E33" s="65"/>
      <c r="F33" s="72" t="s">
        <v>624</v>
      </c>
      <c r="G33" s="3"/>
      <c r="H33" s="15"/>
      <c r="J33" s="54"/>
    </row>
    <row r="34" spans="2:12" s="12" customFormat="1" x14ac:dyDescent="0.2">
      <c r="B34" s="61" t="s">
        <v>584</v>
      </c>
      <c r="C34" s="65" t="s">
        <v>572</v>
      </c>
      <c r="D34" s="65" t="s">
        <v>585</v>
      </c>
      <c r="E34" s="65"/>
      <c r="F34" s="72" t="s">
        <v>594</v>
      </c>
      <c r="G34" s="3"/>
      <c r="H34" s="15"/>
      <c r="J34" s="54"/>
    </row>
    <row r="35" spans="2:12" s="12" customFormat="1" x14ac:dyDescent="0.2">
      <c r="B35" s="56" t="s">
        <v>529</v>
      </c>
      <c r="C35" s="59" t="s">
        <v>61</v>
      </c>
      <c r="D35" s="59" t="s">
        <v>530</v>
      </c>
      <c r="E35" s="36"/>
      <c r="F35" s="71" t="s">
        <v>531</v>
      </c>
      <c r="G35" s="4"/>
      <c r="H35" s="18"/>
    </row>
    <row r="36" spans="2:12" s="12" customFormat="1" x14ac:dyDescent="0.2"/>
    <row r="37" spans="2:12" s="12" customFormat="1" x14ac:dyDescent="0.2">
      <c r="C37" s="13"/>
      <c r="D37" s="13"/>
      <c r="G37" s="54" t="s">
        <v>474</v>
      </c>
      <c r="H37" s="13"/>
    </row>
    <row r="38" spans="2:12" s="12" customFormat="1" x14ac:dyDescent="0.2">
      <c r="C38" s="13"/>
      <c r="D38" s="13"/>
      <c r="G38" s="54" t="s">
        <v>475</v>
      </c>
      <c r="H38" s="13"/>
    </row>
    <row r="39" spans="2:12" s="12" customFormat="1" x14ac:dyDescent="0.2">
      <c r="C39" s="13"/>
      <c r="D39" s="13"/>
      <c r="G39" s="54" t="s">
        <v>476</v>
      </c>
      <c r="H39" s="13"/>
    </row>
    <row r="40" spans="2:12" s="12" customFormat="1" x14ac:dyDescent="0.2">
      <c r="C40" s="13"/>
      <c r="D40" s="13"/>
      <c r="G40" s="54" t="s">
        <v>491</v>
      </c>
      <c r="H40" s="13"/>
      <c r="J40" s="1"/>
      <c r="K40" s="1"/>
      <c r="L40" s="1"/>
    </row>
    <row r="41" spans="2:12" s="12" customFormat="1" x14ac:dyDescent="0.2">
      <c r="C41" s="13"/>
      <c r="D41" s="13"/>
      <c r="G41" s="54" t="s">
        <v>492</v>
      </c>
      <c r="H41" s="13"/>
      <c r="J41" s="1"/>
      <c r="K41" s="1"/>
      <c r="L41" s="1"/>
    </row>
    <row r="42" spans="2:12" x14ac:dyDescent="0.2">
      <c r="B42" s="6"/>
      <c r="C42" s="13"/>
      <c r="D42" s="13"/>
      <c r="E42" s="12"/>
      <c r="F42" s="12"/>
      <c r="G42" s="54" t="s">
        <v>505</v>
      </c>
      <c r="H42" s="13"/>
    </row>
    <row r="43" spans="2:12" x14ac:dyDescent="0.2">
      <c r="B43" s="6"/>
      <c r="C43" s="13"/>
      <c r="D43" s="13"/>
      <c r="E43" s="12"/>
      <c r="F43" s="12"/>
      <c r="G43" s="54" t="s">
        <v>506</v>
      </c>
      <c r="H43" s="13"/>
    </row>
    <row r="44" spans="2:12" x14ac:dyDescent="0.2">
      <c r="B44" s="6"/>
      <c r="C44" s="13"/>
      <c r="D44" s="13"/>
      <c r="E44" s="12"/>
      <c r="F44" s="12"/>
      <c r="G44" s="54" t="s">
        <v>507</v>
      </c>
      <c r="H44" s="13"/>
    </row>
    <row r="45" spans="2:12" x14ac:dyDescent="0.2">
      <c r="B45" s="6"/>
      <c r="C45" s="13"/>
      <c r="D45" s="13"/>
      <c r="E45" s="12"/>
      <c r="F45" s="12"/>
      <c r="G45" s="54" t="s">
        <v>513</v>
      </c>
      <c r="H45" s="13"/>
    </row>
    <row r="46" spans="2:12" x14ac:dyDescent="0.2">
      <c r="B46" s="6"/>
      <c r="C46" s="13"/>
      <c r="D46" s="13"/>
      <c r="E46" s="12"/>
      <c r="F46" s="12"/>
      <c r="G46" s="54" t="s">
        <v>511</v>
      </c>
      <c r="H46" s="13"/>
    </row>
    <row r="47" spans="2:12" x14ac:dyDescent="0.2">
      <c r="B47" s="6"/>
      <c r="C47" s="13"/>
      <c r="D47" s="13"/>
      <c r="E47" s="12"/>
      <c r="F47" s="12"/>
      <c r="G47" s="54" t="s">
        <v>519</v>
      </c>
      <c r="H47" s="13"/>
    </row>
    <row r="48" spans="2:12" x14ac:dyDescent="0.2">
      <c r="B48" s="12"/>
      <c r="C48" s="13"/>
      <c r="D48" s="13"/>
      <c r="E48" s="12"/>
      <c r="F48" s="12"/>
      <c r="G48" s="12"/>
      <c r="H48" s="13"/>
    </row>
    <row r="49" spans="3:8" x14ac:dyDescent="0.2">
      <c r="C49" s="13"/>
      <c r="D49" s="13"/>
      <c r="E49" s="12"/>
      <c r="F49" s="12"/>
      <c r="G49" s="21" t="s">
        <v>137</v>
      </c>
      <c r="H49" s="13"/>
    </row>
    <row r="50" spans="3:8" x14ac:dyDescent="0.2">
      <c r="C50" s="13"/>
      <c r="D50" s="13"/>
      <c r="E50" s="12"/>
      <c r="F50" s="12"/>
      <c r="G50" s="21" t="s">
        <v>76</v>
      </c>
      <c r="H50" s="13"/>
    </row>
    <row r="51" spans="3:8" x14ac:dyDescent="0.2">
      <c r="C51" s="13"/>
      <c r="D51" s="13"/>
      <c r="E51" s="12"/>
      <c r="F51" s="12"/>
      <c r="G51" s="12" t="s">
        <v>75</v>
      </c>
      <c r="H51" s="13"/>
    </row>
    <row r="52" spans="3:8" x14ac:dyDescent="0.2">
      <c r="C52" s="13"/>
      <c r="D52" s="13"/>
      <c r="E52" s="12"/>
      <c r="F52" s="12"/>
      <c r="G52" s="12" t="s">
        <v>77</v>
      </c>
      <c r="H52" s="13"/>
    </row>
    <row r="53" spans="3:8" x14ac:dyDescent="0.2">
      <c r="C53" s="13"/>
      <c r="D53" s="13"/>
      <c r="E53" s="12"/>
      <c r="F53" s="12"/>
      <c r="G53" s="12" t="s">
        <v>80</v>
      </c>
      <c r="H53" s="13"/>
    </row>
    <row r="54" spans="3:8" x14ac:dyDescent="0.2">
      <c r="C54" s="13"/>
      <c r="D54" s="13"/>
      <c r="E54" s="12"/>
      <c r="F54" s="12"/>
      <c r="G54" s="12" t="s">
        <v>78</v>
      </c>
      <c r="H54" s="13"/>
    </row>
    <row r="55" spans="3:8" x14ac:dyDescent="0.2">
      <c r="G55" s="21" t="s">
        <v>189</v>
      </c>
    </row>
    <row r="56" spans="3:8" x14ac:dyDescent="0.2">
      <c r="G56" s="21" t="s">
        <v>193</v>
      </c>
    </row>
    <row r="57" spans="3:8" x14ac:dyDescent="0.2">
      <c r="G57" s="21" t="s">
        <v>190</v>
      </c>
    </row>
    <row r="58" spans="3:8" x14ac:dyDescent="0.2">
      <c r="G58" s="21" t="s">
        <v>194</v>
      </c>
    </row>
    <row r="59" spans="3:8" x14ac:dyDescent="0.2">
      <c r="G59" s="21" t="s">
        <v>217</v>
      </c>
    </row>
    <row r="60" spans="3:8" x14ac:dyDescent="0.2">
      <c r="G60" s="21" t="s">
        <v>212</v>
      </c>
    </row>
    <row r="61" spans="3:8" x14ac:dyDescent="0.2">
      <c r="G61" s="21" t="s">
        <v>205</v>
      </c>
    </row>
    <row r="62" spans="3:8" x14ac:dyDescent="0.2">
      <c r="G62" s="21" t="s">
        <v>196</v>
      </c>
    </row>
    <row r="63" spans="3:8" x14ac:dyDescent="0.2">
      <c r="G63" s="12" t="s">
        <v>248</v>
      </c>
    </row>
    <row r="64" spans="3:8" x14ac:dyDescent="0.2">
      <c r="G64" s="12" t="s">
        <v>249</v>
      </c>
    </row>
    <row r="65" spans="7:7" x14ac:dyDescent="0.2">
      <c r="G65" s="12" t="s">
        <v>250</v>
      </c>
    </row>
    <row r="66" spans="7:7" x14ac:dyDescent="0.2">
      <c r="G66" s="12" t="s">
        <v>251</v>
      </c>
    </row>
    <row r="67" spans="7:7" x14ac:dyDescent="0.2">
      <c r="G67" s="12" t="s">
        <v>247</v>
      </c>
    </row>
  </sheetData>
  <phoneticPr fontId="3" type="noConversion"/>
  <hyperlinks>
    <hyperlink ref="B3" location="Jakafi!A1" display="Jakafi (ruxolitinib)" xr:uid="{00000000-0004-0000-0000-000000000000}"/>
    <hyperlink ref="B6" location="Tabrecta!A1" display="Tabrecta" xr:uid="{D49F6785-6758-4A3B-A89F-724C5F0628B2}"/>
    <hyperlink ref="B5" location="Olumiant!A1" display="Olumiant (baricitinib)" xr:uid="{0771C424-AA2E-4651-AD7F-741F291BFB40}"/>
    <hyperlink ref="B10" location="Opzelura!A1" display="Opzelura (ruxolitinib)" xr:uid="{7E87467E-5A2B-4043-9360-4266BB5EC17A}"/>
    <hyperlink ref="B4" location="Minjuvi!A1" display="Monjuvi/Minjuvi (tafasitamab)" xr:uid="{77308B54-8E55-4CFC-839E-D2C5589A0B81}"/>
    <hyperlink ref="B12" location="parsaclisib!A1" display="parsaclisib" xr:uid="{AFFBB66C-24DC-4974-974F-9738294C9027}"/>
    <hyperlink ref="B8" location="Pemazyre!A1" display="Pemaryze (pemigatinib)" xr:uid="{EF255AF1-494F-4B92-BC86-7D775BE1A0E7}"/>
    <hyperlink ref="B13" location="INCB57643!A1" display="INCB57643" xr:uid="{E394B167-F85C-4585-9BD6-C7C32B7EE36A}"/>
    <hyperlink ref="B14" location="INCB00928!A1" display="INCB00928" xr:uid="{ED8AB20F-4DBB-498F-94D4-0E4B9565680F}"/>
    <hyperlink ref="B35" location="'CK0804'!A1" display="CK0804" xr:uid="{56AAEF0B-2999-4091-AC6C-C59BBD1356C3}"/>
    <hyperlink ref="B17" location="axatilimab!A1" display="axatilimab" xr:uid="{21207E7F-1C6B-4A9F-ABE5-FF1E4F9523EA}"/>
    <hyperlink ref="B9" location="retifanlimab!A1" display="retifanlimab" xr:uid="{F283F35F-A246-42E0-B3D7-DC33C613D6AD}"/>
  </hyperlink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03D-C783-4994-8723-E5E42ACA7B54}">
  <dimension ref="A1:C1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537</v>
      </c>
    </row>
    <row r="4" spans="1:3" x14ac:dyDescent="0.2">
      <c r="B4" s="63" t="s">
        <v>1</v>
      </c>
      <c r="C4" s="63" t="s">
        <v>558</v>
      </c>
    </row>
    <row r="5" spans="1:3" x14ac:dyDescent="0.2">
      <c r="B5" s="63" t="s">
        <v>488</v>
      </c>
      <c r="C5" s="63" t="s">
        <v>557</v>
      </c>
    </row>
    <row r="6" spans="1:3" x14ac:dyDescent="0.2">
      <c r="B6" s="63" t="s">
        <v>14</v>
      </c>
      <c r="C6" s="63" t="s">
        <v>539</v>
      </c>
    </row>
    <row r="7" spans="1:3" x14ac:dyDescent="0.2">
      <c r="B7" s="63" t="s">
        <v>12</v>
      </c>
    </row>
    <row r="8" spans="1:3" x14ac:dyDescent="0.2">
      <c r="C8" s="64" t="s">
        <v>562</v>
      </c>
    </row>
    <row r="10" spans="1:3" x14ac:dyDescent="0.2">
      <c r="C10" s="64" t="s">
        <v>561</v>
      </c>
    </row>
    <row r="12" spans="1:3" x14ac:dyDescent="0.2">
      <c r="C12" s="64" t="s">
        <v>560</v>
      </c>
    </row>
    <row r="14" spans="1:3" x14ac:dyDescent="0.2">
      <c r="C14" s="64" t="s">
        <v>559</v>
      </c>
    </row>
    <row r="16" spans="1:3" x14ac:dyDescent="0.2">
      <c r="C16" s="64" t="s">
        <v>563</v>
      </c>
    </row>
  </sheetData>
  <hyperlinks>
    <hyperlink ref="A1" location="Main!A1" display="Main" xr:uid="{0F833C6B-D4F8-48F5-B188-411AF70DBC8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F30C-4282-424F-90FD-2875BB463263}">
  <dimension ref="A1:C17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494</v>
      </c>
    </row>
    <row r="4" spans="1:3" x14ac:dyDescent="0.2">
      <c r="B4" s="63" t="s">
        <v>1</v>
      </c>
      <c r="C4" s="63" t="s">
        <v>501</v>
      </c>
    </row>
    <row r="5" spans="1:3" x14ac:dyDescent="0.2">
      <c r="B5" s="63" t="s">
        <v>488</v>
      </c>
      <c r="C5" s="63" t="s">
        <v>502</v>
      </c>
    </row>
    <row r="6" spans="1:3" x14ac:dyDescent="0.2">
      <c r="B6" s="63" t="s">
        <v>12</v>
      </c>
    </row>
    <row r="7" spans="1:3" x14ac:dyDescent="0.2">
      <c r="C7" s="64" t="s">
        <v>503</v>
      </c>
    </row>
    <row r="9" spans="1:3" x14ac:dyDescent="0.2">
      <c r="C9" s="64" t="s">
        <v>527</v>
      </c>
    </row>
    <row r="12" spans="1:3" x14ac:dyDescent="0.2">
      <c r="C12" s="64" t="s">
        <v>608</v>
      </c>
    </row>
    <row r="14" spans="1:3" x14ac:dyDescent="0.2">
      <c r="C14" s="64" t="s">
        <v>528</v>
      </c>
    </row>
    <row r="17" spans="3:3" x14ac:dyDescent="0.2">
      <c r="C17" s="64" t="s">
        <v>556</v>
      </c>
    </row>
  </sheetData>
  <hyperlinks>
    <hyperlink ref="A1" location="Main!A1" display="Main" xr:uid="{8EE6A525-D868-45DD-AFDF-6BB5B0F9872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32B-8BFC-49CA-8D2D-253905584093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523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609</v>
      </c>
    </row>
    <row r="6" spans="1:3" x14ac:dyDescent="0.2">
      <c r="B6" s="63" t="s">
        <v>12</v>
      </c>
    </row>
    <row r="7" spans="1:3" x14ac:dyDescent="0.2">
      <c r="C7" s="64" t="s">
        <v>610</v>
      </c>
    </row>
  </sheetData>
  <hyperlinks>
    <hyperlink ref="A1" location="Main!A1" display="Main" xr:uid="{31B346E7-C8EE-41A1-8519-587F83E9402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839-0F72-4CB9-8451-3654AA439C61}">
  <dimension ref="A1:C8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529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14</v>
      </c>
      <c r="C5" s="63" t="s">
        <v>531</v>
      </c>
    </row>
    <row r="6" spans="1:3" x14ac:dyDescent="0.2">
      <c r="B6" s="63" t="s">
        <v>488</v>
      </c>
      <c r="C6" s="63" t="s">
        <v>612</v>
      </c>
    </row>
    <row r="7" spans="1:3" x14ac:dyDescent="0.2">
      <c r="B7" s="63" t="s">
        <v>12</v>
      </c>
    </row>
    <row r="8" spans="1:3" x14ac:dyDescent="0.2">
      <c r="C8" s="64" t="s">
        <v>613</v>
      </c>
    </row>
  </sheetData>
  <hyperlinks>
    <hyperlink ref="A1" location="Main!A1" display="Main" xr:uid="{0C0C2BAB-8B87-4C8C-92FB-A3B922DFC03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AA5-7502-4061-A225-59AC76722896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525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526</v>
      </c>
    </row>
    <row r="6" spans="1:3" x14ac:dyDescent="0.2">
      <c r="B6" s="63" t="s">
        <v>12</v>
      </c>
    </row>
    <row r="7" spans="1:3" x14ac:dyDescent="0.2">
      <c r="C7" s="64" t="s">
        <v>611</v>
      </c>
    </row>
  </sheetData>
  <hyperlinks>
    <hyperlink ref="A1" location="Main!A1" display="Main" xr:uid="{FCF69CFD-FEDA-4CFF-BEA4-22121F5FF78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AC24-E69D-4DBB-9031-AF390FF5ED0E}">
  <dimension ref="A1:C8"/>
  <sheetViews>
    <sheetView zoomScale="280" zoomScaleNormal="28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534</v>
      </c>
    </row>
    <row r="4" spans="1:3" x14ac:dyDescent="0.2">
      <c r="B4" s="63" t="s">
        <v>1</v>
      </c>
      <c r="C4" s="63" t="s">
        <v>533</v>
      </c>
    </row>
    <row r="5" spans="1:3" x14ac:dyDescent="0.2">
      <c r="B5" s="63" t="s">
        <v>488</v>
      </c>
      <c r="C5" s="63" t="s">
        <v>614</v>
      </c>
    </row>
    <row r="6" spans="1:3" x14ac:dyDescent="0.2">
      <c r="B6" s="63" t="s">
        <v>14</v>
      </c>
      <c r="C6" s="63" t="s">
        <v>615</v>
      </c>
    </row>
    <row r="7" spans="1:3" x14ac:dyDescent="0.2">
      <c r="B7" s="63" t="s">
        <v>12</v>
      </c>
    </row>
    <row r="8" spans="1:3" x14ac:dyDescent="0.2">
      <c r="C8" s="64" t="s">
        <v>616</v>
      </c>
    </row>
  </sheetData>
  <hyperlinks>
    <hyperlink ref="A1" location="Main!A1" display="Main" xr:uid="{7CC9E9C8-1B4C-4DF5-908B-7F46131AE42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L21" sqref="L21"/>
    </sheetView>
  </sheetViews>
  <sheetFormatPr defaultRowHeight="12.75" x14ac:dyDescent="0.2"/>
  <cols>
    <col min="1" max="1" width="5" style="75" bestFit="1" customWidth="1"/>
    <col min="2" max="2" width="12.85546875" style="75" bestFit="1" customWidth="1"/>
    <col min="3" max="16384" width="9.140625" style="75"/>
  </cols>
  <sheetData>
    <row r="1" spans="1:3" x14ac:dyDescent="0.2">
      <c r="A1" s="77" t="s">
        <v>52</v>
      </c>
      <c r="C1" s="78"/>
    </row>
    <row r="2" spans="1:3" x14ac:dyDescent="0.2">
      <c r="B2" s="75" t="s">
        <v>10</v>
      </c>
      <c r="C2" s="78" t="s">
        <v>3</v>
      </c>
    </row>
    <row r="3" spans="1:3" x14ac:dyDescent="0.2">
      <c r="B3" s="75" t="s">
        <v>1</v>
      </c>
      <c r="C3" s="78" t="s">
        <v>327</v>
      </c>
    </row>
    <row r="4" spans="1:3" x14ac:dyDescent="0.2">
      <c r="B4" s="75" t="s">
        <v>11</v>
      </c>
      <c r="C4" s="78" t="s">
        <v>54</v>
      </c>
    </row>
    <row r="5" spans="1:3" x14ac:dyDescent="0.2">
      <c r="B5" s="75" t="s">
        <v>22</v>
      </c>
      <c r="C5" s="78" t="s">
        <v>59</v>
      </c>
    </row>
    <row r="6" spans="1:3" x14ac:dyDescent="0.2">
      <c r="B6" s="75" t="s">
        <v>14</v>
      </c>
      <c r="C6" s="78" t="s">
        <v>321</v>
      </c>
    </row>
    <row r="7" spans="1:3" x14ac:dyDescent="0.2">
      <c r="B7" s="75" t="s">
        <v>23</v>
      </c>
      <c r="C7" s="78"/>
    </row>
    <row r="8" spans="1:3" x14ac:dyDescent="0.2">
      <c r="C8" s="78"/>
    </row>
    <row r="9" spans="1:3" x14ac:dyDescent="0.2">
      <c r="B9" s="75" t="s">
        <v>12</v>
      </c>
      <c r="C9" s="78"/>
    </row>
    <row r="10" spans="1:3" x14ac:dyDescent="0.2">
      <c r="C10" s="76" t="s">
        <v>328</v>
      </c>
    </row>
    <row r="11" spans="1:3" x14ac:dyDescent="0.2">
      <c r="C11" s="78" t="s">
        <v>329</v>
      </c>
    </row>
    <row r="12" spans="1:3" x14ac:dyDescent="0.2">
      <c r="C12" s="79" t="s">
        <v>330</v>
      </c>
    </row>
    <row r="13" spans="1:3" x14ac:dyDescent="0.2">
      <c r="C13" s="78"/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31" t="s">
        <v>195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331</v>
      </c>
    </row>
    <row r="5" spans="1:3" x14ac:dyDescent="0.2">
      <c r="B5" t="s">
        <v>22</v>
      </c>
      <c r="C5" s="31" t="s">
        <v>59</v>
      </c>
    </row>
    <row r="6" spans="1:3" x14ac:dyDescent="0.2">
      <c r="B6" t="s">
        <v>14</v>
      </c>
      <c r="C6" s="31" t="s">
        <v>332</v>
      </c>
    </row>
    <row r="7" spans="1:3" x14ac:dyDescent="0.2">
      <c r="B7" t="s">
        <v>23</v>
      </c>
      <c r="C7" s="31"/>
    </row>
    <row r="8" spans="1:3" x14ac:dyDescent="0.2">
      <c r="C8" s="31"/>
    </row>
    <row r="9" spans="1:3" x14ac:dyDescent="0.2">
      <c r="B9" t="s">
        <v>12</v>
      </c>
      <c r="C9" s="31"/>
    </row>
    <row r="10" spans="1:3" x14ac:dyDescent="0.2">
      <c r="C10" s="64" t="s">
        <v>333</v>
      </c>
    </row>
    <row r="11" spans="1:3" x14ac:dyDescent="0.2">
      <c r="C11" s="31" t="s">
        <v>323</v>
      </c>
    </row>
    <row r="12" spans="1:3" x14ac:dyDescent="0.2">
      <c r="C12" s="31" t="s">
        <v>334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16"/>
  <sheetViews>
    <sheetView workbookViewId="0">
      <selection activeCell="E10" sqref="E10"/>
    </sheetView>
  </sheetViews>
  <sheetFormatPr defaultRowHeight="12.75" x14ac:dyDescent="0.2"/>
  <cols>
    <col min="1" max="1" width="9.140625" style="75"/>
    <col min="2" max="2" width="12.85546875" style="75" bestFit="1" customWidth="1"/>
    <col min="3" max="16384" width="9.140625" style="75"/>
  </cols>
  <sheetData>
    <row r="2" spans="2:3" x14ac:dyDescent="0.2">
      <c r="B2" s="75" t="s">
        <v>10</v>
      </c>
      <c r="C2" s="75" t="s">
        <v>3</v>
      </c>
    </row>
    <row r="3" spans="2:3" x14ac:dyDescent="0.2">
      <c r="B3" s="75" t="s">
        <v>21</v>
      </c>
    </row>
    <row r="4" spans="2:3" x14ac:dyDescent="0.2">
      <c r="B4" s="75" t="s">
        <v>1</v>
      </c>
      <c r="C4" s="75" t="s">
        <v>45</v>
      </c>
    </row>
    <row r="5" spans="2:3" x14ac:dyDescent="0.2">
      <c r="B5" s="75" t="s">
        <v>11</v>
      </c>
      <c r="C5" s="75" t="s">
        <v>13</v>
      </c>
    </row>
    <row r="6" spans="2:3" x14ac:dyDescent="0.2">
      <c r="B6" s="75" t="s">
        <v>22</v>
      </c>
      <c r="C6" s="75" t="s">
        <v>48</v>
      </c>
    </row>
    <row r="7" spans="2:3" x14ac:dyDescent="0.2">
      <c r="B7" s="75" t="s">
        <v>6</v>
      </c>
    </row>
    <row r="8" spans="2:3" x14ac:dyDescent="0.2">
      <c r="B8" s="75" t="s">
        <v>14</v>
      </c>
    </row>
    <row r="9" spans="2:3" x14ac:dyDescent="0.2">
      <c r="B9" s="75" t="s">
        <v>23</v>
      </c>
    </row>
    <row r="10" spans="2:3" x14ac:dyDescent="0.2">
      <c r="B10" s="75" t="s">
        <v>24</v>
      </c>
    </row>
    <row r="11" spans="2:3" x14ac:dyDescent="0.2">
      <c r="B11" s="75" t="s">
        <v>12</v>
      </c>
    </row>
    <row r="12" spans="2:3" x14ac:dyDescent="0.2">
      <c r="C12" s="76" t="s">
        <v>46</v>
      </c>
    </row>
    <row r="13" spans="2:3" x14ac:dyDescent="0.2">
      <c r="C13" s="75" t="s">
        <v>47</v>
      </c>
    </row>
    <row r="15" spans="2:3" x14ac:dyDescent="0.2">
      <c r="C15" s="76" t="s">
        <v>49</v>
      </c>
    </row>
    <row r="16" spans="2:3" x14ac:dyDescent="0.2">
      <c r="C16" s="75" t="s">
        <v>50</v>
      </c>
    </row>
  </sheetData>
  <phoneticPr fontId="3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8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42</v>
      </c>
    </row>
    <row r="5" spans="1:3" x14ac:dyDescent="0.2">
      <c r="B5" s="1" t="s">
        <v>11</v>
      </c>
      <c r="C5" s="1" t="s">
        <v>41</v>
      </c>
    </row>
    <row r="6" spans="1:3" x14ac:dyDescent="0.2">
      <c r="B6" s="1" t="s">
        <v>22</v>
      </c>
    </row>
    <row r="7" spans="1:3" x14ac:dyDescent="0.2">
      <c r="B7" s="1" t="s">
        <v>14</v>
      </c>
      <c r="C7" s="1" t="s">
        <v>43</v>
      </c>
    </row>
    <row r="8" spans="1:3" x14ac:dyDescent="0.2">
      <c r="B8" s="1" t="s">
        <v>23</v>
      </c>
    </row>
    <row r="9" spans="1:3" x14ac:dyDescent="0.2">
      <c r="B9" s="1" t="s">
        <v>24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44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111"/>
  <sheetViews>
    <sheetView zoomScale="145" zoomScaleNormal="145" workbookViewId="0">
      <pane xSplit="2" ySplit="2" topLeftCell="CA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1.85546875" customWidth="1"/>
    <col min="3" max="46" width="10.28515625" customWidth="1"/>
    <col min="47" max="56" width="9.85546875" customWidth="1"/>
    <col min="57" max="63" width="10.7109375" customWidth="1"/>
    <col min="64" max="64" width="11.42578125" customWidth="1"/>
    <col min="65" max="67" width="10.5703125" bestFit="1" customWidth="1"/>
    <col min="68" max="74" width="9.7109375" bestFit="1" customWidth="1"/>
    <col min="79" max="79" width="9.7109375" bestFit="1" customWidth="1"/>
  </cols>
  <sheetData>
    <row r="1" spans="1:88" x14ac:dyDescent="0.2">
      <c r="A1" s="25" t="s">
        <v>52</v>
      </c>
    </row>
    <row r="2" spans="1:88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K2" s="51" t="s">
        <v>364</v>
      </c>
      <c r="L2" s="51" t="s">
        <v>365</v>
      </c>
      <c r="M2" s="51" t="s">
        <v>368</v>
      </c>
      <c r="N2" s="51" t="s">
        <v>369</v>
      </c>
      <c r="O2" s="51" t="s">
        <v>374</v>
      </c>
      <c r="P2" s="51" t="s">
        <v>375</v>
      </c>
      <c r="Q2" s="51" t="s">
        <v>376</v>
      </c>
      <c r="R2" s="51" t="s">
        <v>377</v>
      </c>
      <c r="S2" s="51" t="s">
        <v>378</v>
      </c>
      <c r="T2" s="51" t="s">
        <v>371</v>
      </c>
      <c r="U2" s="51" t="s">
        <v>379</v>
      </c>
      <c r="V2" s="51" t="s">
        <v>380</v>
      </c>
      <c r="W2" s="51" t="s">
        <v>381</v>
      </c>
      <c r="X2" s="51" t="s">
        <v>382</v>
      </c>
      <c r="Y2" s="51" t="s">
        <v>383</v>
      </c>
      <c r="Z2" s="51" t="s">
        <v>384</v>
      </c>
      <c r="AA2" s="51" t="s">
        <v>385</v>
      </c>
      <c r="AB2" s="51" t="s">
        <v>386</v>
      </c>
      <c r="AC2" s="51" t="s">
        <v>387</v>
      </c>
      <c r="AD2" s="51" t="s">
        <v>388</v>
      </c>
      <c r="AE2" s="51" t="s">
        <v>389</v>
      </c>
      <c r="AF2" s="51" t="s">
        <v>390</v>
      </c>
      <c r="AG2" s="51" t="s">
        <v>391</v>
      </c>
      <c r="AH2" s="51" t="s">
        <v>392</v>
      </c>
      <c r="AI2" s="51" t="s">
        <v>393</v>
      </c>
      <c r="AJ2" s="51" t="s">
        <v>394</v>
      </c>
      <c r="AK2" s="51" t="s">
        <v>395</v>
      </c>
      <c r="AL2" s="51" t="s">
        <v>396</v>
      </c>
      <c r="AM2" s="51" t="s">
        <v>397</v>
      </c>
      <c r="AN2" s="51" t="s">
        <v>398</v>
      </c>
      <c r="AO2" s="51" t="s">
        <v>399</v>
      </c>
      <c r="AP2" s="51" t="s">
        <v>400</v>
      </c>
      <c r="AQ2" s="51" t="s">
        <v>401</v>
      </c>
      <c r="AR2" s="51" t="s">
        <v>402</v>
      </c>
      <c r="AS2" s="51" t="s">
        <v>403</v>
      </c>
      <c r="AT2" s="51" t="s">
        <v>404</v>
      </c>
      <c r="AU2" s="51" t="s">
        <v>405</v>
      </c>
      <c r="AV2" s="51" t="s">
        <v>406</v>
      </c>
      <c r="AW2" s="51" t="s">
        <v>407</v>
      </c>
      <c r="AX2" s="51" t="s">
        <v>408</v>
      </c>
      <c r="AY2" s="51" t="s">
        <v>372</v>
      </c>
      <c r="AZ2" s="51" t="s">
        <v>409</v>
      </c>
      <c r="BA2" s="51" t="s">
        <v>410</v>
      </c>
      <c r="BB2" s="51" t="s">
        <v>411</v>
      </c>
      <c r="BC2" s="51" t="s">
        <v>598</v>
      </c>
      <c r="BD2" s="51" t="s">
        <v>599</v>
      </c>
      <c r="BE2" s="51" t="s">
        <v>600</v>
      </c>
      <c r="BF2" s="51" t="s">
        <v>601</v>
      </c>
      <c r="BG2" s="51" t="s">
        <v>629</v>
      </c>
      <c r="BH2" s="51" t="s">
        <v>630</v>
      </c>
      <c r="BI2" s="51" t="s">
        <v>631</v>
      </c>
      <c r="BJ2" s="51" t="s">
        <v>632</v>
      </c>
      <c r="BK2" s="51"/>
      <c r="BM2">
        <v>2008</v>
      </c>
      <c r="BN2">
        <f>BM2+1</f>
        <v>2009</v>
      </c>
      <c r="BO2">
        <f t="shared" ref="BO2:BY2" si="0">BN2+1</f>
        <v>2010</v>
      </c>
      <c r="BP2">
        <f t="shared" si="0"/>
        <v>2011</v>
      </c>
      <c r="BQ2">
        <f t="shared" si="0"/>
        <v>2012</v>
      </c>
      <c r="BR2">
        <f t="shared" si="0"/>
        <v>2013</v>
      </c>
      <c r="BS2">
        <f t="shared" si="0"/>
        <v>2014</v>
      </c>
      <c r="BT2">
        <f t="shared" si="0"/>
        <v>2015</v>
      </c>
      <c r="BU2">
        <f t="shared" si="0"/>
        <v>2016</v>
      </c>
      <c r="BV2">
        <f t="shared" si="0"/>
        <v>2017</v>
      </c>
      <c r="BW2">
        <f t="shared" si="0"/>
        <v>2018</v>
      </c>
      <c r="BX2">
        <f t="shared" si="0"/>
        <v>2019</v>
      </c>
      <c r="BY2">
        <f t="shared" si="0"/>
        <v>2020</v>
      </c>
      <c r="BZ2">
        <v>2021</v>
      </c>
      <c r="CA2">
        <v>2022</v>
      </c>
      <c r="CB2">
        <v>2023</v>
      </c>
      <c r="CC2">
        <v>2024</v>
      </c>
      <c r="CD2">
        <v>2025</v>
      </c>
      <c r="CE2">
        <v>2026</v>
      </c>
      <c r="CF2">
        <v>2027</v>
      </c>
      <c r="CG2">
        <v>2028</v>
      </c>
      <c r="CH2">
        <v>2029</v>
      </c>
    </row>
    <row r="3" spans="1:88" s="9" customFormat="1" x14ac:dyDescent="0.2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P3" s="9">
        <v>10000</v>
      </c>
      <c r="BQ3" s="9">
        <f>+BP3*1.015</f>
        <v>10149.999999999998</v>
      </c>
    </row>
    <row r="4" spans="1:88" s="9" customFormat="1" x14ac:dyDescent="0.2">
      <c r="B4" s="50" t="s">
        <v>448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>
        <v>0</v>
      </c>
      <c r="AU4" s="46">
        <v>0</v>
      </c>
      <c r="AV4" s="46">
        <v>0</v>
      </c>
      <c r="AW4" s="46">
        <v>0</v>
      </c>
      <c r="AX4" s="46">
        <v>4.6680000000000001</v>
      </c>
      <c r="AY4" s="46">
        <v>12.754</v>
      </c>
      <c r="AZ4" s="46">
        <v>16.559999999999999</v>
      </c>
      <c r="BA4" s="46">
        <v>38.14</v>
      </c>
      <c r="BB4" s="46">
        <v>61.280999999999999</v>
      </c>
      <c r="BC4" s="46">
        <v>56.552</v>
      </c>
      <c r="BD4" s="46">
        <v>80.233000000000004</v>
      </c>
      <c r="BE4" s="46">
        <v>91.835999999999999</v>
      </c>
      <c r="BF4" s="46">
        <v>109.24299999999999</v>
      </c>
      <c r="BG4" s="46">
        <v>85.724000000000004</v>
      </c>
      <c r="BH4" s="46">
        <v>121.69499999999999</v>
      </c>
      <c r="BI4" s="46">
        <f>+BE4*1.3</f>
        <v>119.38680000000001</v>
      </c>
      <c r="BJ4" s="46">
        <f>+BF4*1.3</f>
        <v>142.01589999999999</v>
      </c>
      <c r="BK4" s="46"/>
      <c r="BM4" s="46"/>
      <c r="BN4" s="46"/>
      <c r="BO4" s="46"/>
      <c r="BQ4" s="42">
        <v>0.1</v>
      </c>
      <c r="BR4" s="42"/>
      <c r="BS4" s="42"/>
      <c r="BT4" s="42"/>
      <c r="BU4" s="42"/>
      <c r="BV4" s="42"/>
      <c r="BW4" s="42"/>
      <c r="BX4" s="42"/>
      <c r="BY4" s="42"/>
      <c r="BZ4" s="42"/>
      <c r="CA4" s="46">
        <f>SUM(AY4:BB4)</f>
        <v>128.73500000000001</v>
      </c>
      <c r="CB4" s="46">
        <f>SUM(BC4:BF4)</f>
        <v>337.86399999999998</v>
      </c>
      <c r="CC4" s="46">
        <f>SUM(BG4:BJ4)</f>
        <v>468.82169999999996</v>
      </c>
      <c r="CD4" s="46">
        <f t="shared" ref="CD4:CG4" si="1">+CC4*1.2</f>
        <v>562.58603999999991</v>
      </c>
      <c r="CE4" s="46">
        <f t="shared" si="1"/>
        <v>675.10324799999989</v>
      </c>
      <c r="CF4" s="46">
        <f t="shared" si="1"/>
        <v>810.12389759999985</v>
      </c>
      <c r="CG4" s="46">
        <f t="shared" si="1"/>
        <v>972.14867711999977</v>
      </c>
      <c r="CH4" s="46">
        <f>+CG4*0.2</f>
        <v>194.42973542399997</v>
      </c>
    </row>
    <row r="5" spans="1:88" s="9" customFormat="1" x14ac:dyDescent="0.2">
      <c r="B5" s="50" t="s">
        <v>447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>
        <v>0</v>
      </c>
      <c r="AU5" s="46">
        <v>0</v>
      </c>
      <c r="AV5" s="46">
        <v>0</v>
      </c>
      <c r="AW5" s="46">
        <v>0.55600000000000005</v>
      </c>
      <c r="AX5" s="46">
        <v>4.3540000000000001</v>
      </c>
      <c r="AY5" s="46">
        <v>4.5019999999999998</v>
      </c>
      <c r="AZ5" s="46">
        <v>4.4109999999999996</v>
      </c>
      <c r="BA5" s="46">
        <v>5.9320000000000004</v>
      </c>
      <c r="BB5" s="46">
        <v>4.8090000000000002</v>
      </c>
      <c r="BC5" s="46">
        <v>6.556</v>
      </c>
      <c r="BD5" s="46">
        <v>13.159000000000001</v>
      </c>
      <c r="BE5" s="46">
        <v>8.3480000000000008</v>
      </c>
      <c r="BF5" s="46">
        <v>8.9939999999999998</v>
      </c>
      <c r="BG5" s="46">
        <v>23.873999999999999</v>
      </c>
      <c r="BH5" s="46">
        <v>31.116</v>
      </c>
      <c r="BI5" s="46">
        <f>+BH5+5</f>
        <v>36.116</v>
      </c>
      <c r="BJ5" s="46">
        <f>+BI5+5</f>
        <v>41.116</v>
      </c>
      <c r="BK5" s="46"/>
      <c r="BM5" s="46"/>
      <c r="BN5" s="46"/>
      <c r="BO5" s="46"/>
      <c r="BQ5" s="47">
        <f>BQ3*BQ4</f>
        <v>1014.9999999999999</v>
      </c>
      <c r="BR5" s="47"/>
      <c r="BS5" s="47"/>
      <c r="BT5" s="47"/>
      <c r="BU5" s="47"/>
      <c r="BV5" s="47"/>
      <c r="BW5" s="47"/>
      <c r="BX5" s="47"/>
      <c r="BY5" s="47"/>
      <c r="BZ5" s="47"/>
      <c r="CA5" s="46">
        <f t="shared" ref="CA5:CA7" si="2">SUM(AY5:BB5)</f>
        <v>19.654</v>
      </c>
      <c r="CB5" s="46">
        <f>SUM(BC5:BF5)</f>
        <v>37.057000000000002</v>
      </c>
      <c r="CC5" s="46">
        <f>SUM(BG5:BJ5)</f>
        <v>132.22199999999998</v>
      </c>
      <c r="CD5" s="47">
        <f t="shared" ref="CD5:CH5" si="3">+CC5*1.15</f>
        <v>152.05529999999996</v>
      </c>
      <c r="CE5" s="47">
        <f t="shared" si="3"/>
        <v>174.86359499999995</v>
      </c>
      <c r="CF5" s="47">
        <f t="shared" si="3"/>
        <v>201.09313424999993</v>
      </c>
      <c r="CG5" s="47">
        <f t="shared" si="3"/>
        <v>231.25710438749991</v>
      </c>
      <c r="CH5" s="47">
        <f t="shared" si="3"/>
        <v>265.94567004562487</v>
      </c>
    </row>
    <row r="6" spans="1:88" s="9" customFormat="1" x14ac:dyDescent="0.2">
      <c r="B6" s="50" t="s">
        <v>446</v>
      </c>
      <c r="AT6" s="9">
        <v>14.009</v>
      </c>
      <c r="AU6" s="9">
        <v>13.456</v>
      </c>
      <c r="AV6" s="9">
        <v>17.905999999999999</v>
      </c>
      <c r="AW6" s="9">
        <v>17.562000000000001</v>
      </c>
      <c r="AX6" s="9">
        <v>19.606999999999999</v>
      </c>
      <c r="AY6" s="9">
        <v>18.032</v>
      </c>
      <c r="AZ6" s="9">
        <v>18.983000000000001</v>
      </c>
      <c r="BA6" s="9">
        <v>23.414000000000001</v>
      </c>
      <c r="BB6" s="9">
        <v>23.015999999999998</v>
      </c>
      <c r="BC6" s="9">
        <v>22.475000000000001</v>
      </c>
      <c r="BD6" s="9">
        <v>21.571999999999999</v>
      </c>
      <c r="BE6" s="9">
        <v>18.942</v>
      </c>
      <c r="BF6" s="9">
        <v>20.652999999999999</v>
      </c>
      <c r="BG6" s="9">
        <v>17.675999999999998</v>
      </c>
      <c r="BH6" s="9">
        <v>20.268999999999998</v>
      </c>
      <c r="BI6" s="9">
        <f>+BE6</f>
        <v>18.942</v>
      </c>
      <c r="BJ6" s="9">
        <f>+BF6</f>
        <v>20.652999999999999</v>
      </c>
      <c r="BQ6" s="9">
        <v>84000</v>
      </c>
      <c r="CA6" s="46">
        <f t="shared" si="2"/>
        <v>83.444999999999993</v>
      </c>
      <c r="CB6" s="46">
        <f>SUM(BC6:BF6)</f>
        <v>83.641999999999996</v>
      </c>
      <c r="CC6" s="46">
        <f>SUM(BG6:BJ6)</f>
        <v>77.539999999999992</v>
      </c>
      <c r="CD6" s="46">
        <f>+CC6*1.1</f>
        <v>85.293999999999997</v>
      </c>
      <c r="CE6" s="46">
        <f t="shared" ref="CE6:CH6" si="4">+CD6*0.99</f>
        <v>84.441059999999993</v>
      </c>
      <c r="CF6" s="46">
        <f t="shared" si="4"/>
        <v>83.59664939999999</v>
      </c>
      <c r="CG6" s="46">
        <f t="shared" si="4"/>
        <v>82.760682905999985</v>
      </c>
      <c r="CH6" s="46">
        <f t="shared" si="4"/>
        <v>81.933076076939983</v>
      </c>
    </row>
    <row r="7" spans="1:88" s="9" customFormat="1" x14ac:dyDescent="0.2">
      <c r="B7" s="50" t="s">
        <v>520</v>
      </c>
      <c r="AT7" s="9">
        <v>28.576000000000001</v>
      </c>
      <c r="AU7" s="9">
        <v>25.645</v>
      </c>
      <c r="AV7" s="9">
        <v>28.189</v>
      </c>
      <c r="AW7" s="9">
        <v>28.521999999999998</v>
      </c>
      <c r="AX7" s="9">
        <v>27.039000000000001</v>
      </c>
      <c r="AY7" s="9">
        <v>26.068999999999999</v>
      </c>
      <c r="AZ7" s="9">
        <v>26.224</v>
      </c>
      <c r="BA7" s="9">
        <v>25.928999999999998</v>
      </c>
      <c r="BB7" s="9">
        <v>27.616</v>
      </c>
      <c r="BC7" s="9">
        <v>27.684999999999999</v>
      </c>
      <c r="BD7" s="9">
        <v>29.087</v>
      </c>
      <c r="BE7" s="9">
        <v>27.721</v>
      </c>
      <c r="BF7" s="9">
        <v>27.13</v>
      </c>
      <c r="BG7" s="9">
        <v>30.343</v>
      </c>
      <c r="BH7" s="9">
        <v>26.861999999999998</v>
      </c>
      <c r="BI7" s="9">
        <f>+BE7</f>
        <v>27.721</v>
      </c>
      <c r="BJ7" s="9">
        <f>+BF7</f>
        <v>27.13</v>
      </c>
      <c r="BM7" s="46"/>
      <c r="BN7" s="46"/>
      <c r="BO7" s="46"/>
      <c r="BQ7" s="46">
        <f>BQ5*BQ6/1000</f>
        <v>85259.999999999985</v>
      </c>
      <c r="BR7" s="46"/>
      <c r="BS7" s="46"/>
      <c r="BT7" s="46"/>
      <c r="BU7" s="46"/>
      <c r="BV7" s="46"/>
      <c r="BW7" s="46"/>
      <c r="BX7" s="46"/>
      <c r="BY7" s="46"/>
      <c r="BZ7" s="46"/>
      <c r="CA7" s="46">
        <f t="shared" si="2"/>
        <v>105.83799999999999</v>
      </c>
      <c r="CB7" s="46">
        <f>SUM(BC7:BF7)</f>
        <v>111.62299999999999</v>
      </c>
      <c r="CC7" s="46">
        <f>SUM(BG7:BJ7)</f>
        <v>112.056</v>
      </c>
      <c r="CD7" s="46">
        <f t="shared" ref="CC7:CH7" si="5">+CC7*0.99</f>
        <v>110.93544</v>
      </c>
      <c r="CE7" s="46">
        <f t="shared" si="5"/>
        <v>109.8260856</v>
      </c>
      <c r="CF7" s="46">
        <f t="shared" si="5"/>
        <v>108.727824744</v>
      </c>
      <c r="CG7" s="46">
        <f t="shared" si="5"/>
        <v>107.64054649656001</v>
      </c>
      <c r="CH7" s="46">
        <f t="shared" si="5"/>
        <v>106.5641410315944</v>
      </c>
    </row>
    <row r="8" spans="1:88" s="9" customFormat="1" x14ac:dyDescent="0.2">
      <c r="B8" s="50" t="s">
        <v>633</v>
      </c>
      <c r="BD8" s="9">
        <v>0.56999999999999995</v>
      </c>
      <c r="BE8" s="9">
        <v>9.8000000000000004E-2</v>
      </c>
      <c r="BF8" s="9">
        <v>0.58199999999999996</v>
      </c>
      <c r="BH8" s="9">
        <v>0.65100000000000002</v>
      </c>
      <c r="BI8" s="9">
        <f>+BH8+1</f>
        <v>1.651</v>
      </c>
      <c r="BJ8" s="9">
        <f>+BI8+1</f>
        <v>2.6509999999999998</v>
      </c>
      <c r="BM8" s="46"/>
      <c r="BN8" s="46"/>
      <c r="BO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>
        <f>SUM(BG8:BJ8)</f>
        <v>4.9529999999999994</v>
      </c>
      <c r="CD8" s="46"/>
      <c r="CE8" s="46"/>
      <c r="CF8" s="46"/>
      <c r="CG8" s="46"/>
      <c r="CH8" s="46"/>
    </row>
    <row r="9" spans="1:88" s="9" customFormat="1" x14ac:dyDescent="0.2">
      <c r="B9" s="50" t="s">
        <v>337</v>
      </c>
      <c r="AT9" s="50">
        <v>516.88199999999995</v>
      </c>
      <c r="AU9" s="50">
        <v>465.71</v>
      </c>
      <c r="AV9" s="50">
        <v>529.05499999999995</v>
      </c>
      <c r="AW9" s="50">
        <v>547.37300000000005</v>
      </c>
      <c r="AX9" s="50">
        <v>592.37</v>
      </c>
      <c r="AY9" s="50">
        <v>544.46400000000006</v>
      </c>
      <c r="AZ9" s="50">
        <v>597.673</v>
      </c>
      <c r="BA9" s="50">
        <v>619.59500000000003</v>
      </c>
      <c r="BB9" s="9">
        <v>647.49300000000005</v>
      </c>
      <c r="BC9" s="9">
        <v>579.96900000000005</v>
      </c>
      <c r="BD9" s="9">
        <v>682.38400000000001</v>
      </c>
      <c r="BE9" s="9">
        <v>636.25199999999995</v>
      </c>
      <c r="BF9" s="9">
        <v>695.12699999999995</v>
      </c>
      <c r="BG9" s="9">
        <v>571.83900000000006</v>
      </c>
      <c r="BH9" s="9">
        <v>705.97299999999996</v>
      </c>
      <c r="BI9" s="9">
        <f>+BE9*1.01</f>
        <v>642.61451999999997</v>
      </c>
      <c r="BJ9" s="9">
        <f>+BF9*1.01</f>
        <v>702.07826999999997</v>
      </c>
      <c r="BM9" s="46"/>
      <c r="BN9" s="46"/>
      <c r="BO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>
        <f>SUM(AY9:BB9)</f>
        <v>2409.2250000000004</v>
      </c>
      <c r="CB9" s="46">
        <f>+CA9*1.1</f>
        <v>2650.1475000000005</v>
      </c>
      <c r="CC9" s="46">
        <f>SUM(BG9:BJ9)</f>
        <v>2622.50479</v>
      </c>
      <c r="CD9" s="46">
        <f t="shared" ref="CC9:CF9" si="6">+CC9*1.1</f>
        <v>2884.7552690000002</v>
      </c>
      <c r="CE9" s="46">
        <f t="shared" si="6"/>
        <v>3173.2307959000004</v>
      </c>
      <c r="CF9" s="46">
        <f t="shared" si="6"/>
        <v>3490.5538754900008</v>
      </c>
      <c r="CG9" s="46">
        <f>+CF9*0.2</f>
        <v>698.1107750980002</v>
      </c>
      <c r="CH9" s="46">
        <f t="shared" ref="CH9" si="7">+CG9*0.2</f>
        <v>139.62215501960006</v>
      </c>
      <c r="CI9" s="46"/>
      <c r="CJ9" s="46"/>
    </row>
    <row r="10" spans="1:88" s="9" customFormat="1" x14ac:dyDescent="0.2">
      <c r="B10" s="50" t="s">
        <v>417</v>
      </c>
      <c r="C10" s="28"/>
      <c r="D10" s="28"/>
      <c r="E10" s="28"/>
      <c r="F10" s="28"/>
      <c r="G10" s="28"/>
      <c r="H10" s="28"/>
      <c r="I10" s="28"/>
      <c r="J10" s="28">
        <v>2012</v>
      </c>
      <c r="K10" s="28">
        <v>19279</v>
      </c>
      <c r="L10" s="28">
        <v>29727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>
        <f t="shared" ref="AT10" si="8">SUM(AT4:AT9)</f>
        <v>559.46699999999998</v>
      </c>
      <c r="AU10" s="28">
        <f t="shared" ref="AU10" si="9">SUM(AU4:AU9)</f>
        <v>504.81099999999998</v>
      </c>
      <c r="AV10" s="28">
        <f t="shared" ref="AV10" si="10">SUM(AV4:AV9)</f>
        <v>575.15</v>
      </c>
      <c r="AW10" s="28">
        <f t="shared" ref="AW10" si="11">SUM(AW4:AW9)</f>
        <v>594.01300000000003</v>
      </c>
      <c r="AX10" s="28">
        <f t="shared" ref="AX10" si="12">SUM(AX4:AX9)</f>
        <v>648.03800000000001</v>
      </c>
      <c r="AY10" s="28">
        <f t="shared" ref="AY10" si="13">SUM(AY4:AY9)</f>
        <v>605.82100000000003</v>
      </c>
      <c r="AZ10" s="28">
        <f t="shared" ref="AZ10" si="14">SUM(AZ4:AZ9)</f>
        <v>663.851</v>
      </c>
      <c r="BA10" s="28">
        <f t="shared" ref="BA10" si="15">SUM(BA4:BA9)</f>
        <v>713.01</v>
      </c>
      <c r="BB10" s="28">
        <f t="shared" ref="BB10:BJ10" si="16">SUM(BB4:BB9)</f>
        <v>764.21500000000003</v>
      </c>
      <c r="BC10" s="28">
        <f t="shared" si="16"/>
        <v>693.23700000000008</v>
      </c>
      <c r="BD10" s="28">
        <f t="shared" si="16"/>
        <v>827.005</v>
      </c>
      <c r="BE10" s="28">
        <f t="shared" si="16"/>
        <v>783.197</v>
      </c>
      <c r="BF10" s="28">
        <f t="shared" si="16"/>
        <v>861.72899999999993</v>
      </c>
      <c r="BG10" s="28">
        <f t="shared" si="16"/>
        <v>729.45600000000002</v>
      </c>
      <c r="BH10" s="28">
        <f t="shared" si="16"/>
        <v>906.56599999999992</v>
      </c>
      <c r="BI10" s="28">
        <f t="shared" si="16"/>
        <v>846.43132000000003</v>
      </c>
      <c r="BJ10" s="28">
        <f t="shared" si="16"/>
        <v>935.64416999999992</v>
      </c>
      <c r="BK10" s="28"/>
      <c r="BL10" s="28"/>
      <c r="BQ10" s="9">
        <v>120000</v>
      </c>
      <c r="BR10" s="9">
        <f t="shared" ref="BR10" si="17">SUM(BR4:BR9)</f>
        <v>0</v>
      </c>
      <c r="BS10" s="9">
        <f t="shared" ref="BS10:BT10" si="18">SUM(BS4:BS9)</f>
        <v>0</v>
      </c>
      <c r="BT10" s="9">
        <f t="shared" si="18"/>
        <v>0</v>
      </c>
      <c r="CA10" s="9">
        <f>SUM(CA4:CA9)</f>
        <v>2746.8970000000004</v>
      </c>
      <c r="CB10" s="9">
        <f t="shared" ref="CB10:CH10" si="19">SUM(CB4:CB9)</f>
        <v>3220.3335000000006</v>
      </c>
      <c r="CC10" s="9">
        <f>SUM(CC4:CC9)</f>
        <v>3418.0974900000001</v>
      </c>
      <c r="CD10" s="9">
        <f t="shared" si="19"/>
        <v>3795.626049</v>
      </c>
      <c r="CE10" s="9">
        <f t="shared" si="19"/>
        <v>4217.4647845</v>
      </c>
      <c r="CF10" s="9">
        <f t="shared" si="19"/>
        <v>4694.0953814840004</v>
      </c>
      <c r="CG10" s="9">
        <f t="shared" si="19"/>
        <v>2091.9177860080599</v>
      </c>
      <c r="CH10" s="9">
        <f t="shared" si="19"/>
        <v>788.49477759775937</v>
      </c>
    </row>
    <row r="11" spans="1:88" s="9" customFormat="1" x14ac:dyDescent="0.2">
      <c r="B11" s="50" t="s">
        <v>416</v>
      </c>
      <c r="C11" s="28">
        <v>16737</v>
      </c>
      <c r="D11" s="28">
        <v>49737</v>
      </c>
      <c r="E11" s="28">
        <v>16737</v>
      </c>
      <c r="F11" s="28">
        <f>BO11-SUM(C11:E11)</f>
        <v>85737</v>
      </c>
      <c r="G11" s="28">
        <v>31738</v>
      </c>
      <c r="H11" s="28">
        <v>16737</v>
      </c>
      <c r="I11" s="28">
        <v>16737</v>
      </c>
      <c r="J11" s="28">
        <v>26737</v>
      </c>
      <c r="K11" s="28">
        <v>16737</v>
      </c>
      <c r="L11" s="28">
        <v>56737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5</v>
      </c>
      <c r="AZ11" s="28">
        <v>0</v>
      </c>
      <c r="BA11" s="28">
        <v>0</v>
      </c>
      <c r="BB11" s="28">
        <v>0</v>
      </c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9">
        <v>659</v>
      </c>
      <c r="BN11" s="9">
        <v>5755</v>
      </c>
      <c r="BO11" s="9">
        <v>168948</v>
      </c>
      <c r="BP11" s="9">
        <v>91948</v>
      </c>
      <c r="BQ11" s="9">
        <f>1.03*BP11</f>
        <v>94706.44</v>
      </c>
      <c r="CA11" s="46">
        <f t="shared" ref="CA11:CA16" si="20">SUM(AY11:BB11)</f>
        <v>5</v>
      </c>
      <c r="CB11" s="9">
        <v>0</v>
      </c>
      <c r="CC11" s="46">
        <f>SUM(BG11:BJ11)</f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</row>
    <row r="12" spans="1:88" s="9" customFormat="1" x14ac:dyDescent="0.2">
      <c r="B12" s="50" t="s">
        <v>449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>
        <v>87.046000000000006</v>
      </c>
      <c r="AU12" s="28">
        <v>65.602000000000004</v>
      </c>
      <c r="AV12" s="28">
        <v>82.037999999999997</v>
      </c>
      <c r="AW12" s="28">
        <v>94.655000000000001</v>
      </c>
      <c r="AX12" s="28">
        <v>95.695999999999998</v>
      </c>
      <c r="AY12" s="28">
        <v>70.867000000000004</v>
      </c>
      <c r="AZ12" s="28">
        <v>83.710999999999999</v>
      </c>
      <c r="BA12" s="28">
        <v>85.808000000000007</v>
      </c>
      <c r="BB12" s="28">
        <v>91.188999999999993</v>
      </c>
      <c r="BC12" s="28">
        <v>76.691999999999993</v>
      </c>
      <c r="BD12" s="28">
        <v>90.447999999999993</v>
      </c>
      <c r="BE12" s="28">
        <v>96.551000000000002</v>
      </c>
      <c r="BF12" s="28">
        <v>103.892</v>
      </c>
      <c r="BG12" s="28">
        <v>89.594999999999999</v>
      </c>
      <c r="BH12" s="28">
        <v>99.316999999999993</v>
      </c>
      <c r="BI12" s="28">
        <f>+BE12</f>
        <v>96.551000000000002</v>
      </c>
      <c r="BJ12" s="28">
        <f>+BF12</f>
        <v>103.892</v>
      </c>
      <c r="BK12" s="28"/>
      <c r="BL12" s="28"/>
      <c r="CA12" s="46">
        <f t="shared" si="20"/>
        <v>331.57500000000005</v>
      </c>
      <c r="CB12" s="9">
        <f>+CA12*0.99</f>
        <v>328.25925000000007</v>
      </c>
      <c r="CC12" s="46">
        <f>SUM(BG12:BJ12)</f>
        <v>389.35499999999996</v>
      </c>
      <c r="CD12" s="9">
        <f t="shared" ref="CC12:CF12" si="21">+CC12*0.99</f>
        <v>385.46144999999996</v>
      </c>
      <c r="CE12" s="9">
        <f t="shared" si="21"/>
        <v>381.60683549999993</v>
      </c>
      <c r="CF12" s="9">
        <f t="shared" si="21"/>
        <v>377.7907671449999</v>
      </c>
      <c r="CG12" s="9">
        <f>+CF12*0.2</f>
        <v>75.558153428999987</v>
      </c>
      <c r="CH12" s="9">
        <f t="shared" ref="CH12:CH13" si="22">+CG12*0.2</f>
        <v>15.111630685799998</v>
      </c>
    </row>
    <row r="13" spans="1:88" s="9" customFormat="1" x14ac:dyDescent="0.2">
      <c r="B13" s="50" t="s">
        <v>450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>
        <v>30.995999999999999</v>
      </c>
      <c r="AU13" s="28">
        <v>32.258000000000003</v>
      </c>
      <c r="AV13" s="28">
        <v>36.045000000000002</v>
      </c>
      <c r="AW13" s="28">
        <v>86.572000000000003</v>
      </c>
      <c r="AX13" s="28">
        <v>66</v>
      </c>
      <c r="AY13" s="28">
        <v>48.064</v>
      </c>
      <c r="AZ13" s="28">
        <v>30.254000000000001</v>
      </c>
      <c r="BA13" s="28">
        <v>20.370999999999999</v>
      </c>
      <c r="BB13" s="28">
        <v>35.857999999999997</v>
      </c>
      <c r="BC13" s="28">
        <v>34.155000000000001</v>
      </c>
      <c r="BD13" s="28">
        <v>32.009</v>
      </c>
      <c r="BE13" s="28">
        <v>29.614999999999998</v>
      </c>
      <c r="BF13" s="28">
        <v>40.359000000000002</v>
      </c>
      <c r="BG13" s="28">
        <v>30.588999999999999</v>
      </c>
      <c r="BH13" s="28">
        <v>31.702000000000002</v>
      </c>
      <c r="BI13" s="28">
        <f>+BE13</f>
        <v>29.614999999999998</v>
      </c>
      <c r="BJ13" s="28">
        <f>+BF13</f>
        <v>40.359000000000002</v>
      </c>
      <c r="BK13" s="28"/>
      <c r="BL13" s="28"/>
      <c r="CA13" s="46">
        <f t="shared" si="20"/>
        <v>134.547</v>
      </c>
      <c r="CB13" s="9">
        <f>+CA13*0.99</f>
        <v>133.20152999999999</v>
      </c>
      <c r="CC13" s="46">
        <f>SUM(BG13:BJ13)</f>
        <v>132.26499999999999</v>
      </c>
      <c r="CD13" s="9">
        <f t="shared" ref="CC13:CF13" si="23">+CC13*0.99</f>
        <v>130.94234999999998</v>
      </c>
      <c r="CE13" s="9">
        <f t="shared" si="23"/>
        <v>129.63292649999997</v>
      </c>
      <c r="CF13" s="9">
        <f t="shared" si="23"/>
        <v>128.33659723499997</v>
      </c>
      <c r="CG13" s="9">
        <f t="shared" ref="CG13" si="24">+CF13*0.2</f>
        <v>25.667319446999997</v>
      </c>
      <c r="CH13" s="9">
        <f t="shared" si="22"/>
        <v>5.1334638893999998</v>
      </c>
    </row>
    <row r="14" spans="1:88" s="9" customFormat="1" x14ac:dyDescent="0.2">
      <c r="B14" s="50" t="s">
        <v>451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>
        <v>2</v>
      </c>
      <c r="AU14" s="28">
        <v>2.0470000000000002</v>
      </c>
      <c r="AV14" s="28">
        <v>2.4790000000000001</v>
      </c>
      <c r="AW14" s="28">
        <v>2.7469999999999999</v>
      </c>
      <c r="AX14" s="28">
        <v>3.1190000000000002</v>
      </c>
      <c r="AY14" s="28">
        <v>3.4830000000000001</v>
      </c>
      <c r="AZ14" s="28">
        <v>3.581</v>
      </c>
      <c r="BA14" s="28">
        <v>4.1139999999999999</v>
      </c>
      <c r="BB14" s="28">
        <v>4.2329999999999997</v>
      </c>
      <c r="BC14" s="28">
        <v>4.1769999999999996</v>
      </c>
      <c r="BD14" s="28">
        <v>4.7990000000000004</v>
      </c>
      <c r="BE14" s="28">
        <v>4.1390000000000002</v>
      </c>
      <c r="BF14" s="28">
        <v>4.6779999999999999</v>
      </c>
      <c r="BG14" s="28">
        <v>5.234</v>
      </c>
      <c r="BH14" s="28">
        <v>5.298</v>
      </c>
      <c r="BI14" s="28">
        <f>+BH14</f>
        <v>5.298</v>
      </c>
      <c r="BJ14" s="28">
        <f>+BI14</f>
        <v>5.298</v>
      </c>
      <c r="BK14" s="28"/>
      <c r="BL14" s="28"/>
      <c r="CA14" s="46">
        <f t="shared" si="20"/>
        <v>15.411000000000001</v>
      </c>
      <c r="CB14" s="9">
        <f>+CA14</f>
        <v>15.411000000000001</v>
      </c>
      <c r="CC14" s="46">
        <f>SUM(BG14:BJ14)</f>
        <v>21.128</v>
      </c>
      <c r="CD14" s="9">
        <f t="shared" ref="CC14:CH14" si="25">+CC14</f>
        <v>21.128</v>
      </c>
      <c r="CE14" s="9">
        <f t="shared" si="25"/>
        <v>21.128</v>
      </c>
      <c r="CF14" s="9">
        <f t="shared" si="25"/>
        <v>21.128</v>
      </c>
      <c r="CG14" s="9">
        <f t="shared" si="25"/>
        <v>21.128</v>
      </c>
      <c r="CH14" s="9">
        <f t="shared" si="25"/>
        <v>21.128</v>
      </c>
    </row>
    <row r="15" spans="1:88" s="9" customFormat="1" x14ac:dyDescent="0.2">
      <c r="B15" s="50" t="s">
        <v>627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>
        <v>1.2050000000000001</v>
      </c>
      <c r="BC15" s="28">
        <v>0.41199999999999998</v>
      </c>
      <c r="BD15" s="28">
        <v>0.34899999999999998</v>
      </c>
      <c r="BE15" s="28">
        <v>0.52300000000000002</v>
      </c>
      <c r="BF15" s="28">
        <v>0.68300000000000005</v>
      </c>
      <c r="BG15" s="28">
        <v>0.54800000000000004</v>
      </c>
      <c r="BH15" s="28">
        <v>0.876</v>
      </c>
      <c r="BI15" s="28">
        <f>+BH15</f>
        <v>0.876</v>
      </c>
      <c r="BJ15" s="28">
        <f>+BI15</f>
        <v>0.876</v>
      </c>
      <c r="BK15" s="28"/>
      <c r="BL15" s="28"/>
      <c r="CA15" s="46"/>
      <c r="CC15" s="46">
        <f>SUM(BG15:BJ15)</f>
        <v>3.1759999999999997</v>
      </c>
    </row>
    <row r="16" spans="1:88" s="9" customFormat="1" x14ac:dyDescent="0.2">
      <c r="B16" s="50" t="s">
        <v>415</v>
      </c>
      <c r="C16" s="28">
        <v>551</v>
      </c>
      <c r="D16" s="28">
        <v>110</v>
      </c>
      <c r="E16" s="28">
        <v>135</v>
      </c>
      <c r="F16" s="28">
        <f t="shared" ref="F16:F28" si="26">BO16-SUM(C16:E16)</f>
        <v>134</v>
      </c>
      <c r="G16" s="28">
        <v>235</v>
      </c>
      <c r="H16" s="28">
        <v>74</v>
      </c>
      <c r="I16" s="28">
        <v>45</v>
      </c>
      <c r="J16" s="28">
        <v>140</v>
      </c>
      <c r="K16" s="28">
        <v>163</v>
      </c>
      <c r="L16" s="28">
        <v>78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9">
        <v>3260</v>
      </c>
      <c r="BN16" s="9">
        <v>3510</v>
      </c>
      <c r="BO16" s="9">
        <v>930</v>
      </c>
      <c r="BP16" s="9">
        <v>495</v>
      </c>
      <c r="CA16" s="46">
        <f t="shared" si="20"/>
        <v>0</v>
      </c>
      <c r="CB16" s="9">
        <f t="shared" ref="CB16:CH16" si="27">+CA16</f>
        <v>0</v>
      </c>
      <c r="CC16" s="46">
        <f>SUM(BG16:BJ16)</f>
        <v>0</v>
      </c>
      <c r="CD16" s="9">
        <f t="shared" si="27"/>
        <v>0</v>
      </c>
      <c r="CE16" s="9">
        <f t="shared" si="27"/>
        <v>0</v>
      </c>
      <c r="CF16" s="9">
        <f t="shared" si="27"/>
        <v>0</v>
      </c>
      <c r="CG16" s="9">
        <f t="shared" si="27"/>
        <v>0</v>
      </c>
      <c r="CH16" s="9">
        <f t="shared" si="27"/>
        <v>0</v>
      </c>
    </row>
    <row r="17" spans="2:133" s="10" customFormat="1" x14ac:dyDescent="0.2">
      <c r="B17" s="10" t="s">
        <v>414</v>
      </c>
      <c r="C17" s="10">
        <f>SUM(C10:C16)</f>
        <v>17288</v>
      </c>
      <c r="D17" s="10">
        <f t="shared" ref="D17:L17" si="28">SUM(D10:D16)</f>
        <v>49847</v>
      </c>
      <c r="E17" s="10">
        <f t="shared" si="28"/>
        <v>16872</v>
      </c>
      <c r="F17" s="10">
        <f t="shared" si="26"/>
        <v>85871</v>
      </c>
      <c r="G17" s="10">
        <f t="shared" si="28"/>
        <v>31973</v>
      </c>
      <c r="H17" s="10">
        <f t="shared" si="28"/>
        <v>16811</v>
      </c>
      <c r="I17" s="10">
        <f t="shared" si="28"/>
        <v>16782</v>
      </c>
      <c r="J17" s="10">
        <f t="shared" si="28"/>
        <v>28889</v>
      </c>
      <c r="K17" s="10">
        <f t="shared" si="28"/>
        <v>36179</v>
      </c>
      <c r="L17" s="10">
        <f t="shared" si="28"/>
        <v>86542</v>
      </c>
      <c r="AQ17" s="10">
        <f t="shared" ref="AQ17:AT17" si="29">SUM(AQ10:AQ16)</f>
        <v>0</v>
      </c>
      <c r="AR17" s="10">
        <f t="shared" si="29"/>
        <v>0</v>
      </c>
      <c r="AS17" s="10">
        <f t="shared" si="29"/>
        <v>0</v>
      </c>
      <c r="AT17" s="10">
        <f t="shared" si="29"/>
        <v>679.50900000000001</v>
      </c>
      <c r="AU17" s="10">
        <f t="shared" ref="AU17:BA17" si="30">SUM(AU10:AU16)</f>
        <v>604.71800000000007</v>
      </c>
      <c r="AV17" s="10">
        <f t="shared" si="30"/>
        <v>695.71199999999999</v>
      </c>
      <c r="AW17" s="10">
        <f t="shared" si="30"/>
        <v>777.98699999999997</v>
      </c>
      <c r="AX17" s="10">
        <f t="shared" si="30"/>
        <v>812.85300000000007</v>
      </c>
      <c r="AY17" s="10">
        <f t="shared" si="30"/>
        <v>733.2349999999999</v>
      </c>
      <c r="AZ17" s="10">
        <f t="shared" si="30"/>
        <v>781.39700000000005</v>
      </c>
      <c r="BA17" s="10">
        <f t="shared" si="30"/>
        <v>823.303</v>
      </c>
      <c r="BB17" s="10">
        <f>SUM(BB10:BB16)</f>
        <v>896.69999999999993</v>
      </c>
      <c r="BC17" s="10">
        <f>SUM(BC10:BC16)</f>
        <v>808.67300000000012</v>
      </c>
      <c r="BD17" s="10">
        <f>SUM(BD10:BD16)</f>
        <v>954.61</v>
      </c>
      <c r="BE17" s="10">
        <f t="shared" ref="BD17:BH17" si="31">SUM(BE10:BE16)</f>
        <v>914.02500000000009</v>
      </c>
      <c r="BF17" s="10">
        <f t="shared" si="31"/>
        <v>1011.3409999999999</v>
      </c>
      <c r="BG17" s="10">
        <f t="shared" si="31"/>
        <v>855.42200000000014</v>
      </c>
      <c r="BH17" s="10">
        <f>SUM(BH10:BH16)</f>
        <v>1043.759</v>
      </c>
      <c r="BI17" s="10">
        <f>SUM(BI10:BI16)</f>
        <v>978.77132000000006</v>
      </c>
      <c r="BJ17" s="10">
        <f>SUM(BJ10:BJ16)</f>
        <v>1086.0691699999998</v>
      </c>
      <c r="BM17" s="10">
        <f>SUM(BM10:BM16)</f>
        <v>3919</v>
      </c>
      <c r="BN17" s="10">
        <f t="shared" ref="BN17:CE17" si="32">SUM(BN10:BN16)</f>
        <v>9265</v>
      </c>
      <c r="BO17" s="10">
        <f t="shared" si="32"/>
        <v>169878</v>
      </c>
      <c r="BP17" s="10">
        <f t="shared" ref="BP17" si="33">SUM(BP10:BP16)</f>
        <v>92443</v>
      </c>
      <c r="BQ17" s="10">
        <f t="shared" si="32"/>
        <v>214706.44</v>
      </c>
      <c r="BR17" s="10">
        <f t="shared" si="32"/>
        <v>0</v>
      </c>
      <c r="BS17" s="10">
        <f t="shared" si="32"/>
        <v>0</v>
      </c>
      <c r="BT17" s="10">
        <f t="shared" si="32"/>
        <v>0</v>
      </c>
      <c r="CA17" s="10">
        <f>SUM(CA10:CA16)</f>
        <v>3233.4300000000007</v>
      </c>
      <c r="CB17" s="10">
        <f t="shared" si="32"/>
        <v>3697.2052800000006</v>
      </c>
      <c r="CC17" s="10">
        <f>SUM(CC10:CC16)</f>
        <v>3964.0214900000001</v>
      </c>
      <c r="CD17" s="10">
        <f t="shared" si="32"/>
        <v>4333.1578490000002</v>
      </c>
      <c r="CE17" s="10">
        <f t="shared" si="32"/>
        <v>4749.8325464999998</v>
      </c>
      <c r="CF17" s="10">
        <f t="shared" ref="CF17:CH17" si="34">SUM(CF10:CF16)</f>
        <v>5221.3507458640006</v>
      </c>
      <c r="CG17" s="10">
        <f t="shared" si="34"/>
        <v>2214.27125888406</v>
      </c>
      <c r="CH17" s="10">
        <f t="shared" si="34"/>
        <v>829.86787217295944</v>
      </c>
    </row>
    <row r="18" spans="2:133" s="9" customFormat="1" x14ac:dyDescent="0.2">
      <c r="B18" s="28" t="s">
        <v>181</v>
      </c>
      <c r="C18" s="28"/>
      <c r="D18" s="28"/>
      <c r="E18" s="28"/>
      <c r="F18" s="28">
        <f t="shared" si="26"/>
        <v>0</v>
      </c>
      <c r="G18" s="28"/>
      <c r="H18" s="28"/>
      <c r="I18" s="28"/>
      <c r="J18" s="28"/>
      <c r="K18" s="28">
        <v>11</v>
      </c>
      <c r="L18" s="28">
        <v>16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>
        <v>30.693000000000001</v>
      </c>
      <c r="AU18" s="28">
        <v>23.596</v>
      </c>
      <c r="AV18" s="28">
        <v>32.302</v>
      </c>
      <c r="AW18" s="28">
        <v>33.965000000000003</v>
      </c>
      <c r="AX18" s="28">
        <v>37.886000000000003</v>
      </c>
      <c r="AY18" s="28">
        <v>36.619</v>
      </c>
      <c r="AZ18" s="28">
        <v>44.575000000000003</v>
      </c>
      <c r="BA18" s="50">
        <v>48.521000000000001</v>
      </c>
      <c r="BB18" s="28">
        <v>53.021999999999998</v>
      </c>
      <c r="BC18" s="28">
        <v>50.668999999999997</v>
      </c>
      <c r="BD18" s="28">
        <v>62.15</v>
      </c>
      <c r="BE18" s="28">
        <v>53.914000000000001</v>
      </c>
      <c r="BF18" s="28">
        <v>63.575000000000003</v>
      </c>
      <c r="BG18" s="28">
        <v>54.959000000000003</v>
      </c>
      <c r="BH18" s="28">
        <v>70.899000000000001</v>
      </c>
      <c r="BI18" s="28">
        <f>+BI17-BI19</f>
        <v>68.513992400000006</v>
      </c>
      <c r="BJ18" s="28">
        <f>+BJ17-BJ19</f>
        <v>76.024841899999956</v>
      </c>
      <c r="BK18" s="28"/>
      <c r="BL18" s="28"/>
      <c r="BQ18" s="9">
        <f>0.05*BQ17</f>
        <v>10735.322</v>
      </c>
      <c r="BR18" s="9">
        <f t="shared" ref="BR18:CE18" si="35">0.05*BR17</f>
        <v>0</v>
      </c>
      <c r="BS18" s="9">
        <f t="shared" si="35"/>
        <v>0</v>
      </c>
      <c r="BT18" s="9">
        <f t="shared" si="35"/>
        <v>0</v>
      </c>
      <c r="CA18" s="9">
        <f t="shared" si="35"/>
        <v>161.67150000000004</v>
      </c>
      <c r="CB18" s="9">
        <f t="shared" si="35"/>
        <v>184.86026400000003</v>
      </c>
      <c r="CC18" s="9">
        <f t="shared" si="35"/>
        <v>198.2010745</v>
      </c>
      <c r="CD18" s="9">
        <f t="shared" si="35"/>
        <v>216.65789245000002</v>
      </c>
      <c r="CE18" s="9">
        <f t="shared" si="35"/>
        <v>237.491627325</v>
      </c>
      <c r="CF18" s="9">
        <f t="shared" ref="CF18" si="36">0.05*CF17</f>
        <v>261.06753729320002</v>
      </c>
      <c r="CG18" s="9">
        <f t="shared" ref="CG18" si="37">0.05*CG17</f>
        <v>110.71356294420301</v>
      </c>
      <c r="CH18" s="9">
        <f t="shared" ref="CH18" si="38">0.05*CH17</f>
        <v>41.493393608647978</v>
      </c>
    </row>
    <row r="19" spans="2:133" s="9" customFormat="1" x14ac:dyDescent="0.2">
      <c r="B19" s="28" t="s">
        <v>262</v>
      </c>
      <c r="C19" s="28">
        <f>C17-C18</f>
        <v>17288</v>
      </c>
      <c r="D19" s="28">
        <f t="shared" ref="D19:L19" si="39">D17-D18</f>
        <v>49847</v>
      </c>
      <c r="E19" s="28">
        <f t="shared" si="39"/>
        <v>16872</v>
      </c>
      <c r="F19" s="28">
        <f t="shared" si="26"/>
        <v>85871</v>
      </c>
      <c r="G19" s="28">
        <f t="shared" si="39"/>
        <v>31973</v>
      </c>
      <c r="H19" s="28">
        <f t="shared" si="39"/>
        <v>16811</v>
      </c>
      <c r="I19" s="28">
        <f t="shared" si="39"/>
        <v>16782</v>
      </c>
      <c r="J19" s="28">
        <f t="shared" si="39"/>
        <v>28889</v>
      </c>
      <c r="K19" s="28">
        <f t="shared" si="39"/>
        <v>36168</v>
      </c>
      <c r="L19" s="28">
        <f t="shared" si="39"/>
        <v>86526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>
        <f t="shared" ref="AT19" si="40">+AT17-AT18</f>
        <v>648.81600000000003</v>
      </c>
      <c r="AU19" s="28">
        <f t="shared" ref="AU19:BB19" si="41">+AU17-AU18</f>
        <v>581.12200000000007</v>
      </c>
      <c r="AV19" s="28">
        <f t="shared" si="41"/>
        <v>663.41</v>
      </c>
      <c r="AW19" s="28">
        <f t="shared" si="41"/>
        <v>744.02199999999993</v>
      </c>
      <c r="AX19" s="28">
        <f t="shared" si="41"/>
        <v>774.9670000000001</v>
      </c>
      <c r="AY19" s="28">
        <f t="shared" si="41"/>
        <v>696.61599999999987</v>
      </c>
      <c r="AZ19" s="28">
        <f t="shared" si="41"/>
        <v>736.822</v>
      </c>
      <c r="BA19" s="28">
        <f t="shared" si="41"/>
        <v>774.78200000000004</v>
      </c>
      <c r="BB19" s="28">
        <f t="shared" si="41"/>
        <v>843.67799999999988</v>
      </c>
      <c r="BC19" s="28">
        <f>BC17-BC18</f>
        <v>758.00400000000013</v>
      </c>
      <c r="BD19" s="28">
        <f>+BD17-BD18</f>
        <v>892.46</v>
      </c>
      <c r="BE19" s="28">
        <f>+BE17-BE18</f>
        <v>860.1110000000001</v>
      </c>
      <c r="BF19" s="28">
        <f>+BF17-BF18</f>
        <v>947.76599999999985</v>
      </c>
      <c r="BG19" s="28">
        <f>+BG17-BG18</f>
        <v>800.46300000000019</v>
      </c>
      <c r="BH19" s="28">
        <f>+BH17-BH18</f>
        <v>972.86</v>
      </c>
      <c r="BI19" s="28">
        <f>+BI17*0.93</f>
        <v>910.25732760000005</v>
      </c>
      <c r="BJ19" s="28">
        <f>+BJ17*0.93</f>
        <v>1010.0443280999998</v>
      </c>
      <c r="BK19" s="28"/>
      <c r="BL19" s="28"/>
      <c r="BM19" s="28">
        <f t="shared" ref="BM19" si="42">BM17-BM18</f>
        <v>3919</v>
      </c>
      <c r="BN19" s="28">
        <f t="shared" ref="BN19" si="43">BN17-BN18</f>
        <v>9265</v>
      </c>
      <c r="BO19" s="28">
        <f t="shared" ref="BO19:BP19" si="44">BO17-BO18</f>
        <v>169878</v>
      </c>
      <c r="BP19" s="28">
        <f t="shared" si="44"/>
        <v>92443</v>
      </c>
      <c r="BQ19" s="28">
        <f t="shared" ref="BQ19" si="45">BQ17-BQ18</f>
        <v>203971.11800000002</v>
      </c>
      <c r="BR19" s="28">
        <f t="shared" ref="BR19" si="46">BR17-BR18</f>
        <v>0</v>
      </c>
      <c r="BS19" s="28">
        <f t="shared" ref="BS19" si="47">BS17-BS18</f>
        <v>0</v>
      </c>
      <c r="BT19" s="28">
        <f t="shared" ref="BT19" si="48">BT17-BT18</f>
        <v>0</v>
      </c>
      <c r="BU19" s="28"/>
      <c r="BV19" s="28"/>
      <c r="BW19" s="28"/>
      <c r="BX19" s="28"/>
      <c r="BY19" s="28"/>
      <c r="BZ19" s="28"/>
      <c r="CA19" s="28">
        <f t="shared" ref="CA19:CE19" si="49">CA17-CA18</f>
        <v>3071.7585000000008</v>
      </c>
      <c r="CB19" s="28">
        <f t="shared" si="49"/>
        <v>3512.3450160000007</v>
      </c>
      <c r="CC19" s="28">
        <f t="shared" si="49"/>
        <v>3765.8204155000003</v>
      </c>
      <c r="CD19" s="28">
        <f t="shared" si="49"/>
        <v>4116.4999565500002</v>
      </c>
      <c r="CE19" s="28">
        <f t="shared" si="49"/>
        <v>4512.3409191749997</v>
      </c>
      <c r="CF19" s="28">
        <f t="shared" ref="CF19:CH19" si="50">CF17-CF18</f>
        <v>4960.2832085708005</v>
      </c>
      <c r="CG19" s="28">
        <f t="shared" si="50"/>
        <v>2103.5576959398568</v>
      </c>
      <c r="CH19" s="28">
        <f t="shared" si="50"/>
        <v>788.3744785643114</v>
      </c>
    </row>
    <row r="20" spans="2:133" s="9" customFormat="1" x14ac:dyDescent="0.2">
      <c r="B20" s="28" t="s">
        <v>182</v>
      </c>
      <c r="C20" s="28">
        <v>31439</v>
      </c>
      <c r="D20" s="28">
        <v>28883</v>
      </c>
      <c r="E20" s="28">
        <v>30609</v>
      </c>
      <c r="F20" s="28">
        <f t="shared" si="26"/>
        <v>32949</v>
      </c>
      <c r="G20" s="28">
        <v>36282</v>
      </c>
      <c r="H20" s="28">
        <v>46047</v>
      </c>
      <c r="I20" s="28">
        <v>44604</v>
      </c>
      <c r="J20" s="28">
        <v>51877</v>
      </c>
      <c r="K20" s="28">
        <v>48960</v>
      </c>
      <c r="L20" s="28">
        <v>51588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>
        <v>375.77</v>
      </c>
      <c r="AU20" s="28">
        <v>277.02199999999999</v>
      </c>
      <c r="AV20" s="28">
        <v>315.47300000000001</v>
      </c>
      <c r="AW20" s="28">
        <v>334.94499999999999</v>
      </c>
      <c r="AX20" s="50">
        <v>442.69299999999998</v>
      </c>
      <c r="AY20" s="28">
        <v>327.04500000000002</v>
      </c>
      <c r="AZ20" s="28">
        <v>319.05900000000003</v>
      </c>
      <c r="BA20" s="28">
        <v>384.00700000000001</v>
      </c>
      <c r="BB20" s="28">
        <v>469.048</v>
      </c>
      <c r="BC20" s="28">
        <v>375.62</v>
      </c>
      <c r="BD20" s="28">
        <v>367.92099999999999</v>
      </c>
      <c r="BE20" s="28">
        <v>348.86799999999999</v>
      </c>
      <c r="BF20" s="28">
        <v>408.488</v>
      </c>
      <c r="BG20" s="28">
        <v>388.43700000000001</v>
      </c>
      <c r="BH20" s="28">
        <v>1089.0889999999999</v>
      </c>
      <c r="BI20" s="28"/>
      <c r="BJ20" s="28"/>
      <c r="BK20" s="28"/>
      <c r="BL20" s="28"/>
      <c r="BM20" s="9">
        <v>146362</v>
      </c>
      <c r="BN20" s="9">
        <v>119442</v>
      </c>
      <c r="BO20" s="9">
        <v>123880</v>
      </c>
      <c r="BP20" s="9">
        <v>178707</v>
      </c>
      <c r="BQ20" s="9">
        <v>100000</v>
      </c>
      <c r="BR20" s="9">
        <v>75000</v>
      </c>
      <c r="CA20" s="46">
        <f t="shared" ref="CA20:CA21" si="51">SUM(AY20:BB20)</f>
        <v>1499.1590000000001</v>
      </c>
    </row>
    <row r="21" spans="2:133" s="9" customFormat="1" x14ac:dyDescent="0.2">
      <c r="B21" s="28" t="s">
        <v>183</v>
      </c>
      <c r="C21" s="28">
        <v>5794</v>
      </c>
      <c r="D21" s="28">
        <v>7485</v>
      </c>
      <c r="E21" s="28">
        <v>8458</v>
      </c>
      <c r="F21" s="28">
        <f t="shared" si="26"/>
        <v>10591</v>
      </c>
      <c r="G21" s="28">
        <v>10825</v>
      </c>
      <c r="H21" s="28">
        <v>11858</v>
      </c>
      <c r="I21" s="28">
        <v>14282</v>
      </c>
      <c r="J21" s="28">
        <v>21152</v>
      </c>
      <c r="K21" s="28">
        <v>21396</v>
      </c>
      <c r="L21" s="28">
        <v>19719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>
        <v>152.148</v>
      </c>
      <c r="AU21" s="28">
        <v>123.313</v>
      </c>
      <c r="AV21" s="28">
        <v>152.523</v>
      </c>
      <c r="AW21" s="28">
        <v>308.67500000000001</v>
      </c>
      <c r="AX21" s="28">
        <v>208.71799999999999</v>
      </c>
      <c r="AY21" s="28">
        <v>192.68199999999999</v>
      </c>
      <c r="AZ21" s="28">
        <v>235.595</v>
      </c>
      <c r="BA21" s="28">
        <v>266.45999999999998</v>
      </c>
      <c r="BB21" s="28">
        <v>253.209</v>
      </c>
      <c r="BC21" s="28">
        <v>294.017</v>
      </c>
      <c r="BD21" s="28">
        <v>263.02999999999997</v>
      </c>
      <c r="BE21" s="28">
        <v>241.89599999999999</v>
      </c>
      <c r="BF21" s="28">
        <v>270.673</v>
      </c>
      <c r="BG21" s="28">
        <v>277.33499999999998</v>
      </c>
      <c r="BH21" s="28">
        <v>262.572</v>
      </c>
      <c r="BI21" s="28">
        <f>+BE21</f>
        <v>241.89599999999999</v>
      </c>
      <c r="BJ21" s="28">
        <f>+BF21</f>
        <v>270.673</v>
      </c>
      <c r="BK21" s="28"/>
      <c r="BL21" s="28"/>
      <c r="BM21" s="9">
        <v>17073</v>
      </c>
      <c r="BN21" s="9">
        <v>27580</v>
      </c>
      <c r="BO21" s="9">
        <v>32328</v>
      </c>
      <c r="BP21" s="9">
        <v>58219</v>
      </c>
      <c r="BQ21" s="9">
        <f>BP21*1.02</f>
        <v>59383.380000000005</v>
      </c>
      <c r="BR21" s="9">
        <f t="shared" ref="BR21:BS21" si="52">BQ21*1.02</f>
        <v>60571.047600000005</v>
      </c>
      <c r="BS21" s="9">
        <f t="shared" si="52"/>
        <v>61782.468552000006</v>
      </c>
      <c r="CA21" s="46">
        <f t="shared" si="51"/>
        <v>947.94599999999991</v>
      </c>
      <c r="CB21" s="9">
        <f>+CA21*0.8</f>
        <v>758.35680000000002</v>
      </c>
      <c r="CC21" s="9">
        <f t="shared" ref="CC21:CH21" si="53">+CB21*0.8</f>
        <v>606.68544000000009</v>
      </c>
      <c r="CD21" s="9">
        <f t="shared" si="53"/>
        <v>485.34835200000009</v>
      </c>
      <c r="CE21" s="9">
        <f t="shared" si="53"/>
        <v>388.27868160000008</v>
      </c>
      <c r="CF21" s="9">
        <f t="shared" si="53"/>
        <v>310.62294528000007</v>
      </c>
      <c r="CG21" s="9">
        <f t="shared" si="53"/>
        <v>248.49835622400008</v>
      </c>
      <c r="CH21" s="9">
        <f t="shared" si="53"/>
        <v>198.79868497920006</v>
      </c>
    </row>
    <row r="22" spans="2:133" s="9" customFormat="1" x14ac:dyDescent="0.2">
      <c r="B22" s="28" t="s">
        <v>261</v>
      </c>
      <c r="C22" s="28">
        <v>-115</v>
      </c>
      <c r="D22" s="28">
        <v>-145</v>
      </c>
      <c r="E22" s="28">
        <v>-139</v>
      </c>
      <c r="F22" s="28">
        <f t="shared" si="26"/>
        <v>20</v>
      </c>
      <c r="G22" s="28">
        <v>691</v>
      </c>
      <c r="H22" s="28">
        <v>20</v>
      </c>
      <c r="I22" s="28">
        <v>0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9">
        <v>-227</v>
      </c>
      <c r="BN22" s="9">
        <v>2011</v>
      </c>
      <c r="BO22" s="9">
        <v>-379</v>
      </c>
      <c r="BP22" s="9">
        <v>712</v>
      </c>
    </row>
    <row r="23" spans="2:133" s="9" customFormat="1" x14ac:dyDescent="0.2">
      <c r="B23" s="50" t="s">
        <v>418</v>
      </c>
      <c r="C23" s="28">
        <f>SUM(C20:C22)</f>
        <v>37118</v>
      </c>
      <c r="D23" s="28">
        <f t="shared" ref="D23:I23" si="54">SUM(D20:D22)</f>
        <v>36223</v>
      </c>
      <c r="E23" s="28">
        <f t="shared" si="54"/>
        <v>38928</v>
      </c>
      <c r="F23" s="28">
        <f t="shared" si="26"/>
        <v>43560</v>
      </c>
      <c r="G23" s="28">
        <f t="shared" si="54"/>
        <v>47798</v>
      </c>
      <c r="H23" s="28">
        <f t="shared" si="54"/>
        <v>57925</v>
      </c>
      <c r="I23" s="28">
        <f t="shared" si="54"/>
        <v>58886</v>
      </c>
      <c r="J23" s="28">
        <f t="shared" ref="J23:L23" si="55">SUM(J20:J22)</f>
        <v>73029</v>
      </c>
      <c r="K23" s="28">
        <f t="shared" si="55"/>
        <v>70356</v>
      </c>
      <c r="L23" s="28">
        <f t="shared" si="55"/>
        <v>71307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>
        <f t="shared" ref="AT23" si="56">+AT21+AT20</f>
        <v>527.91800000000001</v>
      </c>
      <c r="AU23" s="28">
        <f>+AU21+AU20</f>
        <v>400.33499999999998</v>
      </c>
      <c r="AV23" s="28">
        <f>+AV21+AV20</f>
        <v>467.99599999999998</v>
      </c>
      <c r="AW23" s="28">
        <f>+AW20+AW21</f>
        <v>643.62</v>
      </c>
      <c r="AX23" s="28">
        <f>+AX21+AX20</f>
        <v>651.41099999999994</v>
      </c>
      <c r="AY23" s="28">
        <f>+AY21+AY20</f>
        <v>519.72699999999998</v>
      </c>
      <c r="AZ23" s="28">
        <f>+AZ21+AZ20</f>
        <v>554.654</v>
      </c>
      <c r="BA23" s="28">
        <f>+BA20+BA21</f>
        <v>650.46699999999998</v>
      </c>
      <c r="BB23" s="28">
        <f>+BB20+BB21</f>
        <v>722.25700000000006</v>
      </c>
      <c r="BC23" s="28">
        <f>+BC20+BC21</f>
        <v>669.63699999999994</v>
      </c>
      <c r="BD23" s="28">
        <f t="shared" ref="BD23:BH23" si="57">+BD20+BD21</f>
        <v>630.95100000000002</v>
      </c>
      <c r="BE23" s="28">
        <f t="shared" si="57"/>
        <v>590.76400000000001</v>
      </c>
      <c r="BF23" s="28">
        <f t="shared" si="57"/>
        <v>679.16100000000006</v>
      </c>
      <c r="BG23" s="28">
        <f t="shared" si="57"/>
        <v>665.77199999999993</v>
      </c>
      <c r="BH23" s="28">
        <f>+BH20+BH21</f>
        <v>1351.6610000000001</v>
      </c>
      <c r="BI23" s="28">
        <f>+BI20+BI21</f>
        <v>241.89599999999999</v>
      </c>
      <c r="BJ23" s="28">
        <f>+BJ20+BJ21</f>
        <v>270.673</v>
      </c>
      <c r="BK23" s="28"/>
      <c r="BL23" s="28"/>
      <c r="BM23" s="28">
        <f t="shared" ref="BM23" si="58">SUM(BM20:BM22)</f>
        <v>163208</v>
      </c>
      <c r="BN23" s="28">
        <f t="shared" ref="BN23" si="59">SUM(BN20:BN22)</f>
        <v>149033</v>
      </c>
      <c r="BO23" s="28">
        <f t="shared" ref="BO23:BP23" si="60">SUM(BO20:BO22)</f>
        <v>155829</v>
      </c>
      <c r="BP23" s="28">
        <f t="shared" si="60"/>
        <v>237638</v>
      </c>
      <c r="BQ23" s="28">
        <f t="shared" ref="BQ23" si="61">SUM(BQ20:BQ22)</f>
        <v>159383.38</v>
      </c>
      <c r="BR23" s="28">
        <f t="shared" ref="BR23" si="62">SUM(BR20:BR22)</f>
        <v>135571.04759999999</v>
      </c>
      <c r="BS23" s="28">
        <f t="shared" ref="BS23:CE23" si="63">SUM(BS20:BS22)</f>
        <v>61782.468552000006</v>
      </c>
      <c r="BT23" s="28">
        <f t="shared" si="63"/>
        <v>0</v>
      </c>
      <c r="BU23" s="28"/>
      <c r="BV23" s="28"/>
      <c r="BW23" s="28"/>
      <c r="BX23" s="28"/>
      <c r="BY23" s="28"/>
      <c r="BZ23" s="28"/>
      <c r="CA23" s="28">
        <f>SUM(CA20:CA22)</f>
        <v>2447.105</v>
      </c>
      <c r="CB23" s="28">
        <f t="shared" si="63"/>
        <v>758.35680000000002</v>
      </c>
      <c r="CC23" s="28">
        <f t="shared" si="63"/>
        <v>606.68544000000009</v>
      </c>
      <c r="CD23" s="28">
        <f t="shared" si="63"/>
        <v>485.34835200000009</v>
      </c>
      <c r="CE23" s="28">
        <f t="shared" si="63"/>
        <v>388.27868160000008</v>
      </c>
      <c r="CF23" s="28">
        <f t="shared" ref="CF23:CH23" si="64">SUM(CF20:CF22)</f>
        <v>310.62294528000007</v>
      </c>
      <c r="CG23" s="28">
        <f t="shared" si="64"/>
        <v>248.49835622400008</v>
      </c>
      <c r="CH23" s="28">
        <f t="shared" si="64"/>
        <v>198.79868497920006</v>
      </c>
    </row>
    <row r="24" spans="2:133" s="9" customFormat="1" x14ac:dyDescent="0.2">
      <c r="B24" s="50" t="s">
        <v>146</v>
      </c>
      <c r="C24" s="28">
        <f>C19-C23</f>
        <v>-19830</v>
      </c>
      <c r="D24" s="28">
        <f t="shared" ref="D24:I24" si="65">D19-D23</f>
        <v>13624</v>
      </c>
      <c r="E24" s="28">
        <f t="shared" si="65"/>
        <v>-22056</v>
      </c>
      <c r="F24" s="28">
        <f t="shared" si="26"/>
        <v>42311</v>
      </c>
      <c r="G24" s="28">
        <f t="shared" si="65"/>
        <v>-15825</v>
      </c>
      <c r="H24" s="28">
        <f t="shared" si="65"/>
        <v>-41114</v>
      </c>
      <c r="I24" s="28">
        <f t="shared" si="65"/>
        <v>-42104</v>
      </c>
      <c r="J24" s="28">
        <f t="shared" ref="J24:L24" si="66">J19-J23</f>
        <v>-44140</v>
      </c>
      <c r="K24" s="28">
        <f t="shared" si="66"/>
        <v>-34188</v>
      </c>
      <c r="L24" s="28">
        <f t="shared" si="66"/>
        <v>15219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>
        <f t="shared" ref="AT24" si="67">+AT19-AT23</f>
        <v>120.89800000000002</v>
      </c>
      <c r="AU24" s="28">
        <f t="shared" ref="AU24:BB24" si="68">+AU19-AU23</f>
        <v>180.78700000000009</v>
      </c>
      <c r="AV24" s="28">
        <f t="shared" si="68"/>
        <v>195.41399999999999</v>
      </c>
      <c r="AW24" s="28">
        <f t="shared" si="68"/>
        <v>100.40199999999993</v>
      </c>
      <c r="AX24" s="28">
        <f t="shared" si="68"/>
        <v>123.55600000000015</v>
      </c>
      <c r="AY24" s="28">
        <f t="shared" si="68"/>
        <v>176.8889999999999</v>
      </c>
      <c r="AZ24" s="28">
        <f t="shared" si="68"/>
        <v>182.16800000000001</v>
      </c>
      <c r="BA24" s="28">
        <f t="shared" si="68"/>
        <v>124.31500000000005</v>
      </c>
      <c r="BB24" s="28">
        <f t="shared" si="68"/>
        <v>121.42099999999982</v>
      </c>
      <c r="BC24" s="28">
        <f>+BC19-BC23</f>
        <v>88.367000000000189</v>
      </c>
      <c r="BD24" s="28">
        <f t="shared" ref="BD24:BG24" si="69">+BD19-BD23</f>
        <v>261.50900000000001</v>
      </c>
      <c r="BE24" s="28">
        <f t="shared" si="69"/>
        <v>269.34700000000009</v>
      </c>
      <c r="BF24" s="28">
        <f t="shared" si="69"/>
        <v>268.60499999999979</v>
      </c>
      <c r="BG24" s="28">
        <f t="shared" si="69"/>
        <v>134.69100000000026</v>
      </c>
      <c r="BH24" s="28">
        <f>+BH19-BH23</f>
        <v>-378.80100000000004</v>
      </c>
      <c r="BI24" s="28">
        <f>+BI19-BI23</f>
        <v>668.3613276000001</v>
      </c>
      <c r="BJ24" s="28">
        <f>+BJ19-BJ23</f>
        <v>739.3713280999998</v>
      </c>
      <c r="BK24" s="28"/>
      <c r="BL24" s="28"/>
      <c r="BM24" s="28">
        <f t="shared" ref="BM24" si="70">BM19-BM23</f>
        <v>-159289</v>
      </c>
      <c r="BN24" s="28">
        <f t="shared" ref="BN24" si="71">BN19-BN23</f>
        <v>-139768</v>
      </c>
      <c r="BO24" s="28">
        <f t="shared" ref="BO24:BP24" si="72">BO19-BO23</f>
        <v>14049</v>
      </c>
      <c r="BP24" s="28">
        <f t="shared" si="72"/>
        <v>-145195</v>
      </c>
      <c r="BQ24" s="28">
        <f t="shared" ref="BQ24" si="73">BQ19-BQ23</f>
        <v>44587.738000000012</v>
      </c>
      <c r="BR24" s="28">
        <f t="shared" ref="BR24" si="74">BR19-BR23</f>
        <v>-135571.04759999999</v>
      </c>
      <c r="BS24" s="28">
        <f t="shared" ref="BS24:BT24" si="75">BS19-BS23</f>
        <v>-61782.468552000006</v>
      </c>
      <c r="BT24" s="28">
        <f t="shared" si="75"/>
        <v>0</v>
      </c>
      <c r="BU24" s="28"/>
      <c r="BV24" s="28"/>
      <c r="BW24" s="28"/>
      <c r="BX24" s="28"/>
      <c r="BY24" s="28"/>
      <c r="BZ24" s="28"/>
      <c r="CA24" s="28">
        <f t="shared" ref="CA24:CH24" si="76">CA19-CA23</f>
        <v>624.6535000000008</v>
      </c>
      <c r="CB24" s="28">
        <f t="shared" si="76"/>
        <v>2753.9882160000006</v>
      </c>
      <c r="CC24" s="28">
        <f t="shared" si="76"/>
        <v>3159.1349755000001</v>
      </c>
      <c r="CD24" s="28">
        <f t="shared" si="76"/>
        <v>3631.1516045500002</v>
      </c>
      <c r="CE24" s="28">
        <f t="shared" si="76"/>
        <v>4124.0622375749999</v>
      </c>
      <c r="CF24" s="28">
        <f t="shared" si="76"/>
        <v>4649.6602632908007</v>
      </c>
      <c r="CG24" s="28">
        <f t="shared" si="76"/>
        <v>1855.0593397158568</v>
      </c>
      <c r="CH24" s="28">
        <f t="shared" si="76"/>
        <v>589.57579358511134</v>
      </c>
    </row>
    <row r="25" spans="2:133" s="9" customFormat="1" x14ac:dyDescent="0.2">
      <c r="B25" s="28" t="s">
        <v>263</v>
      </c>
      <c r="C25" s="28">
        <f>195-11779</f>
        <v>-11584</v>
      </c>
      <c r="D25" s="28">
        <f>142-10391</f>
        <v>-10249</v>
      </c>
      <c r="E25" s="28">
        <f>212-10515</f>
        <v>-10303</v>
      </c>
      <c r="F25" s="28">
        <f t="shared" si="26"/>
        <v>-9771</v>
      </c>
      <c r="G25" s="28">
        <f>72-10759</f>
        <v>-10687</v>
      </c>
      <c r="H25" s="28">
        <f>132-10888</f>
        <v>-10756</v>
      </c>
      <c r="I25" s="28">
        <f>45-11019</f>
        <v>-10974</v>
      </c>
      <c r="J25" s="28">
        <f>213-11153</f>
        <v>-10940</v>
      </c>
      <c r="K25" s="28">
        <f>52-11290</f>
        <v>-11238</v>
      </c>
      <c r="L25" s="28">
        <f>315-11430</f>
        <v>-11115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>
        <f>-12.429+4.81-0.428</f>
        <v>-8.0470000000000006</v>
      </c>
      <c r="AU25" s="28">
        <f>-1.407-0.359</f>
        <v>-1.766</v>
      </c>
      <c r="AV25" s="28">
        <f>-9.843+4.39-0.358</f>
        <v>-5.8109999999999999</v>
      </c>
      <c r="AW25" s="28">
        <f>-9.149+1.948-0.439</f>
        <v>-7.6399999999999988</v>
      </c>
      <c r="AX25" s="28">
        <f>-7.543+5.716-0.752</f>
        <v>-2.5789999999999997</v>
      </c>
      <c r="AY25" s="28">
        <f>1.26-0.68</f>
        <v>0.57999999999999996</v>
      </c>
      <c r="AZ25" s="28">
        <f>-2.544+0.522-0.678</f>
        <v>-2.7</v>
      </c>
      <c r="BA25" s="28">
        <f>-1.769+11.513-0.641</f>
        <v>9.1029999999999998</v>
      </c>
      <c r="BB25" s="28">
        <f>26.637-0.667</f>
        <v>25.97</v>
      </c>
      <c r="BC25" s="28">
        <f>32.873-0.469</f>
        <v>32.403999999999996</v>
      </c>
      <c r="BD25" s="28">
        <v>42.667999999999999</v>
      </c>
      <c r="BE25" s="28">
        <v>46.371000000000002</v>
      </c>
      <c r="BF25" s="28">
        <v>50.436</v>
      </c>
      <c r="BG25" s="28">
        <v>44.744</v>
      </c>
      <c r="BH25" s="28">
        <v>49.768999999999998</v>
      </c>
      <c r="BI25" s="28"/>
      <c r="BJ25" s="28"/>
      <c r="BK25" s="28"/>
      <c r="BL25" s="28"/>
      <c r="BM25" s="9">
        <f>5306-24937</f>
        <v>-19631</v>
      </c>
      <c r="BN25" s="9">
        <f>50-32125</f>
        <v>-32075</v>
      </c>
      <c r="BO25" s="9">
        <f>1416-43323</f>
        <v>-41907</v>
      </c>
      <c r="BP25" s="9">
        <f>462-43819</f>
        <v>-43357</v>
      </c>
      <c r="BQ25" s="9">
        <v>-42000</v>
      </c>
      <c r="BR25" s="9">
        <v>-42000</v>
      </c>
      <c r="BS25" s="9">
        <v>-42000</v>
      </c>
    </row>
    <row r="26" spans="2:133" s="9" customFormat="1" x14ac:dyDescent="0.2">
      <c r="B26" s="28" t="s">
        <v>264</v>
      </c>
      <c r="C26" s="28">
        <f>SUM(C24:C25)</f>
        <v>-31414</v>
      </c>
      <c r="D26" s="28">
        <f>SUM(D24:D25)</f>
        <v>3375</v>
      </c>
      <c r="E26" s="28">
        <f>SUM(E24:E25)</f>
        <v>-32359</v>
      </c>
      <c r="F26" s="28">
        <f t="shared" si="26"/>
        <v>32540</v>
      </c>
      <c r="G26" s="28">
        <f>SUM(G24:G25)</f>
        <v>-26512</v>
      </c>
      <c r="H26" s="28">
        <f>SUM(H24:H25)</f>
        <v>-51870</v>
      </c>
      <c r="I26" s="28">
        <f>SUM(I24:I25)</f>
        <v>-53078</v>
      </c>
      <c r="J26" s="28">
        <f>SUM(J24:J25)</f>
        <v>-55080</v>
      </c>
      <c r="K26" s="28">
        <f t="shared" ref="K26:L26" si="77">SUM(K24:K25)</f>
        <v>-45426</v>
      </c>
      <c r="L26" s="28">
        <f t="shared" si="77"/>
        <v>4104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>
        <f t="shared" ref="AT26" si="78">+AT24+AT25</f>
        <v>112.85100000000003</v>
      </c>
      <c r="AU26" s="28">
        <f t="shared" ref="AU26:BC26" si="79">+AU24+AU25</f>
        <v>179.0210000000001</v>
      </c>
      <c r="AV26" s="28">
        <f t="shared" si="79"/>
        <v>189.60299999999998</v>
      </c>
      <c r="AW26" s="28">
        <f t="shared" si="79"/>
        <v>92.761999999999929</v>
      </c>
      <c r="AX26" s="28">
        <f t="shared" si="79"/>
        <v>120.97700000000016</v>
      </c>
      <c r="AY26" s="28">
        <f t="shared" si="79"/>
        <v>177.46899999999991</v>
      </c>
      <c r="AZ26" s="28">
        <f t="shared" si="79"/>
        <v>179.46800000000002</v>
      </c>
      <c r="BA26" s="28">
        <f t="shared" si="79"/>
        <v>133.41800000000006</v>
      </c>
      <c r="BB26" s="28">
        <f t="shared" si="79"/>
        <v>147.39099999999982</v>
      </c>
      <c r="BC26" s="28">
        <f t="shared" si="79"/>
        <v>120.77100000000019</v>
      </c>
      <c r="BD26" s="28">
        <f t="shared" ref="BD26" si="80">+BD24+BD25</f>
        <v>304.17700000000002</v>
      </c>
      <c r="BE26" s="28">
        <f t="shared" ref="BE26" si="81">+BE24+BE25</f>
        <v>315.71800000000007</v>
      </c>
      <c r="BF26" s="28">
        <f t="shared" ref="BF26:BJ26" si="82">+BF24+BF25</f>
        <v>319.04099999999977</v>
      </c>
      <c r="BG26" s="28">
        <f t="shared" si="82"/>
        <v>179.43500000000026</v>
      </c>
      <c r="BH26" s="28">
        <f t="shared" si="82"/>
        <v>-329.03200000000004</v>
      </c>
      <c r="BI26" s="28">
        <f t="shared" si="82"/>
        <v>668.3613276000001</v>
      </c>
      <c r="BJ26" s="28">
        <f t="shared" si="82"/>
        <v>739.3713280999998</v>
      </c>
      <c r="BK26" s="28"/>
      <c r="BL26" s="28"/>
      <c r="BM26" s="28">
        <f t="shared" ref="BM26:BS26" si="83">SUM(BM24:BM25)</f>
        <v>-178920</v>
      </c>
      <c r="BN26" s="28">
        <f t="shared" si="83"/>
        <v>-171843</v>
      </c>
      <c r="BO26" s="28">
        <f t="shared" si="83"/>
        <v>-27858</v>
      </c>
      <c r="BP26" s="28">
        <f t="shared" ref="BP26" si="84">SUM(BP24:BP25)</f>
        <v>-188552</v>
      </c>
      <c r="BQ26" s="28">
        <f t="shared" si="83"/>
        <v>2587.7380000000121</v>
      </c>
      <c r="BR26" s="28">
        <f t="shared" si="83"/>
        <v>-177571.04759999999</v>
      </c>
      <c r="BS26" s="28">
        <f t="shared" si="83"/>
        <v>-103782.46855200001</v>
      </c>
      <c r="BT26" s="28">
        <f t="shared" ref="BT26:CE26" si="85">SUM(BT24:BT25)</f>
        <v>0</v>
      </c>
      <c r="BU26" s="28"/>
      <c r="BV26" s="28"/>
      <c r="BW26" s="28"/>
      <c r="BX26" s="28"/>
      <c r="BY26" s="28"/>
      <c r="BZ26" s="28"/>
      <c r="CA26" s="28">
        <f t="shared" si="85"/>
        <v>624.6535000000008</v>
      </c>
      <c r="CB26" s="28">
        <f t="shared" si="85"/>
        <v>2753.9882160000006</v>
      </c>
      <c r="CC26" s="28">
        <f t="shared" si="85"/>
        <v>3159.1349755000001</v>
      </c>
      <c r="CD26" s="28">
        <f t="shared" si="85"/>
        <v>3631.1516045500002</v>
      </c>
      <c r="CE26" s="28">
        <f t="shared" si="85"/>
        <v>4124.0622375749999</v>
      </c>
      <c r="CF26" s="28">
        <f t="shared" ref="CF26:CH26" si="86">SUM(CF24:CF25)</f>
        <v>4649.6602632908007</v>
      </c>
      <c r="CG26" s="28">
        <f t="shared" si="86"/>
        <v>1855.0593397158568</v>
      </c>
      <c r="CH26" s="28">
        <f t="shared" si="86"/>
        <v>589.57579358511134</v>
      </c>
    </row>
    <row r="27" spans="2:133" s="9" customFormat="1" x14ac:dyDescent="0.2">
      <c r="B27" s="28" t="s">
        <v>265</v>
      </c>
      <c r="C27" s="28"/>
      <c r="D27" s="28">
        <v>331</v>
      </c>
      <c r="E27" s="28">
        <v>658</v>
      </c>
      <c r="F27" s="28">
        <f t="shared" si="26"/>
        <v>-989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>
        <v>18.251999999999999</v>
      </c>
      <c r="AU27" s="28">
        <v>15.787000000000001</v>
      </c>
      <c r="AV27" s="28">
        <v>22.177</v>
      </c>
      <c r="AW27" s="28">
        <v>27.73</v>
      </c>
      <c r="AX27" s="28">
        <v>0</v>
      </c>
      <c r="AY27" s="28">
        <v>32.542999999999999</v>
      </c>
      <c r="AZ27" s="28">
        <v>67.945999999999998</v>
      </c>
      <c r="BA27" s="28">
        <v>35.813000000000002</v>
      </c>
      <c r="BB27" s="28">
        <v>52.154000000000003</v>
      </c>
      <c r="BC27" s="28">
        <v>30.152999999999999</v>
      </c>
      <c r="BD27" s="28">
        <v>74.055999999999997</v>
      </c>
      <c r="BE27" s="28">
        <v>62.53</v>
      </c>
      <c r="BF27" s="28">
        <v>69.876999999999995</v>
      </c>
      <c r="BG27" s="28">
        <v>66.611000000000004</v>
      </c>
      <c r="BH27" s="28">
        <v>54.823999999999998</v>
      </c>
      <c r="BI27" s="28">
        <f>+BI26*0.1</f>
        <v>66.836132760000012</v>
      </c>
      <c r="BJ27" s="28">
        <f>+BJ26*0.1</f>
        <v>73.93713280999998</v>
      </c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>
        <f>+CA26*0.2</f>
        <v>124.93070000000017</v>
      </c>
      <c r="CB27" s="28">
        <f t="shared" ref="CB27:CH27" si="87">+CB26*0.2</f>
        <v>550.79764320000015</v>
      </c>
      <c r="CC27" s="28">
        <f t="shared" si="87"/>
        <v>631.82699510000009</v>
      </c>
      <c r="CD27" s="28">
        <f t="shared" si="87"/>
        <v>726.23032091000005</v>
      </c>
      <c r="CE27" s="28">
        <f t="shared" si="87"/>
        <v>824.81244751500003</v>
      </c>
      <c r="CF27" s="28">
        <f t="shared" si="87"/>
        <v>929.93205265816016</v>
      </c>
      <c r="CG27" s="28">
        <f t="shared" si="87"/>
        <v>371.01186794317141</v>
      </c>
      <c r="CH27" s="28">
        <f t="shared" si="87"/>
        <v>117.91515871702228</v>
      </c>
    </row>
    <row r="28" spans="2:133" s="9" customFormat="1" x14ac:dyDescent="0.2">
      <c r="B28" s="28" t="s">
        <v>266</v>
      </c>
      <c r="C28" s="28">
        <f>C26+C27</f>
        <v>-31414</v>
      </c>
      <c r="D28" s="28">
        <f t="shared" ref="D28:I28" si="88">D26+D27</f>
        <v>3706</v>
      </c>
      <c r="E28" s="28">
        <f t="shared" si="88"/>
        <v>-31701</v>
      </c>
      <c r="F28" s="28">
        <f t="shared" si="26"/>
        <v>31551</v>
      </c>
      <c r="G28" s="28">
        <f t="shared" si="88"/>
        <v>-26512</v>
      </c>
      <c r="H28" s="28">
        <f t="shared" si="88"/>
        <v>-51870</v>
      </c>
      <c r="I28" s="28">
        <f t="shared" si="88"/>
        <v>-53078</v>
      </c>
      <c r="J28" s="28">
        <f t="shared" ref="J28:L28" si="89">J26+J27</f>
        <v>-55080</v>
      </c>
      <c r="K28" s="28">
        <f t="shared" si="89"/>
        <v>-45426</v>
      </c>
      <c r="L28" s="28">
        <f t="shared" si="89"/>
        <v>4104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>
        <f t="shared" ref="AT28" si="90">+AT26-AT27</f>
        <v>94.599000000000032</v>
      </c>
      <c r="AU28" s="28">
        <f t="shared" ref="AU28:BC28" si="91">+AU26-AU27</f>
        <v>163.23400000000009</v>
      </c>
      <c r="AV28" s="28">
        <f t="shared" si="91"/>
        <v>167.42599999999999</v>
      </c>
      <c r="AW28" s="28">
        <f t="shared" si="91"/>
        <v>65.031999999999925</v>
      </c>
      <c r="AX28" s="28">
        <f t="shared" si="91"/>
        <v>120.97700000000016</v>
      </c>
      <c r="AY28" s="28">
        <f t="shared" si="91"/>
        <v>144.9259999999999</v>
      </c>
      <c r="AZ28" s="28">
        <f t="shared" si="91"/>
        <v>111.52200000000002</v>
      </c>
      <c r="BA28" s="28">
        <f t="shared" si="91"/>
        <v>97.605000000000061</v>
      </c>
      <c r="BB28" s="28">
        <f t="shared" si="91"/>
        <v>95.236999999999824</v>
      </c>
      <c r="BC28" s="28">
        <f t="shared" si="91"/>
        <v>90.618000000000194</v>
      </c>
      <c r="BD28" s="28">
        <f t="shared" ref="BD28" si="92">+BD26-BD27</f>
        <v>230.12100000000004</v>
      </c>
      <c r="BE28" s="28">
        <f t="shared" ref="BE28" si="93">+BE26-BE27</f>
        <v>253.18800000000007</v>
      </c>
      <c r="BF28" s="28">
        <f t="shared" ref="BF28:BJ28" si="94">+BF26-BF27</f>
        <v>249.16399999999976</v>
      </c>
      <c r="BG28" s="28">
        <f t="shared" si="94"/>
        <v>112.82400000000025</v>
      </c>
      <c r="BH28" s="28">
        <f t="shared" si="94"/>
        <v>-383.85600000000005</v>
      </c>
      <c r="BI28" s="28">
        <f t="shared" si="94"/>
        <v>601.52519484000004</v>
      </c>
      <c r="BJ28" s="28">
        <f t="shared" si="94"/>
        <v>665.43419528999982</v>
      </c>
      <c r="BK28" s="28"/>
      <c r="BL28" s="28"/>
      <c r="BM28" s="28">
        <f t="shared" ref="BM28" si="95">BM26+BM27</f>
        <v>-178920</v>
      </c>
      <c r="BN28" s="28">
        <f t="shared" ref="BN28" si="96">BN26+BN27</f>
        <v>-171843</v>
      </c>
      <c r="BO28" s="28">
        <f t="shared" ref="BO28:BP28" si="97">BO26+BO27</f>
        <v>-27858</v>
      </c>
      <c r="BP28" s="28">
        <f t="shared" si="97"/>
        <v>-188552</v>
      </c>
      <c r="BQ28" s="28">
        <f t="shared" ref="BQ28" si="98">BQ26+BQ27</f>
        <v>2587.7380000000121</v>
      </c>
      <c r="BR28" s="28">
        <f t="shared" ref="BR28" si="99">BR26+BR27</f>
        <v>-177571.04759999999</v>
      </c>
      <c r="BS28" s="28">
        <f t="shared" ref="BS28:BT28" si="100">BS26+BS27</f>
        <v>-103782.46855200001</v>
      </c>
      <c r="BT28" s="28">
        <f t="shared" si="100"/>
        <v>0</v>
      </c>
      <c r="BU28" s="28"/>
      <c r="BV28" s="28"/>
      <c r="BW28" s="28"/>
      <c r="BX28" s="28"/>
      <c r="BY28" s="28"/>
      <c r="BZ28" s="28"/>
      <c r="CA28" s="28">
        <f>+CA26-CA27</f>
        <v>499.72280000000063</v>
      </c>
      <c r="CB28" s="28">
        <f t="shared" ref="CB28:CH28" si="101">+CB26-CB27</f>
        <v>2203.1905728000006</v>
      </c>
      <c r="CC28" s="28">
        <f t="shared" si="101"/>
        <v>2527.3079803999999</v>
      </c>
      <c r="CD28" s="28">
        <f t="shared" si="101"/>
        <v>2904.9212836400002</v>
      </c>
      <c r="CE28" s="28">
        <f t="shared" si="101"/>
        <v>3299.2497900600001</v>
      </c>
      <c r="CF28" s="28">
        <f t="shared" si="101"/>
        <v>3719.7282106326406</v>
      </c>
      <c r="CG28" s="28">
        <f t="shared" si="101"/>
        <v>1484.0474717726854</v>
      </c>
      <c r="CH28" s="28">
        <f t="shared" si="101"/>
        <v>471.66063486808906</v>
      </c>
      <c r="CI28" s="9">
        <f>CH28*(1+$CL$33)</f>
        <v>448.07760312468457</v>
      </c>
      <c r="CJ28" s="9">
        <f t="shared" ref="CJ28:EC28" si="102">CI28*(1+$CL$33)</f>
        <v>425.67372296845031</v>
      </c>
      <c r="CK28" s="9">
        <f t="shared" si="102"/>
        <v>404.39003682002777</v>
      </c>
      <c r="CL28" s="9">
        <f t="shared" si="102"/>
        <v>384.17053497902634</v>
      </c>
      <c r="CM28" s="9">
        <f t="shared" si="102"/>
        <v>364.96200823007501</v>
      </c>
      <c r="CN28" s="9">
        <f t="shared" si="102"/>
        <v>346.71390781857127</v>
      </c>
      <c r="CO28" s="9">
        <f t="shared" si="102"/>
        <v>329.37821242764267</v>
      </c>
      <c r="CP28" s="9">
        <f t="shared" si="102"/>
        <v>312.90930180626054</v>
      </c>
      <c r="CQ28" s="9">
        <f t="shared" si="102"/>
        <v>297.26383671594749</v>
      </c>
      <c r="CR28" s="9">
        <f t="shared" si="102"/>
        <v>282.40064488015008</v>
      </c>
      <c r="CS28" s="9">
        <f t="shared" si="102"/>
        <v>268.28061263614256</v>
      </c>
      <c r="CT28" s="9">
        <f t="shared" si="102"/>
        <v>254.86658200433541</v>
      </c>
      <c r="CU28" s="9">
        <f t="shared" si="102"/>
        <v>242.12325290411863</v>
      </c>
      <c r="CV28" s="9">
        <f t="shared" si="102"/>
        <v>230.01709025891267</v>
      </c>
      <c r="CW28" s="9">
        <f t="shared" si="102"/>
        <v>218.51623574596704</v>
      </c>
      <c r="CX28" s="9">
        <f t="shared" si="102"/>
        <v>207.59042395866868</v>
      </c>
      <c r="CY28" s="9">
        <f t="shared" si="102"/>
        <v>197.21090276073522</v>
      </c>
      <c r="CZ28" s="9">
        <f t="shared" si="102"/>
        <v>187.35035762269845</v>
      </c>
      <c r="DA28" s="9">
        <f t="shared" si="102"/>
        <v>177.98283974156351</v>
      </c>
      <c r="DB28" s="9">
        <f t="shared" si="102"/>
        <v>169.08369775448531</v>
      </c>
      <c r="DC28" s="9">
        <f t="shared" si="102"/>
        <v>160.62951286676105</v>
      </c>
      <c r="DD28" s="9">
        <f t="shared" si="102"/>
        <v>152.59803722342298</v>
      </c>
      <c r="DE28" s="9">
        <f t="shared" si="102"/>
        <v>144.96813536225181</v>
      </c>
      <c r="DF28" s="9">
        <f t="shared" si="102"/>
        <v>137.71972859413921</v>
      </c>
      <c r="DG28" s="9">
        <f t="shared" si="102"/>
        <v>130.83374216443224</v>
      </c>
      <c r="DH28" s="9">
        <f t="shared" si="102"/>
        <v>124.29205505621061</v>
      </c>
      <c r="DI28" s="9">
        <f t="shared" si="102"/>
        <v>118.07745230340008</v>
      </c>
      <c r="DJ28" s="9">
        <f t="shared" si="102"/>
        <v>112.17357968823006</v>
      </c>
      <c r="DK28" s="9">
        <f t="shared" si="102"/>
        <v>106.56490070381855</v>
      </c>
      <c r="DL28" s="9">
        <f t="shared" si="102"/>
        <v>101.23665566862762</v>
      </c>
      <c r="DM28" s="9">
        <f t="shared" si="102"/>
        <v>96.174822885196235</v>
      </c>
      <c r="DN28" s="9">
        <f t="shared" si="102"/>
        <v>91.366081740936423</v>
      </c>
      <c r="DO28" s="9">
        <f t="shared" si="102"/>
        <v>86.797777653889597</v>
      </c>
      <c r="DP28" s="9">
        <f t="shared" si="102"/>
        <v>82.457888771195115</v>
      </c>
      <c r="DQ28" s="9">
        <f t="shared" si="102"/>
        <v>78.334994332635361</v>
      </c>
      <c r="DR28" s="9">
        <f t="shared" si="102"/>
        <v>74.418244616003591</v>
      </c>
      <c r="DS28" s="9">
        <f t="shared" si="102"/>
        <v>70.69733238520341</v>
      </c>
      <c r="DT28" s="9">
        <f t="shared" si="102"/>
        <v>67.162465765943239</v>
      </c>
      <c r="DU28" s="9">
        <f t="shared" si="102"/>
        <v>63.804342477646074</v>
      </c>
      <c r="DV28" s="9">
        <f t="shared" si="102"/>
        <v>60.614125353763768</v>
      </c>
      <c r="DW28" s="9">
        <f t="shared" si="102"/>
        <v>57.58341908607558</v>
      </c>
      <c r="DX28" s="9">
        <f t="shared" si="102"/>
        <v>54.704248131771799</v>
      </c>
      <c r="DY28" s="9">
        <f t="shared" si="102"/>
        <v>51.969035725183204</v>
      </c>
      <c r="DZ28" s="9">
        <f t="shared" si="102"/>
        <v>49.370583938924042</v>
      </c>
      <c r="EA28" s="9">
        <f t="shared" si="102"/>
        <v>46.902054741977835</v>
      </c>
      <c r="EB28" s="9">
        <f t="shared" si="102"/>
        <v>44.556952004878944</v>
      </c>
      <c r="EC28" s="9">
        <f t="shared" si="102"/>
        <v>42.329104404634997</v>
      </c>
    </row>
    <row r="29" spans="2:133" s="27" customFormat="1" x14ac:dyDescent="0.2">
      <c r="B29" s="48" t="s">
        <v>267</v>
      </c>
      <c r="C29" s="48">
        <f>C28/C30</f>
        <v>-0.26238024839843976</v>
      </c>
      <c r="D29" s="48">
        <f t="shared" ref="D29:I29" si="103">D28/D30</f>
        <v>2.8887451185196155E-2</v>
      </c>
      <c r="E29" s="48">
        <f t="shared" si="103"/>
        <v>-0.25944233932678062</v>
      </c>
      <c r="F29" s="48">
        <f t="shared" si="103"/>
        <v>0.27127810498258886</v>
      </c>
      <c r="G29" s="48">
        <f t="shared" si="103"/>
        <v>-0.21472944187515691</v>
      </c>
      <c r="H29" s="48">
        <f t="shared" si="103"/>
        <v>-0.41386739009016199</v>
      </c>
      <c r="I29" s="48">
        <f t="shared" si="103"/>
        <v>-0.42038650403928401</v>
      </c>
      <c r="J29" s="48">
        <f t="shared" ref="J29:L29" si="104">J28/J30</f>
        <v>-0.43551141754696693</v>
      </c>
      <c r="K29" s="48">
        <f t="shared" si="104"/>
        <v>-0.35478252719874415</v>
      </c>
      <c r="L29" s="48">
        <f t="shared" si="104"/>
        <v>3.1538662527089131E-2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>
        <f t="shared" ref="AT29" si="105">+AT28/AT30</f>
        <v>0.4276086209702209</v>
      </c>
      <c r="AU29" s="48">
        <f t="shared" ref="AU29:BC29" si="106">+AU28/AU30</f>
        <v>0.73572906290705742</v>
      </c>
      <c r="AV29" s="48">
        <f t="shared" si="106"/>
        <v>0.75332283464566918</v>
      </c>
      <c r="AW29" s="48">
        <f t="shared" si="106"/>
        <v>0.29261005723336059</v>
      </c>
      <c r="AX29" s="48">
        <f t="shared" si="106"/>
        <v>0.54496844438238001</v>
      </c>
      <c r="AY29" s="48">
        <f t="shared" si="106"/>
        <v>0.65003812514016557</v>
      </c>
      <c r="AZ29" s="48">
        <f t="shared" si="106"/>
        <v>0.49862068040471974</v>
      </c>
      <c r="BA29" s="48">
        <f t="shared" si="106"/>
        <v>0.43539645366343283</v>
      </c>
      <c r="BB29" s="48">
        <f t="shared" si="106"/>
        <v>0.42357676570005259</v>
      </c>
      <c r="BC29" s="48">
        <f t="shared" si="106"/>
        <v>0.40169511811302944</v>
      </c>
      <c r="BD29" s="48">
        <f t="shared" ref="BD29" si="107">+BD28/BD30</f>
        <v>1.0198183905091538</v>
      </c>
      <c r="BE29" s="48">
        <f t="shared" ref="BE29" si="108">+BE28/BE30</f>
        <v>1.1194736632665245</v>
      </c>
      <c r="BF29" s="48">
        <f t="shared" ref="BF29:BJ29" si="109">+BF28/BF30</f>
        <v>1.1018861249309</v>
      </c>
      <c r="BG29" s="48">
        <f t="shared" si="109"/>
        <v>0.49654298276112585</v>
      </c>
      <c r="BH29" s="48">
        <f t="shared" si="109"/>
        <v>-1.7593949810931593</v>
      </c>
      <c r="BI29" s="48">
        <f t="shared" si="109"/>
        <v>2.7570766349948435</v>
      </c>
      <c r="BJ29" s="48">
        <f t="shared" si="109"/>
        <v>3.0500020409762794</v>
      </c>
      <c r="BK29" s="48"/>
      <c r="BL29" s="48"/>
      <c r="BM29" s="48">
        <f>BM28/BN30</f>
        <v>-1.7380492116996784</v>
      </c>
      <c r="BN29" s="48">
        <f>BN28/BN30</f>
        <v>-1.6693024294998202</v>
      </c>
      <c r="BO29" s="48">
        <f t="shared" ref="BO29" si="110">BO28/BO30</f>
        <v>-0.22904265465188936</v>
      </c>
      <c r="BP29" s="48">
        <f t="shared" ref="BP29" si="111">BP28/BP30</f>
        <v>-1.4918504921353293</v>
      </c>
      <c r="BQ29" s="48">
        <f t="shared" ref="BQ29" si="112">BQ28/BQ30</f>
        <v>1.9905676923077015E-2</v>
      </c>
      <c r="BR29" s="48">
        <f t="shared" ref="BR29" si="113">BR28/BR30</f>
        <v>-1.3659311353846153</v>
      </c>
      <c r="BS29" s="48">
        <f t="shared" ref="BS29:CE29" si="114">BS28/BS30</f>
        <v>-0.79832668116923078</v>
      </c>
      <c r="BT29" s="48">
        <f t="shared" si="114"/>
        <v>0</v>
      </c>
      <c r="BU29" s="48"/>
      <c r="BV29" s="48"/>
      <c r="BW29" s="48"/>
      <c r="BX29" s="48"/>
      <c r="BY29" s="48"/>
      <c r="BZ29" s="48"/>
      <c r="CA29" s="48">
        <f t="shared" si="114"/>
        <v>2.2318369497982444</v>
      </c>
      <c r="CB29" s="48">
        <f t="shared" si="114"/>
        <v>9.8397794293600249</v>
      </c>
      <c r="CC29" s="48">
        <f t="shared" si="114"/>
        <v>11.465041918742855</v>
      </c>
      <c r="CD29" s="48">
        <f t="shared" si="114"/>
        <v>13.178071111978081</v>
      </c>
      <c r="CE29" s="48">
        <f t="shared" si="114"/>
        <v>14.966928224337225</v>
      </c>
      <c r="CF29" s="48">
        <f t="shared" ref="CF29:CH29" si="115">CF28/CF30</f>
        <v>16.874413483426668</v>
      </c>
      <c r="CG29" s="48">
        <f t="shared" si="115"/>
        <v>6.7323280760523945</v>
      </c>
      <c r="CH29" s="48">
        <f t="shared" si="115"/>
        <v>2.1396715367185446</v>
      </c>
    </row>
    <row r="30" spans="2:133" s="9" customFormat="1" x14ac:dyDescent="0.2">
      <c r="B30" s="28" t="s">
        <v>16</v>
      </c>
      <c r="C30" s="28">
        <v>119727</v>
      </c>
      <c r="D30" s="28">
        <v>128291</v>
      </c>
      <c r="E30" s="28">
        <v>122189</v>
      </c>
      <c r="F30" s="28">
        <f>4*BO30-SUM(C30:E30)</f>
        <v>116305</v>
      </c>
      <c r="G30" s="28">
        <v>123467</v>
      </c>
      <c r="H30" s="28">
        <v>125330</v>
      </c>
      <c r="I30" s="28">
        <v>126260</v>
      </c>
      <c r="J30" s="28">
        <v>126472</v>
      </c>
      <c r="K30" s="28">
        <v>128039</v>
      </c>
      <c r="L30" s="28">
        <v>130126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>
        <v>221.22800000000001</v>
      </c>
      <c r="AU30" s="28">
        <v>221.86699999999999</v>
      </c>
      <c r="AV30" s="28">
        <v>222.25</v>
      </c>
      <c r="AW30" s="28">
        <v>222.24799999999999</v>
      </c>
      <c r="AX30" s="28">
        <v>221.989</v>
      </c>
      <c r="AY30" s="28">
        <v>222.95</v>
      </c>
      <c r="AZ30" s="28">
        <v>223.661</v>
      </c>
      <c r="BA30" s="28">
        <v>224.17500000000001</v>
      </c>
      <c r="BB30" s="28">
        <v>224.84</v>
      </c>
      <c r="BC30" s="28">
        <v>225.589</v>
      </c>
      <c r="BD30" s="28">
        <v>225.649</v>
      </c>
      <c r="BE30" s="28">
        <v>226.167</v>
      </c>
      <c r="BF30" s="28">
        <v>226.125</v>
      </c>
      <c r="BG30" s="28">
        <v>227.21899999999999</v>
      </c>
      <c r="BH30" s="28">
        <v>218.17500000000001</v>
      </c>
      <c r="BI30" s="28">
        <f>+BH30</f>
        <v>218.17500000000001</v>
      </c>
      <c r="BJ30" s="28">
        <f>+BI30</f>
        <v>218.17500000000001</v>
      </c>
      <c r="BK30" s="28"/>
      <c r="BL30" s="28"/>
      <c r="BM30" s="9">
        <v>89785</v>
      </c>
      <c r="BN30" s="9">
        <v>102943</v>
      </c>
      <c r="BO30" s="9">
        <v>121628</v>
      </c>
      <c r="BP30" s="9">
        <v>126388</v>
      </c>
      <c r="BQ30" s="9">
        <v>130000</v>
      </c>
      <c r="BR30" s="9">
        <v>130000</v>
      </c>
      <c r="BS30" s="9">
        <v>130000</v>
      </c>
      <c r="BT30" s="9">
        <v>175000</v>
      </c>
      <c r="CA30" s="9">
        <f>AVERAGE(AY30:BB30)</f>
        <v>223.90650000000002</v>
      </c>
      <c r="CB30" s="9">
        <f>+CA30</f>
        <v>223.90650000000002</v>
      </c>
      <c r="CC30" s="9">
        <f>AVERAGE(BG30:BJ30)</f>
        <v>220.43599999999998</v>
      </c>
      <c r="CD30" s="9">
        <f t="shared" ref="CC30:CH30" si="116">+CC30</f>
        <v>220.43599999999998</v>
      </c>
      <c r="CE30" s="9">
        <f t="shared" si="116"/>
        <v>220.43599999999998</v>
      </c>
      <c r="CF30" s="9">
        <f t="shared" si="116"/>
        <v>220.43599999999998</v>
      </c>
      <c r="CG30" s="9">
        <f t="shared" si="116"/>
        <v>220.43599999999998</v>
      </c>
      <c r="CH30" s="9">
        <f t="shared" si="116"/>
        <v>220.43599999999998</v>
      </c>
      <c r="CK30" s="50" t="s">
        <v>68</v>
      </c>
      <c r="CL30" s="9">
        <f>NPV(CL31,CB28:EC28)+Main!K5-Main!K6</f>
        <v>16235.154656988063</v>
      </c>
      <c r="CM30" s="27">
        <f>+CL30/Main!K3</f>
        <v>84.295539834310262</v>
      </c>
    </row>
    <row r="31" spans="2:133" s="9" customFormat="1" x14ac:dyDescent="0.2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CK31" s="50" t="s">
        <v>149</v>
      </c>
      <c r="CL31" s="80">
        <v>0.08</v>
      </c>
    </row>
    <row r="32" spans="2:133" s="10" customFormat="1" x14ac:dyDescent="0.2">
      <c r="B32" s="10" t="s">
        <v>419</v>
      </c>
      <c r="AX32" s="82">
        <f>AX17/AT17-1</f>
        <v>0.19623581144620617</v>
      </c>
      <c r="AY32" s="82">
        <f>AY17/AU17-1</f>
        <v>0.21252385409397401</v>
      </c>
      <c r="AZ32" s="82">
        <f>AZ17/AV17-1</f>
        <v>0.12316159560277828</v>
      </c>
      <c r="BA32" s="82">
        <f>+BA17/AW17-1</f>
        <v>5.824775992400899E-2</v>
      </c>
      <c r="BB32" s="82">
        <f>+BB17/AX17-1</f>
        <v>0.10315149233625243</v>
      </c>
      <c r="BC32" s="82">
        <f>+BC17/AY17-1</f>
        <v>0.10288379578170748</v>
      </c>
      <c r="BD32" s="82">
        <f t="shared" ref="BD32:BJ32" si="117">+BD17/AZ17-1</f>
        <v>0.22167093039773622</v>
      </c>
      <c r="BE32" s="82">
        <f t="shared" si="117"/>
        <v>0.11019272369953725</v>
      </c>
      <c r="BF32" s="82">
        <f t="shared" si="117"/>
        <v>0.12784766365562605</v>
      </c>
      <c r="BG32" s="82">
        <f t="shared" si="117"/>
        <v>5.7809522514044698E-2</v>
      </c>
      <c r="BH32" s="82">
        <f t="shared" si="117"/>
        <v>9.3387875676977927E-2</v>
      </c>
      <c r="BI32" s="82">
        <f t="shared" si="117"/>
        <v>7.0836486966986634E-2</v>
      </c>
      <c r="BJ32" s="82">
        <f t="shared" si="117"/>
        <v>7.3890181452151094E-2</v>
      </c>
      <c r="CB32" s="82">
        <f>+CB17/CA17-1</f>
        <v>0.14343136545402246</v>
      </c>
      <c r="CC32" s="82">
        <f t="shared" ref="CC32:CH32" si="118">+CC17/CB17-1</f>
        <v>7.2166999069091409E-2</v>
      </c>
      <c r="CD32" s="82">
        <f t="shared" si="118"/>
        <v>9.3121684615286915E-2</v>
      </c>
      <c r="CE32" s="82">
        <f t="shared" si="118"/>
        <v>9.6159593538961197E-2</v>
      </c>
      <c r="CF32" s="82">
        <f t="shared" si="118"/>
        <v>9.9270488958910219E-2</v>
      </c>
      <c r="CG32" s="82">
        <f t="shared" si="118"/>
        <v>-0.57591984016050723</v>
      </c>
      <c r="CH32" s="82">
        <f t="shared" si="118"/>
        <v>-0.62521851428844677</v>
      </c>
      <c r="CK32" s="10" t="s">
        <v>625</v>
      </c>
      <c r="CL32" s="82">
        <v>0.01</v>
      </c>
    </row>
    <row r="33" spans="2:90" s="9" customFormat="1" x14ac:dyDescent="0.2">
      <c r="B33" s="50" t="s">
        <v>602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45"/>
      <c r="AX33" s="45">
        <f t="shared" ref="AX33:BA33" si="119">+AX9/AT9-1</f>
        <v>0.14604493869006863</v>
      </c>
      <c r="AY33" s="45">
        <f t="shared" si="119"/>
        <v>0.16910523716475945</v>
      </c>
      <c r="AZ33" s="45">
        <f t="shared" si="119"/>
        <v>0.12969918061449204</v>
      </c>
      <c r="BA33" s="45">
        <f t="shared" si="119"/>
        <v>0.13194293470814222</v>
      </c>
      <c r="BB33" s="45">
        <f>+BB9/AX9-1</f>
        <v>9.3055016290494175E-2</v>
      </c>
      <c r="BC33" s="45">
        <f>+BC9/AY9-1</f>
        <v>6.5210923036233881E-2</v>
      </c>
      <c r="BD33" s="45">
        <f t="shared" ref="BD33:BJ33" si="120">+BD9/AZ9-1</f>
        <v>0.14173469438974151</v>
      </c>
      <c r="BE33" s="45">
        <f t="shared" si="120"/>
        <v>2.6883690152438078E-2</v>
      </c>
      <c r="BF33" s="45">
        <f t="shared" si="120"/>
        <v>7.3566818482979635E-2</v>
      </c>
      <c r="BG33" s="45">
        <f t="shared" si="120"/>
        <v>-1.4017990616739806E-2</v>
      </c>
      <c r="BH33" s="45">
        <f t="shared" si="120"/>
        <v>3.4568512743557767E-2</v>
      </c>
      <c r="BI33" s="45">
        <f t="shared" si="120"/>
        <v>1.0000000000000009E-2</v>
      </c>
      <c r="BJ33" s="45">
        <f t="shared" si="120"/>
        <v>1.0000000000000009E-2</v>
      </c>
      <c r="BK33" s="28"/>
      <c r="BL33" s="28"/>
      <c r="CB33" s="26">
        <f>+CB9/CA9-1</f>
        <v>0.10000000000000009</v>
      </c>
      <c r="CC33" s="26">
        <f t="shared" ref="CC33:CH33" si="121">+CC9/CB9-1</f>
        <v>-1.0430630747911396E-2</v>
      </c>
      <c r="CD33" s="26">
        <f t="shared" si="121"/>
        <v>0.10000000000000009</v>
      </c>
      <c r="CE33" s="26">
        <f t="shared" si="121"/>
        <v>0.10000000000000009</v>
      </c>
      <c r="CF33" s="26">
        <f t="shared" si="121"/>
        <v>0.10000000000000009</v>
      </c>
      <c r="CG33" s="26">
        <f t="shared" si="121"/>
        <v>-0.8</v>
      </c>
      <c r="CH33" s="26">
        <f t="shared" si="121"/>
        <v>-0.8</v>
      </c>
      <c r="CK33" s="50" t="s">
        <v>626</v>
      </c>
      <c r="CL33" s="26">
        <v>-0.05</v>
      </c>
    </row>
    <row r="34" spans="2:90" s="9" customFormat="1" x14ac:dyDescent="0.2">
      <c r="B34" s="50" t="s">
        <v>420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45">
        <f t="shared" ref="AT34" si="122">AT19/AT17</f>
        <v>0.95483062034498445</v>
      </c>
      <c r="AU34" s="45">
        <f t="shared" ref="AU34:BC34" si="123">AU19/AU17</f>
        <v>0.96098015934700143</v>
      </c>
      <c r="AV34" s="45">
        <f t="shared" si="123"/>
        <v>0.95356986799135268</v>
      </c>
      <c r="AW34" s="45">
        <f t="shared" si="123"/>
        <v>0.95634245816446795</v>
      </c>
      <c r="AX34" s="45">
        <f t="shared" si="123"/>
        <v>0.95339132659902837</v>
      </c>
      <c r="AY34" s="45">
        <f t="shared" si="123"/>
        <v>0.95005830327248419</v>
      </c>
      <c r="AZ34" s="45">
        <f t="shared" si="123"/>
        <v>0.94295473363731874</v>
      </c>
      <c r="BA34" s="45">
        <f t="shared" si="123"/>
        <v>0.9410654400627716</v>
      </c>
      <c r="BB34" s="45">
        <f t="shared" si="123"/>
        <v>0.94086985613917695</v>
      </c>
      <c r="BC34" s="45">
        <f t="shared" si="123"/>
        <v>0.9373430298773423</v>
      </c>
      <c r="BD34" s="45">
        <f t="shared" ref="BD34:BJ34" si="124">BD19/BD17</f>
        <v>0.93489487853678466</v>
      </c>
      <c r="BE34" s="45">
        <f t="shared" si="124"/>
        <v>0.94101474248516181</v>
      </c>
      <c r="BF34" s="45">
        <f t="shared" si="124"/>
        <v>0.93713791886218389</v>
      </c>
      <c r="BG34" s="45">
        <f t="shared" si="124"/>
        <v>0.9357521784569488</v>
      </c>
      <c r="BH34" s="45">
        <f t="shared" si="124"/>
        <v>0.93207340008565198</v>
      </c>
      <c r="BI34" s="45">
        <f t="shared" si="124"/>
        <v>0.93</v>
      </c>
      <c r="BJ34" s="45">
        <f t="shared" si="124"/>
        <v>0.93</v>
      </c>
      <c r="BK34" s="28"/>
      <c r="BL34" s="28"/>
      <c r="CA34" s="26">
        <f>+CA19/CA17</f>
        <v>0.95000000000000007</v>
      </c>
      <c r="CB34" s="26">
        <f t="shared" ref="CB34:CH34" si="125">+CB19/CB17</f>
        <v>0.95000000000000007</v>
      </c>
      <c r="CC34" s="26">
        <f t="shared" si="125"/>
        <v>0.95000000000000007</v>
      </c>
      <c r="CD34" s="26">
        <f t="shared" si="125"/>
        <v>0.95</v>
      </c>
      <c r="CE34" s="26">
        <f t="shared" si="125"/>
        <v>0.95</v>
      </c>
      <c r="CF34" s="26">
        <f t="shared" si="125"/>
        <v>0.95</v>
      </c>
      <c r="CG34" s="26">
        <f t="shared" si="125"/>
        <v>0.95</v>
      </c>
      <c r="CH34" s="26">
        <f t="shared" si="125"/>
        <v>0.95</v>
      </c>
    </row>
    <row r="35" spans="2:90" s="9" customFormat="1" x14ac:dyDescent="0.2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</row>
    <row r="36" spans="2:90" s="9" customFormat="1" x14ac:dyDescent="0.2">
      <c r="B36" s="50" t="s">
        <v>367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Q36" s="9">
        <v>265540</v>
      </c>
      <c r="BR36" s="9">
        <v>380920</v>
      </c>
      <c r="BS36" s="9">
        <v>503670</v>
      </c>
      <c r="BT36" s="9">
        <v>746790</v>
      </c>
      <c r="BU36" s="9">
        <v>972400</v>
      </c>
    </row>
    <row r="37" spans="2:90" s="9" customFormat="1" x14ac:dyDescent="0.2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</row>
    <row r="38" spans="2:90" s="9" customFormat="1" x14ac:dyDescent="0.2">
      <c r="B38" s="50" t="s">
        <v>366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9">
        <f>BM39+BM40-BM59</f>
        <v>-178384</v>
      </c>
      <c r="BN38" s="9">
        <f t="shared" ref="BN38:BP38" si="126">BN39+BN40-BN59</f>
        <v>87016</v>
      </c>
      <c r="BO38" s="9">
        <f t="shared" si="126"/>
        <v>168612</v>
      </c>
      <c r="BP38" s="9">
        <f t="shared" si="126"/>
        <v>-19265</v>
      </c>
      <c r="BQ38" s="9">
        <f t="shared" ref="BQ38:BU38" si="127">BP38+BQ28</f>
        <v>-16677.261999999988</v>
      </c>
      <c r="BR38" s="9">
        <f t="shared" si="127"/>
        <v>-194248.30959999998</v>
      </c>
      <c r="BS38" s="9">
        <f t="shared" si="127"/>
        <v>-298030.77815199998</v>
      </c>
      <c r="BT38" s="9">
        <f t="shared" si="127"/>
        <v>-298030.77815199998</v>
      </c>
      <c r="BU38" s="9">
        <f t="shared" si="127"/>
        <v>-298030.77815199998</v>
      </c>
    </row>
    <row r="39" spans="2:90" s="9" customFormat="1" x14ac:dyDescent="0.2">
      <c r="B39" s="50" t="s">
        <v>17</v>
      </c>
      <c r="C39" s="28">
        <f>404746+17494</f>
        <v>422240</v>
      </c>
      <c r="D39" s="28">
        <f>414088+8102</f>
        <v>422190</v>
      </c>
      <c r="E39" s="28">
        <f>388804+6781</f>
        <v>395585</v>
      </c>
      <c r="F39" s="9">
        <f>417912+6256</f>
        <v>424168</v>
      </c>
      <c r="G39" s="28">
        <f>377843+5783</f>
        <v>383626</v>
      </c>
      <c r="H39" s="28">
        <f>359074+5036</f>
        <v>364110</v>
      </c>
      <c r="I39" s="28">
        <f>312328+4647</f>
        <v>316975</v>
      </c>
      <c r="J39" s="28">
        <f>273164+4430</f>
        <v>277594</v>
      </c>
      <c r="K39" s="28">
        <f>231855+4556</f>
        <v>236411</v>
      </c>
      <c r="L39" s="28">
        <f>257563+4244</f>
        <v>261807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>
        <f>2256.759+287.401+1.7+174.681</f>
        <v>2720.5409999999997</v>
      </c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9">
        <f>178767+19257+19759</f>
        <v>217783</v>
      </c>
      <c r="BN39" s="9">
        <f>449824+20594+3513</f>
        <v>473931</v>
      </c>
      <c r="BO39" s="9">
        <f>417912+6256</f>
        <v>424168</v>
      </c>
      <c r="BP39" s="28">
        <f>273164+4430</f>
        <v>277594</v>
      </c>
    </row>
    <row r="40" spans="2:90" s="9" customFormat="1" x14ac:dyDescent="0.2">
      <c r="B40" s="50" t="s">
        <v>17</v>
      </c>
      <c r="C40" s="9">
        <f>19045+37447+14</f>
        <v>56506</v>
      </c>
      <c r="D40" s="9">
        <f>18980+28267</f>
        <v>47247</v>
      </c>
      <c r="E40" s="9">
        <f>18993+28375</f>
        <v>47368</v>
      </c>
      <c r="F40" s="9">
        <f>18985+18891</f>
        <v>37876</v>
      </c>
      <c r="G40" s="28">
        <v>18994</v>
      </c>
      <c r="H40" s="28">
        <f>18990+9971</f>
        <v>28961</v>
      </c>
      <c r="I40" s="28">
        <f>18997+9985</f>
        <v>28982</v>
      </c>
      <c r="J40" s="28">
        <v>19294</v>
      </c>
      <c r="K40" s="28">
        <v>19295</v>
      </c>
      <c r="L40" s="28">
        <v>9499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>
        <v>0</v>
      </c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9">
        <v>0</v>
      </c>
      <c r="BN40" s="28">
        <f>19032+37191</f>
        <v>56223</v>
      </c>
      <c r="BO40" s="9">
        <f>18985+18891</f>
        <v>37876</v>
      </c>
      <c r="BP40" s="28">
        <v>19294</v>
      </c>
    </row>
    <row r="41" spans="2:90" s="9" customFormat="1" x14ac:dyDescent="0.2">
      <c r="B41" s="28" t="s">
        <v>252</v>
      </c>
      <c r="C41" s="9">
        <v>5253</v>
      </c>
      <c r="D41" s="9">
        <v>6360</v>
      </c>
      <c r="E41" s="9">
        <v>4735</v>
      </c>
      <c r="F41" s="9">
        <v>5701</v>
      </c>
      <c r="G41" s="28">
        <f>16579+18911</f>
        <v>35490</v>
      </c>
      <c r="H41" s="28">
        <v>2376</v>
      </c>
      <c r="I41" s="28">
        <v>2462</v>
      </c>
      <c r="J41" s="28">
        <v>6415</v>
      </c>
      <c r="K41" s="28">
        <v>13010</v>
      </c>
      <c r="L41" s="28">
        <v>13841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>
        <v>562.34400000000005</v>
      </c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9">
        <v>1050</v>
      </c>
      <c r="BN41" s="28">
        <v>163661</v>
      </c>
      <c r="BO41" s="9">
        <v>5701</v>
      </c>
      <c r="BP41" s="28">
        <v>6415</v>
      </c>
    </row>
    <row r="42" spans="2:90" s="28" customFormat="1" x14ac:dyDescent="0.2">
      <c r="B42" s="28" t="s">
        <v>253</v>
      </c>
      <c r="C42" s="28">
        <v>4269</v>
      </c>
      <c r="D42" s="28">
        <v>3762</v>
      </c>
      <c r="E42" s="28">
        <v>3232</v>
      </c>
      <c r="F42" s="28">
        <v>6600</v>
      </c>
      <c r="G42" s="28">
        <v>6769</v>
      </c>
      <c r="H42" s="28">
        <v>6447</v>
      </c>
      <c r="I42" s="28">
        <v>7984</v>
      </c>
      <c r="J42" s="28">
        <v>7475</v>
      </c>
      <c r="K42" s="28">
        <v>7446</v>
      </c>
      <c r="L42" s="28">
        <v>8823</v>
      </c>
      <c r="AY42" s="28">
        <v>146.13</v>
      </c>
      <c r="BM42" s="28">
        <v>6420</v>
      </c>
      <c r="BN42" s="28">
        <v>2944</v>
      </c>
      <c r="BO42" s="28">
        <v>6600</v>
      </c>
      <c r="BP42" s="28">
        <v>7475</v>
      </c>
    </row>
    <row r="43" spans="2:90" s="28" customFormat="1" x14ac:dyDescent="0.2">
      <c r="B43" s="28" t="s">
        <v>254</v>
      </c>
      <c r="C43" s="28">
        <v>1808</v>
      </c>
      <c r="D43" s="28">
        <v>2159</v>
      </c>
      <c r="E43" s="28">
        <v>2385</v>
      </c>
      <c r="F43" s="28">
        <v>4804</v>
      </c>
      <c r="G43" s="28">
        <v>4934</v>
      </c>
      <c r="H43" s="28">
        <v>5500</v>
      </c>
      <c r="I43" s="28">
        <v>6077</v>
      </c>
      <c r="J43" s="28">
        <v>6431</v>
      </c>
      <c r="K43" s="28">
        <v>6232</v>
      </c>
      <c r="L43" s="28">
        <v>6515</v>
      </c>
      <c r="AY43" s="28">
        <v>729.21699999999998</v>
      </c>
      <c r="BM43" s="28">
        <v>2796</v>
      </c>
      <c r="BN43" s="28">
        <v>1752</v>
      </c>
      <c r="BO43" s="28">
        <v>4804</v>
      </c>
      <c r="BP43" s="28">
        <v>6431</v>
      </c>
      <c r="BZ43" s="45"/>
    </row>
    <row r="44" spans="2:90" s="28" customFormat="1" x14ac:dyDescent="0.2">
      <c r="B44" s="50" t="s">
        <v>363</v>
      </c>
      <c r="J44" s="28">
        <v>3536</v>
      </c>
      <c r="K44" s="28">
        <v>3513</v>
      </c>
      <c r="L44" s="28">
        <f>188+4144</f>
        <v>4332</v>
      </c>
      <c r="AY44" s="28">
        <f>35.457+35.384</f>
        <v>70.841000000000008</v>
      </c>
      <c r="BP44" s="28">
        <v>3536</v>
      </c>
    </row>
    <row r="45" spans="2:90" s="28" customFormat="1" x14ac:dyDescent="0.2">
      <c r="B45" s="50" t="s">
        <v>423</v>
      </c>
      <c r="AY45" s="28">
        <v>27.391999999999999</v>
      </c>
    </row>
    <row r="46" spans="2:90" s="28" customFormat="1" x14ac:dyDescent="0.2">
      <c r="B46" s="50" t="s">
        <v>422</v>
      </c>
      <c r="AY46" s="28">
        <f>155.593+145.371</f>
        <v>300.964</v>
      </c>
    </row>
    <row r="47" spans="2:90" s="28" customFormat="1" x14ac:dyDescent="0.2">
      <c r="B47" s="50" t="s">
        <v>265</v>
      </c>
      <c r="AY47" s="28">
        <v>465.36900000000003</v>
      </c>
    </row>
    <row r="48" spans="2:90" s="28" customFormat="1" x14ac:dyDescent="0.2">
      <c r="B48" s="28" t="s">
        <v>163</v>
      </c>
      <c r="C48" s="9">
        <v>12587</v>
      </c>
      <c r="D48" s="9">
        <v>11962</v>
      </c>
      <c r="E48" s="9">
        <v>11335</v>
      </c>
      <c r="F48" s="28">
        <v>10432</v>
      </c>
      <c r="G48" s="9">
        <v>9793</v>
      </c>
      <c r="H48" s="9">
        <v>9269</v>
      </c>
      <c r="I48" s="9">
        <v>8744</v>
      </c>
      <c r="J48" s="9">
        <v>8217</v>
      </c>
      <c r="K48" s="9">
        <v>7686</v>
      </c>
      <c r="L48" s="9">
        <v>7154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>
        <v>31.422999999999998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M48" s="28">
        <v>4339</v>
      </c>
      <c r="BN48" s="28">
        <v>13879</v>
      </c>
      <c r="BO48" s="28">
        <v>10432</v>
      </c>
      <c r="BP48" s="9">
        <v>8217</v>
      </c>
      <c r="BY48" s="28" t="s">
        <v>360</v>
      </c>
      <c r="BZ48" s="28">
        <f>BZ44/AVERAGE(BP30:CE30)</f>
        <v>0</v>
      </c>
    </row>
    <row r="49" spans="2:81" s="50" customFormat="1" x14ac:dyDescent="0.2">
      <c r="B49" s="50" t="s">
        <v>421</v>
      </c>
      <c r="C49" s="50">
        <f>SUM(C39:C48)</f>
        <v>502663</v>
      </c>
      <c r="D49" s="50">
        <f t="shared" ref="D49:L49" si="128">SUM(D39:D48)</f>
        <v>493680</v>
      </c>
      <c r="E49" s="50">
        <f t="shared" si="128"/>
        <v>464640</v>
      </c>
      <c r="F49" s="50">
        <f t="shared" ref="F49" si="129">SUM(F39:F48)</f>
        <v>489581</v>
      </c>
      <c r="G49" s="50">
        <f t="shared" si="128"/>
        <v>459606</v>
      </c>
      <c r="H49" s="50">
        <f t="shared" si="128"/>
        <v>416663</v>
      </c>
      <c r="I49" s="50">
        <f t="shared" si="128"/>
        <v>371224</v>
      </c>
      <c r="J49" s="50">
        <f t="shared" si="128"/>
        <v>328962</v>
      </c>
      <c r="K49" s="50">
        <f t="shared" si="128"/>
        <v>293593</v>
      </c>
      <c r="L49" s="50">
        <f t="shared" si="128"/>
        <v>311971</v>
      </c>
      <c r="AY49" s="50">
        <f>SUM(AY39:AY48)</f>
        <v>5054.2209999999995</v>
      </c>
      <c r="BM49" s="50">
        <f>SUM(BM39:BM48)</f>
        <v>232388</v>
      </c>
      <c r="BN49" s="50">
        <f t="shared" ref="BN49:BP49" si="130">SUM(BN39:BN48)</f>
        <v>712390</v>
      </c>
      <c r="BO49" s="50">
        <f t="shared" si="130"/>
        <v>489581</v>
      </c>
      <c r="BP49" s="50">
        <f t="shared" si="130"/>
        <v>328962</v>
      </c>
    </row>
    <row r="50" spans="2:81" s="10" customFormat="1" x14ac:dyDescent="0.2">
      <c r="BY50" s="28"/>
      <c r="BZ50" s="28"/>
    </row>
    <row r="51" spans="2:81" s="28" customFormat="1" x14ac:dyDescent="0.2">
      <c r="B51" s="50" t="s">
        <v>424</v>
      </c>
      <c r="C51" s="9">
        <v>13304</v>
      </c>
      <c r="D51" s="9">
        <v>9158</v>
      </c>
      <c r="E51" s="9">
        <v>7750</v>
      </c>
      <c r="F51" s="28">
        <v>10773</v>
      </c>
      <c r="G51" s="9">
        <v>7791</v>
      </c>
      <c r="H51" s="9">
        <v>8788</v>
      </c>
      <c r="I51" s="9">
        <v>11038</v>
      </c>
      <c r="J51" s="9">
        <v>14939</v>
      </c>
      <c r="K51" s="9">
        <v>13174</v>
      </c>
      <c r="L51" s="9">
        <v>11102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>
        <v>152.547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M51" s="28">
        <v>15679</v>
      </c>
      <c r="BN51" s="28">
        <v>20964</v>
      </c>
      <c r="BO51" s="28">
        <v>10773</v>
      </c>
      <c r="BP51" s="9">
        <v>14939</v>
      </c>
    </row>
    <row r="52" spans="2:81" s="28" customFormat="1" x14ac:dyDescent="0.2">
      <c r="B52" s="50" t="s">
        <v>425</v>
      </c>
      <c r="C52" s="9">
        <v>7842</v>
      </c>
      <c r="D52" s="9">
        <v>8019</v>
      </c>
      <c r="E52" s="9">
        <v>10920</v>
      </c>
      <c r="F52" s="28">
        <v>14678</v>
      </c>
      <c r="G52" s="9">
        <v>9085</v>
      </c>
      <c r="H52" s="9">
        <v>10099</v>
      </c>
      <c r="I52" s="9">
        <v>13608</v>
      </c>
      <c r="J52" s="9">
        <v>21856</v>
      </c>
      <c r="K52" s="9">
        <v>11981</v>
      </c>
      <c r="L52" s="9">
        <v>13122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>
        <v>83.656999999999996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M52" s="28">
        <v>9330</v>
      </c>
      <c r="BN52" s="28">
        <v>13418</v>
      </c>
      <c r="BO52" s="28">
        <v>14678</v>
      </c>
      <c r="BP52" s="9">
        <v>21856</v>
      </c>
    </row>
    <row r="53" spans="2:81" s="28" customFormat="1" x14ac:dyDescent="0.2">
      <c r="B53" s="28" t="s">
        <v>167</v>
      </c>
      <c r="C53" s="9">
        <v>9553</v>
      </c>
      <c r="D53" s="9">
        <v>4750</v>
      </c>
      <c r="E53" s="9">
        <v>9500</v>
      </c>
      <c r="F53" s="28">
        <v>4750</v>
      </c>
      <c r="G53" s="9">
        <v>9500</v>
      </c>
      <c r="H53" s="9">
        <v>4750</v>
      </c>
      <c r="I53" s="9">
        <v>9500</v>
      </c>
      <c r="J53" s="9">
        <v>4750</v>
      </c>
      <c r="K53" s="9">
        <v>9500</v>
      </c>
      <c r="L53" s="9">
        <v>4750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M53" s="28">
        <v>5273</v>
      </c>
      <c r="BN53" s="28">
        <v>7094</v>
      </c>
      <c r="BO53" s="28">
        <v>4750</v>
      </c>
      <c r="BP53" s="9">
        <v>4750</v>
      </c>
      <c r="BY53" s="9"/>
      <c r="BZ53" s="9"/>
    </row>
    <row r="54" spans="2:81" s="9" customFormat="1" x14ac:dyDescent="0.2">
      <c r="B54" s="50" t="s">
        <v>426</v>
      </c>
      <c r="C54" s="9">
        <v>14537</v>
      </c>
      <c r="D54" s="9">
        <v>17740</v>
      </c>
      <c r="E54" s="9">
        <v>20708</v>
      </c>
      <c r="F54" s="9">
        <v>15703</v>
      </c>
      <c r="G54" s="28">
        <v>16828</v>
      </c>
      <c r="H54" s="28">
        <v>20054</v>
      </c>
      <c r="I54" s="28">
        <v>19838</v>
      </c>
      <c r="J54" s="28">
        <v>24766</v>
      </c>
      <c r="K54" s="28">
        <v>25115</v>
      </c>
      <c r="L54" s="28">
        <v>25108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>
        <v>609.29</v>
      </c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9">
        <v>14893</v>
      </c>
      <c r="BN54" s="28">
        <v>17441</v>
      </c>
      <c r="BO54" s="9">
        <v>15703</v>
      </c>
      <c r="BP54" s="28">
        <v>24766</v>
      </c>
      <c r="BY54" s="28"/>
      <c r="BZ54" s="28"/>
    </row>
    <row r="55" spans="2:81" s="9" customFormat="1" x14ac:dyDescent="0.2">
      <c r="B55" s="50" t="s">
        <v>427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>
        <f>2.796+31.385</f>
        <v>34.181000000000004</v>
      </c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N55" s="28"/>
      <c r="BP55" s="28"/>
      <c r="BY55" s="28"/>
      <c r="BZ55" s="28"/>
    </row>
    <row r="56" spans="2:81" s="9" customFormat="1" x14ac:dyDescent="0.2">
      <c r="B56" s="28" t="s">
        <v>255</v>
      </c>
      <c r="C56" s="9">
        <f>67020+221432</f>
        <v>288452</v>
      </c>
      <c r="D56" s="9">
        <f>67000+204695</f>
        <v>271695</v>
      </c>
      <c r="E56" s="9">
        <f>66980+187958</f>
        <v>254938</v>
      </c>
      <c r="F56" s="9">
        <f>66973+171220</f>
        <v>238193</v>
      </c>
      <c r="G56" s="9">
        <f>66978+154483</f>
        <v>221461</v>
      </c>
      <c r="H56" s="9">
        <f>66976+137746</f>
        <v>204722</v>
      </c>
      <c r="I56" s="9">
        <f>66973+121010</f>
        <v>187983</v>
      </c>
      <c r="J56" s="9">
        <f>2332+66970+104272</f>
        <v>173574</v>
      </c>
      <c r="K56" s="9">
        <f>66978+6005+87535</f>
        <v>160518</v>
      </c>
      <c r="L56" s="9">
        <f>8993+66976+70798</f>
        <v>146767</v>
      </c>
      <c r="AY56" s="9">
        <v>0</v>
      </c>
      <c r="BL56" s="28"/>
      <c r="BM56" s="28">
        <f>62+0</f>
        <v>62</v>
      </c>
      <c r="BN56" s="28">
        <f>67030+238169</f>
        <v>305199</v>
      </c>
      <c r="BO56" s="9">
        <f>66973+171220</f>
        <v>238193</v>
      </c>
      <c r="BP56" s="9">
        <f>2332+66970+104272</f>
        <v>173574</v>
      </c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</row>
    <row r="57" spans="2:81" s="9" customFormat="1" x14ac:dyDescent="0.2">
      <c r="B57" s="50" t="s">
        <v>428</v>
      </c>
      <c r="AY57" s="9">
        <f>37.873+204.127</f>
        <v>242</v>
      </c>
      <c r="BL57" s="28"/>
      <c r="BM57" s="28"/>
      <c r="BN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</row>
    <row r="58" spans="2:81" s="9" customFormat="1" x14ac:dyDescent="0.2">
      <c r="B58" s="28" t="s">
        <v>170</v>
      </c>
      <c r="C58" s="9">
        <v>5688</v>
      </c>
      <c r="D58" s="9">
        <v>4277</v>
      </c>
      <c r="E58" s="9">
        <v>1664</v>
      </c>
      <c r="F58" s="28">
        <v>696</v>
      </c>
      <c r="H58" s="28"/>
      <c r="I58" s="9">
        <v>0</v>
      </c>
      <c r="AY58" s="9">
        <v>0</v>
      </c>
      <c r="BL58" s="28"/>
      <c r="BM58" s="28">
        <v>5100</v>
      </c>
      <c r="BN58" s="28">
        <v>6879</v>
      </c>
      <c r="BO58" s="28">
        <v>696</v>
      </c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</row>
    <row r="59" spans="2:81" s="28" customFormat="1" x14ac:dyDescent="0.2">
      <c r="B59" s="28" t="s">
        <v>256</v>
      </c>
      <c r="C59" s="28">
        <f>261408+16292</f>
        <v>277700</v>
      </c>
      <c r="D59" s="28">
        <f>266304+16521</f>
        <v>282825</v>
      </c>
      <c r="E59" s="28">
        <f>271315+16753</f>
        <v>288068</v>
      </c>
      <c r="F59" s="28">
        <f>276445+16987</f>
        <v>293432</v>
      </c>
      <c r="G59" s="28">
        <f>281694+17225</f>
        <v>298919</v>
      </c>
      <c r="H59" s="28">
        <f>287067+17467</f>
        <v>304534</v>
      </c>
      <c r="I59" s="28">
        <f>292566+17711</f>
        <v>310277</v>
      </c>
      <c r="J59" s="28">
        <f>298193+17960</f>
        <v>316153</v>
      </c>
      <c r="K59" s="28">
        <f>9546+8664+303952</f>
        <v>322162</v>
      </c>
      <c r="L59" s="28">
        <f>309844+8786+9680</f>
        <v>328310</v>
      </c>
      <c r="AY59" s="28">
        <v>0</v>
      </c>
      <c r="BM59" s="28">
        <f>130969+265198</f>
        <v>396167</v>
      </c>
      <c r="BN59" s="28">
        <f>308059+135079</f>
        <v>443138</v>
      </c>
      <c r="BO59" s="28">
        <f>276445+16987</f>
        <v>293432</v>
      </c>
      <c r="BP59" s="28">
        <f>298193+17960</f>
        <v>316153</v>
      </c>
    </row>
    <row r="60" spans="2:81" s="28" customFormat="1" x14ac:dyDescent="0.2">
      <c r="B60" s="28" t="s">
        <v>174</v>
      </c>
      <c r="D60" s="28">
        <v>0</v>
      </c>
      <c r="AY60" s="28">
        <v>69.474000000000004</v>
      </c>
      <c r="BM60" s="28">
        <v>6634</v>
      </c>
      <c r="BN60" s="28">
        <v>641</v>
      </c>
    </row>
    <row r="61" spans="2:81" s="9" customFormat="1" x14ac:dyDescent="0.2">
      <c r="B61" s="28" t="s">
        <v>175</v>
      </c>
      <c r="C61" s="9">
        <f>SUM(C51:C59)</f>
        <v>617076</v>
      </c>
      <c r="D61" s="9">
        <f>SUM(D51:D60)</f>
        <v>598464</v>
      </c>
      <c r="E61" s="9">
        <f t="shared" ref="E61:L61" si="131">SUM(E51:E59)</f>
        <v>593548</v>
      </c>
      <c r="F61" s="28">
        <f t="shared" ref="F61" si="132">SUM(F51:F60)</f>
        <v>578225</v>
      </c>
      <c r="G61" s="9">
        <f t="shared" si="131"/>
        <v>563584</v>
      </c>
      <c r="H61" s="9">
        <f t="shared" si="131"/>
        <v>552947</v>
      </c>
      <c r="I61" s="9">
        <f t="shared" si="131"/>
        <v>552244</v>
      </c>
      <c r="J61" s="9">
        <f t="shared" si="131"/>
        <v>556038</v>
      </c>
      <c r="K61" s="9">
        <f t="shared" si="131"/>
        <v>542450</v>
      </c>
      <c r="L61" s="9">
        <f t="shared" si="131"/>
        <v>529159</v>
      </c>
      <c r="AY61" s="9">
        <f>SUM(AY51:AY60)</f>
        <v>1191.1489999999999</v>
      </c>
      <c r="BL61" s="28"/>
      <c r="BM61" s="28">
        <f>SUM(BM51:BM60)</f>
        <v>453138</v>
      </c>
      <c r="BN61" s="28">
        <f t="shared" ref="BN61:BO61" si="133">SUM(BN51:BN60)</f>
        <v>814774</v>
      </c>
      <c r="BO61" s="28">
        <f t="shared" si="133"/>
        <v>578225</v>
      </c>
      <c r="BP61" s="9">
        <f t="shared" ref="BP61" si="134">SUM(BP51:BP59)</f>
        <v>556038</v>
      </c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</row>
    <row r="62" spans="2:81" s="9" customFormat="1" x14ac:dyDescent="0.2">
      <c r="B62" s="28" t="s">
        <v>257</v>
      </c>
      <c r="C62" s="9">
        <v>121</v>
      </c>
      <c r="D62" s="9">
        <v>122</v>
      </c>
      <c r="E62" s="9">
        <v>122</v>
      </c>
      <c r="F62" s="28">
        <v>123</v>
      </c>
      <c r="G62" s="9">
        <v>124</v>
      </c>
      <c r="H62" s="9">
        <v>126</v>
      </c>
      <c r="I62" s="9">
        <v>126</v>
      </c>
      <c r="J62" s="9">
        <v>126</v>
      </c>
      <c r="K62" s="9">
        <v>128</v>
      </c>
      <c r="L62" s="9">
        <v>130</v>
      </c>
      <c r="AY62" s="9">
        <v>0.221</v>
      </c>
      <c r="BM62" s="28">
        <v>97</v>
      </c>
      <c r="BN62" s="28">
        <v>119</v>
      </c>
      <c r="BO62" s="28">
        <v>123</v>
      </c>
      <c r="BP62" s="9">
        <v>126</v>
      </c>
      <c r="BQ62" s="28"/>
      <c r="BR62" s="28"/>
      <c r="BS62" s="28"/>
      <c r="BT62" s="28"/>
      <c r="BU62" s="28"/>
      <c r="BV62" s="28"/>
      <c r="BW62" s="28"/>
      <c r="BX62" s="28"/>
      <c r="CA62" s="28"/>
    </row>
    <row r="63" spans="2:81" s="9" customFormat="1" x14ac:dyDescent="0.2">
      <c r="B63" s="28" t="s">
        <v>258</v>
      </c>
      <c r="C63" s="9">
        <v>1311181</v>
      </c>
      <c r="D63" s="9">
        <v>1317169</v>
      </c>
      <c r="E63" s="9">
        <v>1324611</v>
      </c>
      <c r="F63" s="9">
        <v>1332277</v>
      </c>
      <c r="G63" s="9">
        <v>1343351</v>
      </c>
      <c r="H63" s="9">
        <v>1363052</v>
      </c>
      <c r="I63" s="9">
        <v>1371524</v>
      </c>
      <c r="J63" s="9">
        <v>1380725</v>
      </c>
      <c r="K63" s="9">
        <v>1404076</v>
      </c>
      <c r="L63" s="9">
        <v>1431921</v>
      </c>
      <c r="AY63" s="9">
        <v>4625.78</v>
      </c>
      <c r="BM63" s="9">
        <v>961214</v>
      </c>
      <c r="BN63" s="9">
        <v>1287974</v>
      </c>
      <c r="BO63" s="9">
        <v>1332277</v>
      </c>
      <c r="BP63" s="9">
        <v>1380725</v>
      </c>
    </row>
    <row r="64" spans="2:81" s="9" customFormat="1" x14ac:dyDescent="0.2">
      <c r="B64" s="28" t="s">
        <v>259</v>
      </c>
      <c r="C64" s="9">
        <v>1198</v>
      </c>
      <c r="D64" s="9">
        <v>1795</v>
      </c>
      <c r="E64" s="9">
        <v>1930</v>
      </c>
      <c r="F64" s="9">
        <v>1986</v>
      </c>
      <c r="G64" s="9">
        <v>2089</v>
      </c>
      <c r="H64" s="9">
        <v>1951</v>
      </c>
      <c r="I64" s="9">
        <v>1821</v>
      </c>
      <c r="J64" s="9">
        <v>1642</v>
      </c>
      <c r="K64" s="9">
        <v>1935</v>
      </c>
      <c r="L64" s="9">
        <v>1720</v>
      </c>
      <c r="AY64" s="9">
        <v>-23.047000000000001</v>
      </c>
      <c r="BM64" s="9">
        <v>-2747</v>
      </c>
      <c r="BN64" s="9">
        <v>707</v>
      </c>
      <c r="BO64" s="9">
        <v>1986</v>
      </c>
      <c r="BP64" s="9">
        <v>1642</v>
      </c>
      <c r="BY64" s="9">
        <f>BX65+BY28</f>
        <v>-1888335.7781520002</v>
      </c>
      <c r="BZ64" s="9">
        <f>BY64+BZ28</f>
        <v>-1888335.7781520002</v>
      </c>
      <c r="CC64" s="28"/>
    </row>
    <row r="65" spans="2:83" s="9" customFormat="1" x14ac:dyDescent="0.2">
      <c r="B65" s="28" t="s">
        <v>260</v>
      </c>
      <c r="C65" s="9">
        <v>-1426913</v>
      </c>
      <c r="D65" s="9">
        <v>-1423869</v>
      </c>
      <c r="E65" s="9">
        <v>-1455571</v>
      </c>
      <c r="F65" s="9">
        <v>-1423030</v>
      </c>
      <c r="G65" s="9">
        <v>-1449542</v>
      </c>
      <c r="H65" s="9">
        <v>-1501413</v>
      </c>
      <c r="I65" s="9">
        <v>-1554491</v>
      </c>
      <c r="J65" s="9">
        <v>-1609570</v>
      </c>
      <c r="K65" s="9">
        <v>-1654996</v>
      </c>
      <c r="L65" s="9">
        <v>-1650959</v>
      </c>
      <c r="AY65" s="9">
        <v>-739.88199999999995</v>
      </c>
      <c r="BM65" s="9">
        <v>-1179314</v>
      </c>
      <c r="BN65" s="9">
        <v>-1391184</v>
      </c>
      <c r="BO65" s="9">
        <v>-1423030</v>
      </c>
      <c r="BP65" s="9">
        <v>-1609570</v>
      </c>
      <c r="BQ65" s="9">
        <f t="shared" ref="BQ65:BX65" si="135">BP65+BQ28</f>
        <v>-1606982.2620000001</v>
      </c>
      <c r="BR65" s="9">
        <f t="shared" si="135"/>
        <v>-1784553.3096</v>
      </c>
      <c r="BS65" s="9">
        <f t="shared" si="135"/>
        <v>-1888335.7781520002</v>
      </c>
      <c r="BT65" s="9">
        <f t="shared" si="135"/>
        <v>-1888335.7781520002</v>
      </c>
      <c r="BU65" s="9">
        <f t="shared" si="135"/>
        <v>-1888335.7781520002</v>
      </c>
      <c r="BV65" s="9">
        <f t="shared" si="135"/>
        <v>-1888335.7781520002</v>
      </c>
      <c r="BW65" s="9">
        <f t="shared" si="135"/>
        <v>-1888335.7781520002</v>
      </c>
      <c r="BX65" s="9">
        <f t="shared" si="135"/>
        <v>-1888335.7781520002</v>
      </c>
      <c r="CA65" s="9">
        <f>BZ64+CA28</f>
        <v>-1887836.0553520001</v>
      </c>
      <c r="CB65" s="9">
        <f>CA65+CB28</f>
        <v>-1885632.8647791999</v>
      </c>
      <c r="CC65" s="9">
        <f>CB65+CC28</f>
        <v>-1883105.5567987999</v>
      </c>
      <c r="CD65" s="9">
        <f>CC65+CD28</f>
        <v>-1880200.6355151599</v>
      </c>
      <c r="CE65" s="9">
        <f>CD65+CE28</f>
        <v>-1876901.3857250998</v>
      </c>
    </row>
    <row r="66" spans="2:83" s="9" customFormat="1" x14ac:dyDescent="0.2">
      <c r="B66" s="28" t="s">
        <v>176</v>
      </c>
      <c r="C66" s="9">
        <f>SUM(C62:C65)</f>
        <v>-114413</v>
      </c>
      <c r="D66" s="9">
        <f t="shared" ref="D66:I66" si="136">SUM(D62:D65)</f>
        <v>-104783</v>
      </c>
      <c r="E66" s="9">
        <f t="shared" si="136"/>
        <v>-128908</v>
      </c>
      <c r="F66" s="9">
        <f t="shared" ref="F66" si="137">SUM(F62:F65)</f>
        <v>-88644</v>
      </c>
      <c r="G66" s="9">
        <f t="shared" si="136"/>
        <v>-103978</v>
      </c>
      <c r="H66" s="9">
        <f t="shared" si="136"/>
        <v>-136284</v>
      </c>
      <c r="I66" s="9">
        <f t="shared" si="136"/>
        <v>-181020</v>
      </c>
      <c r="J66" s="9">
        <f t="shared" ref="J66:L66" si="138">SUM(J62:J65)</f>
        <v>-227077</v>
      </c>
      <c r="K66" s="9">
        <f t="shared" si="138"/>
        <v>-248857</v>
      </c>
      <c r="L66" s="9">
        <f t="shared" si="138"/>
        <v>-217188</v>
      </c>
      <c r="AY66" s="9">
        <f>SUM(AY62:AY65)</f>
        <v>3863.0719999999997</v>
      </c>
      <c r="BM66" s="9">
        <f>SUM(BM62:BM65)</f>
        <v>-220750</v>
      </c>
      <c r="BN66" s="9">
        <f t="shared" ref="BN66:BP66" si="139">SUM(BN62:BN65)</f>
        <v>-102384</v>
      </c>
      <c r="BO66" s="9">
        <f t="shared" si="139"/>
        <v>-88644</v>
      </c>
      <c r="BP66" s="9">
        <f t="shared" si="139"/>
        <v>-227077</v>
      </c>
      <c r="CC66" s="28"/>
    </row>
    <row r="67" spans="2:83" s="9" customFormat="1" x14ac:dyDescent="0.2">
      <c r="B67" s="50" t="s">
        <v>429</v>
      </c>
      <c r="C67" s="9">
        <f>C66+C61</f>
        <v>502663</v>
      </c>
      <c r="D67" s="9">
        <f t="shared" ref="D67:I67" si="140">D66+D61</f>
        <v>493681</v>
      </c>
      <c r="E67" s="9">
        <f t="shared" si="140"/>
        <v>464640</v>
      </c>
      <c r="F67" s="9">
        <f t="shared" si="140"/>
        <v>489581</v>
      </c>
      <c r="G67" s="9">
        <f t="shared" si="140"/>
        <v>459606</v>
      </c>
      <c r="H67" s="9">
        <f t="shared" si="140"/>
        <v>416663</v>
      </c>
      <c r="I67" s="9">
        <f t="shared" si="140"/>
        <v>371224</v>
      </c>
      <c r="J67" s="9">
        <f t="shared" ref="J67:L67" si="141">J66+J61</f>
        <v>328961</v>
      </c>
      <c r="K67" s="9">
        <f t="shared" si="141"/>
        <v>293593</v>
      </c>
      <c r="L67" s="9">
        <f t="shared" si="141"/>
        <v>311971</v>
      </c>
      <c r="AY67" s="9">
        <f>AY66+AY61</f>
        <v>5054.2209999999995</v>
      </c>
      <c r="BM67" s="9">
        <f>BM66+BM61</f>
        <v>232388</v>
      </c>
      <c r="BN67" s="9">
        <f t="shared" ref="BN67:BP67" si="142">BN66+BN61</f>
        <v>712390</v>
      </c>
      <c r="BO67" s="9">
        <f t="shared" si="142"/>
        <v>489581</v>
      </c>
      <c r="BP67" s="9">
        <f t="shared" si="142"/>
        <v>328961</v>
      </c>
      <c r="CC67" s="28"/>
    </row>
    <row r="68" spans="2:83" s="9" customFormat="1" x14ac:dyDescent="0.2"/>
    <row r="69" spans="2:83" s="9" customFormat="1" x14ac:dyDescent="0.2">
      <c r="B69" s="50" t="s">
        <v>430</v>
      </c>
      <c r="AY69" s="9">
        <f>AY28</f>
        <v>144.9259999999999</v>
      </c>
    </row>
    <row r="70" spans="2:83" s="9" customFormat="1" x14ac:dyDescent="0.2">
      <c r="B70" s="50" t="s">
        <v>436</v>
      </c>
      <c r="AY70" s="9">
        <v>37.991999999999997</v>
      </c>
    </row>
    <row r="71" spans="2:83" s="9" customFormat="1" x14ac:dyDescent="0.2">
      <c r="B71" s="50" t="s">
        <v>220</v>
      </c>
      <c r="AY71" s="9">
        <v>16.437999999999999</v>
      </c>
    </row>
    <row r="72" spans="2:83" s="9" customFormat="1" x14ac:dyDescent="0.2">
      <c r="B72" s="50" t="s">
        <v>432</v>
      </c>
      <c r="AY72" s="9">
        <v>43.841000000000001</v>
      </c>
    </row>
    <row r="73" spans="2:83" s="9" customFormat="1" x14ac:dyDescent="0.2">
      <c r="B73" s="50" t="s">
        <v>433</v>
      </c>
      <c r="AY73" s="9">
        <v>2.1059999999999999</v>
      </c>
    </row>
    <row r="74" spans="2:83" s="9" customFormat="1" x14ac:dyDescent="0.2">
      <c r="B74" s="50" t="s">
        <v>163</v>
      </c>
      <c r="AY74" s="9">
        <v>2.0910000000000002</v>
      </c>
    </row>
    <row r="75" spans="2:83" s="9" customFormat="1" x14ac:dyDescent="0.2">
      <c r="B75" s="50" t="s">
        <v>434</v>
      </c>
      <c r="AY75" s="9">
        <v>46.585000000000001</v>
      </c>
    </row>
    <row r="76" spans="2:83" s="9" customFormat="1" x14ac:dyDescent="0.2">
      <c r="B76" s="50" t="s">
        <v>435</v>
      </c>
      <c r="AY76" s="9">
        <v>6.3819999999999997</v>
      </c>
    </row>
    <row r="77" spans="2:83" s="9" customFormat="1" x14ac:dyDescent="0.2">
      <c r="B77" s="50" t="s">
        <v>437</v>
      </c>
      <c r="AY77" s="9">
        <f>53.956-13.971-13.903-19.563+53.787</f>
        <v>60.305999999999997</v>
      </c>
    </row>
    <row r="78" spans="2:83" s="9" customFormat="1" x14ac:dyDescent="0.2">
      <c r="B78" s="50" t="s">
        <v>431</v>
      </c>
      <c r="AY78" s="9">
        <f>SUM(AY70:AY77)</f>
        <v>215.74099999999999</v>
      </c>
    </row>
    <row r="79" spans="2:83" s="9" customFormat="1" x14ac:dyDescent="0.2"/>
    <row r="80" spans="2:83" s="9" customFormat="1" x14ac:dyDescent="0.2">
      <c r="B80" s="50" t="s">
        <v>438</v>
      </c>
      <c r="AY80" s="9">
        <v>-17.006</v>
      </c>
    </row>
    <row r="81" spans="2:51" s="9" customFormat="1" x14ac:dyDescent="0.2">
      <c r="B81" s="50" t="s">
        <v>439</v>
      </c>
      <c r="AY81" s="9">
        <v>0.25800000000000001</v>
      </c>
    </row>
    <row r="82" spans="2:51" s="9" customFormat="1" x14ac:dyDescent="0.2">
      <c r="B82" s="50" t="s">
        <v>440</v>
      </c>
      <c r="AY82" s="9">
        <f>+AY80+AY81</f>
        <v>-16.748000000000001</v>
      </c>
    </row>
    <row r="83" spans="2:51" s="9" customFormat="1" x14ac:dyDescent="0.2"/>
    <row r="84" spans="2:51" s="9" customFormat="1" x14ac:dyDescent="0.2">
      <c r="B84" s="50" t="s">
        <v>443</v>
      </c>
      <c r="AY84" s="9">
        <v>16.398</v>
      </c>
    </row>
    <row r="85" spans="2:51" s="9" customFormat="1" x14ac:dyDescent="0.2">
      <c r="B85" s="50" t="s">
        <v>444</v>
      </c>
      <c r="AY85" s="9">
        <v>-2.161</v>
      </c>
    </row>
    <row r="86" spans="2:51" s="9" customFormat="1" x14ac:dyDescent="0.2">
      <c r="B86" s="50" t="s">
        <v>423</v>
      </c>
      <c r="AY86" s="9">
        <v>-0.66800000000000004</v>
      </c>
    </row>
    <row r="87" spans="2:51" s="9" customFormat="1" x14ac:dyDescent="0.2">
      <c r="B87" s="50" t="s">
        <v>435</v>
      </c>
      <c r="AY87" s="9">
        <v>-13.473000000000001</v>
      </c>
    </row>
    <row r="88" spans="2:51" s="9" customFormat="1" x14ac:dyDescent="0.2">
      <c r="B88" s="50" t="s">
        <v>445</v>
      </c>
      <c r="AY88" s="9">
        <f>SUM(AY84:AY87)</f>
        <v>9.6000000000000085E-2</v>
      </c>
    </row>
    <row r="89" spans="2:51" s="9" customFormat="1" x14ac:dyDescent="0.2">
      <c r="B89" s="50" t="s">
        <v>442</v>
      </c>
      <c r="AY89" s="9">
        <v>0.21</v>
      </c>
    </row>
    <row r="90" spans="2:51" s="9" customFormat="1" x14ac:dyDescent="0.2">
      <c r="B90" s="50" t="s">
        <v>441</v>
      </c>
      <c r="AY90" s="9">
        <f>+AY89+AY88+AY82+AY78</f>
        <v>199.29899999999998</v>
      </c>
    </row>
    <row r="91" spans="2:51" s="9" customFormat="1" x14ac:dyDescent="0.2">
      <c r="B91" s="28"/>
    </row>
    <row r="92" spans="2:51" s="9" customFormat="1" x14ac:dyDescent="0.2">
      <c r="B92" s="28"/>
    </row>
    <row r="93" spans="2:51" s="9" customFormat="1" x14ac:dyDescent="0.2">
      <c r="B93" s="28"/>
    </row>
    <row r="94" spans="2:51" s="9" customFormat="1" x14ac:dyDescent="0.2">
      <c r="B94" s="28"/>
    </row>
    <row r="95" spans="2:51" s="9" customFormat="1" x14ac:dyDescent="0.2">
      <c r="B95" s="28"/>
    </row>
    <row r="96" spans="2:51" s="9" customFormat="1" x14ac:dyDescent="0.2">
      <c r="B96" s="28"/>
    </row>
    <row r="97" spans="2:78" s="9" customFormat="1" x14ac:dyDescent="0.2">
      <c r="B97" s="28"/>
    </row>
    <row r="98" spans="2:78" s="9" customFormat="1" x14ac:dyDescent="0.2">
      <c r="B98" s="28"/>
    </row>
    <row r="99" spans="2:78" s="9" customFormat="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N99" s="10"/>
      <c r="BO99" s="10"/>
    </row>
    <row r="100" spans="2:78" s="9" customFormat="1" x14ac:dyDescent="0.2">
      <c r="B100" s="28"/>
    </row>
    <row r="101" spans="2:78" s="9" customFormat="1" x14ac:dyDescent="0.2">
      <c r="B101" s="28"/>
    </row>
    <row r="102" spans="2:78" s="9" customFormat="1" x14ac:dyDescent="0.2">
      <c r="B102" s="28"/>
    </row>
    <row r="103" spans="2:78" s="9" customForma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N103" s="10"/>
      <c r="BO103" s="10"/>
    </row>
    <row r="104" spans="2:78" s="9" customFormat="1" x14ac:dyDescent="0.2">
      <c r="B104" s="28"/>
    </row>
    <row r="105" spans="2:78" s="9" customFormat="1" x14ac:dyDescent="0.2">
      <c r="B105" s="28"/>
    </row>
    <row r="106" spans="2:78" s="9" customFormat="1" x14ac:dyDescent="0.2">
      <c r="B106" s="28"/>
    </row>
    <row r="107" spans="2:78" s="9" customFormat="1" x14ac:dyDescent="0.2">
      <c r="B107" s="28"/>
    </row>
    <row r="108" spans="2:78" s="9" customForma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N108" s="10"/>
      <c r="BO108" s="10"/>
    </row>
    <row r="109" spans="2:78" s="9" customFormat="1" x14ac:dyDescent="0.2">
      <c r="B109" s="28"/>
      <c r="BY109"/>
      <c r="BZ109"/>
    </row>
    <row r="110" spans="2:78" x14ac:dyDescent="0.2"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N110" s="33"/>
      <c r="BO110" s="33"/>
    </row>
    <row r="111" spans="2:78" x14ac:dyDescent="0.2">
      <c r="B111" s="31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N111" s="33"/>
      <c r="BO111" s="33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2</v>
      </c>
    </row>
    <row r="3" spans="1:3" x14ac:dyDescent="0.2">
      <c r="B3" s="1" t="s">
        <v>21</v>
      </c>
      <c r="C3" s="1" t="s">
        <v>26</v>
      </c>
    </row>
    <row r="4" spans="1:3" x14ac:dyDescent="0.2">
      <c r="B4" s="1" t="s">
        <v>1</v>
      </c>
    </row>
    <row r="5" spans="1:3" x14ac:dyDescent="0.2">
      <c r="B5" s="1" t="s">
        <v>11</v>
      </c>
    </row>
    <row r="6" spans="1:3" x14ac:dyDescent="0.2">
      <c r="B6" s="1" t="s">
        <v>22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27</v>
      </c>
    </row>
    <row r="10" spans="1:3" x14ac:dyDescent="0.2">
      <c r="B10" s="1" t="s">
        <v>12</v>
      </c>
    </row>
    <row r="11" spans="1:3" x14ac:dyDescent="0.2">
      <c r="C11" s="1" t="s">
        <v>28</v>
      </c>
    </row>
    <row r="12" spans="1:3" x14ac:dyDescent="0.2">
      <c r="C12" s="1" t="s">
        <v>29</v>
      </c>
    </row>
  </sheetData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1" t="s">
        <v>7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36</v>
      </c>
    </row>
    <row r="5" spans="1:3" x14ac:dyDescent="0.2">
      <c r="B5" s="1" t="s">
        <v>11</v>
      </c>
      <c r="C5" s="20" t="s">
        <v>55</v>
      </c>
    </row>
    <row r="6" spans="1:3" x14ac:dyDescent="0.2">
      <c r="B6" s="1" t="s">
        <v>22</v>
      </c>
    </row>
    <row r="7" spans="1:3" x14ac:dyDescent="0.2">
      <c r="B7" s="1" t="s">
        <v>6</v>
      </c>
    </row>
    <row r="8" spans="1:3" x14ac:dyDescent="0.2">
      <c r="B8" s="1" t="s">
        <v>14</v>
      </c>
      <c r="C8" s="20" t="s">
        <v>56</v>
      </c>
    </row>
    <row r="9" spans="1:3" x14ac:dyDescent="0.2">
      <c r="B9" s="1" t="s">
        <v>23</v>
      </c>
    </row>
    <row r="10" spans="1:3" x14ac:dyDescent="0.2">
      <c r="B10" s="1" t="s">
        <v>24</v>
      </c>
    </row>
    <row r="11" spans="1:3" x14ac:dyDescent="0.2">
      <c r="B11" s="1" t="s">
        <v>12</v>
      </c>
    </row>
    <row r="12" spans="1:3" x14ac:dyDescent="0.2">
      <c r="C12" s="16" t="s">
        <v>31</v>
      </c>
    </row>
    <row r="13" spans="1:3" x14ac:dyDescent="0.2">
      <c r="C13" s="1" t="s">
        <v>37</v>
      </c>
    </row>
    <row r="14" spans="1:3" x14ac:dyDescent="0.2">
      <c r="C14" s="1" t="s">
        <v>38</v>
      </c>
    </row>
    <row r="15" spans="1:3" x14ac:dyDescent="0.2">
      <c r="C15" s="1" t="s">
        <v>39</v>
      </c>
    </row>
    <row r="16" spans="1:3" x14ac:dyDescent="0.2">
      <c r="C16" s="1" t="s">
        <v>40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9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30</v>
      </c>
    </row>
    <row r="5" spans="1:3" x14ac:dyDescent="0.2">
      <c r="B5" s="1" t="s">
        <v>11</v>
      </c>
      <c r="C5" s="1" t="s">
        <v>32</v>
      </c>
    </row>
    <row r="6" spans="1:3" x14ac:dyDescent="0.2">
      <c r="B6" s="1" t="s">
        <v>22</v>
      </c>
      <c r="C6" s="1" t="s">
        <v>51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35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34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O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29.28515625" bestFit="1" customWidth="1"/>
    <col min="3" max="3" width="10.140625" customWidth="1"/>
    <col min="4" max="10" width="10.7109375" customWidth="1"/>
    <col min="11" max="11" width="11.42578125" customWidth="1"/>
    <col min="12" max="12" width="9.7109375" bestFit="1" customWidth="1"/>
    <col min="18" max="21" width="9.7109375" bestFit="1" customWidth="1"/>
    <col min="26" max="26" width="9.7109375" bestFit="1" customWidth="1"/>
  </cols>
  <sheetData>
    <row r="1" spans="1:26" x14ac:dyDescent="0.2">
      <c r="A1" s="25" t="s">
        <v>52</v>
      </c>
    </row>
    <row r="2" spans="1:26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L2">
        <v>2008</v>
      </c>
      <c r="M2">
        <f>L2+1</f>
        <v>2009</v>
      </c>
      <c r="N2">
        <f t="shared" ref="N2:X2" si="0">M2+1</f>
        <v>2010</v>
      </c>
      <c r="O2">
        <f t="shared" si="0"/>
        <v>2011</v>
      </c>
      <c r="P2">
        <f t="shared" si="0"/>
        <v>2012</v>
      </c>
      <c r="Q2">
        <f t="shared" si="0"/>
        <v>2013</v>
      </c>
      <c r="R2">
        <f t="shared" si="0"/>
        <v>2014</v>
      </c>
      <c r="S2">
        <f t="shared" si="0"/>
        <v>2015</v>
      </c>
      <c r="T2">
        <f t="shared" si="0"/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v>2021</v>
      </c>
      <c r="Z2">
        <v>2022</v>
      </c>
    </row>
    <row r="3" spans="1:26" x14ac:dyDescent="0.2">
      <c r="B3" s="31" t="s">
        <v>150</v>
      </c>
      <c r="C3" s="31"/>
      <c r="D3" s="31"/>
      <c r="E3" s="31"/>
      <c r="F3" s="31"/>
      <c r="G3" s="28">
        <f>O3</f>
        <v>27000</v>
      </c>
      <c r="H3" s="28">
        <f>O3</f>
        <v>27000</v>
      </c>
      <c r="I3" s="28">
        <f>O3</f>
        <v>27000</v>
      </c>
      <c r="J3" s="28">
        <f>O3</f>
        <v>27000</v>
      </c>
      <c r="K3" s="31"/>
      <c r="L3" s="9">
        <v>27000</v>
      </c>
      <c r="M3" s="9">
        <f>L3</f>
        <v>27000</v>
      </c>
      <c r="N3" s="9">
        <f>M3</f>
        <v>27000</v>
      </c>
      <c r="O3" s="9">
        <f>N3</f>
        <v>27000</v>
      </c>
      <c r="P3" s="9">
        <f t="shared" ref="P3:X3" si="1">+O3*1.03</f>
        <v>27810</v>
      </c>
      <c r="Q3" s="9">
        <f t="shared" si="1"/>
        <v>28644.3</v>
      </c>
      <c r="R3" s="9">
        <f t="shared" si="1"/>
        <v>29503.629000000001</v>
      </c>
      <c r="S3" s="9">
        <f t="shared" si="1"/>
        <v>30388.737870000001</v>
      </c>
      <c r="T3" s="9">
        <f t="shared" si="1"/>
        <v>31300.400006100001</v>
      </c>
      <c r="U3" s="9">
        <f t="shared" si="1"/>
        <v>32239.412006283001</v>
      </c>
      <c r="V3" s="9">
        <f t="shared" si="1"/>
        <v>33206.594366471494</v>
      </c>
      <c r="W3" s="9">
        <f t="shared" si="1"/>
        <v>34202.792197465642</v>
      </c>
      <c r="X3" s="9">
        <f t="shared" si="1"/>
        <v>35228.875963389612</v>
      </c>
      <c r="Y3" s="9">
        <f>X3*1.03</f>
        <v>36285.7422422913</v>
      </c>
      <c r="Z3" s="9">
        <f>Y3*1.03</f>
        <v>37374.314509560041</v>
      </c>
    </row>
    <row r="4" spans="1:26" x14ac:dyDescent="0.2">
      <c r="B4" s="31" t="s">
        <v>65</v>
      </c>
      <c r="C4" s="31"/>
      <c r="D4" s="31"/>
      <c r="E4" s="31"/>
      <c r="F4" s="31"/>
      <c r="G4" s="28">
        <f>O4</f>
        <v>18900</v>
      </c>
      <c r="H4" s="28">
        <f>O4</f>
        <v>18900</v>
      </c>
      <c r="I4" s="28">
        <f>O4</f>
        <v>18900</v>
      </c>
      <c r="J4" s="28">
        <f>O4</f>
        <v>18900</v>
      </c>
      <c r="K4" s="31"/>
      <c r="L4" s="9">
        <f>L3*0.7</f>
        <v>18900</v>
      </c>
      <c r="M4" s="9">
        <f t="shared" ref="M4:Z4" si="2">M3*0.7</f>
        <v>18900</v>
      </c>
      <c r="N4" s="9">
        <f t="shared" si="2"/>
        <v>18900</v>
      </c>
      <c r="O4" s="9">
        <f t="shared" si="2"/>
        <v>18900</v>
      </c>
      <c r="P4" s="9">
        <f t="shared" si="2"/>
        <v>19467</v>
      </c>
      <c r="Q4" s="9">
        <f t="shared" si="2"/>
        <v>20051.009999999998</v>
      </c>
      <c r="R4" s="9">
        <f t="shared" si="2"/>
        <v>20652.540300000001</v>
      </c>
      <c r="S4" s="9">
        <f t="shared" si="2"/>
        <v>21272.116508999999</v>
      </c>
      <c r="T4" s="9">
        <f t="shared" si="2"/>
        <v>21910.28000427</v>
      </c>
      <c r="U4" s="9">
        <f t="shared" si="2"/>
        <v>22567.588404398099</v>
      </c>
      <c r="V4" s="9">
        <f t="shared" si="2"/>
        <v>23244.616056530045</v>
      </c>
      <c r="W4" s="9">
        <f t="shared" si="2"/>
        <v>23941.954538225949</v>
      </c>
      <c r="X4" s="9">
        <f t="shared" si="2"/>
        <v>24660.213174372726</v>
      </c>
      <c r="Y4" s="9">
        <f t="shared" si="2"/>
        <v>25400.019569603908</v>
      </c>
      <c r="Z4" s="9">
        <f t="shared" si="2"/>
        <v>26162.020156692026</v>
      </c>
    </row>
    <row r="5" spans="1:26" x14ac:dyDescent="0.2">
      <c r="B5" s="31" t="s">
        <v>242</v>
      </c>
      <c r="G5" s="42">
        <v>5.0000000000000001E-3</v>
      </c>
      <c r="H5" s="42">
        <v>0.02</v>
      </c>
      <c r="I5" s="42">
        <v>0.04</v>
      </c>
      <c r="J5" s="42">
        <v>0.06</v>
      </c>
      <c r="L5" s="42">
        <v>0</v>
      </c>
      <c r="M5" s="42">
        <v>0</v>
      </c>
      <c r="N5" s="42">
        <v>0</v>
      </c>
      <c r="O5" s="42">
        <f>O6/O3</f>
        <v>8.7499999999999994E-2</v>
      </c>
      <c r="P5" s="42">
        <v>0.2</v>
      </c>
      <c r="Q5" s="42">
        <v>0.25</v>
      </c>
      <c r="R5" s="42">
        <v>0.3</v>
      </c>
      <c r="S5" s="42">
        <v>0.35</v>
      </c>
      <c r="T5" s="42">
        <v>0.4</v>
      </c>
      <c r="U5" s="42">
        <v>0.45</v>
      </c>
      <c r="V5" s="42">
        <v>0.1</v>
      </c>
      <c r="W5" s="42">
        <v>0.05</v>
      </c>
      <c r="X5" s="42">
        <f>W5</f>
        <v>0.05</v>
      </c>
      <c r="Y5" s="42">
        <v>0.05</v>
      </c>
      <c r="Z5" s="26">
        <f>Y5</f>
        <v>0.05</v>
      </c>
    </row>
    <row r="6" spans="1:26" x14ac:dyDescent="0.2">
      <c r="B6" s="31" t="s">
        <v>246</v>
      </c>
      <c r="G6" s="43">
        <f>G5*G4</f>
        <v>94.5</v>
      </c>
      <c r="H6" s="43">
        <f>H5*H4</f>
        <v>378</v>
      </c>
      <c r="I6" s="43">
        <f>I5*I4</f>
        <v>756</v>
      </c>
      <c r="J6" s="43">
        <f>J5*J4</f>
        <v>1134</v>
      </c>
      <c r="K6" s="33"/>
      <c r="L6" s="43">
        <v>0</v>
      </c>
      <c r="M6" s="43">
        <v>0</v>
      </c>
      <c r="N6" s="43">
        <v>0</v>
      </c>
      <c r="O6" s="43">
        <f>SUM(G6:J6)</f>
        <v>2362.5</v>
      </c>
      <c r="P6" s="43">
        <f>P5*P3</f>
        <v>5562</v>
      </c>
      <c r="Q6" s="43">
        <f t="shared" ref="Q6:Z6" si="3">Q5*Q3</f>
        <v>7161.0749999999998</v>
      </c>
      <c r="R6" s="43">
        <f t="shared" si="3"/>
        <v>8851.0887000000002</v>
      </c>
      <c r="S6" s="43">
        <f t="shared" si="3"/>
        <v>10636.0582545</v>
      </c>
      <c r="T6" s="43">
        <f t="shared" si="3"/>
        <v>12520.160002440001</v>
      </c>
      <c r="U6" s="43">
        <f t="shared" si="3"/>
        <v>14507.735402827351</v>
      </c>
      <c r="V6" s="43">
        <f t="shared" si="3"/>
        <v>3320.6594366471495</v>
      </c>
      <c r="W6" s="43">
        <f t="shared" si="3"/>
        <v>1710.1396098732821</v>
      </c>
      <c r="X6" s="43">
        <f t="shared" si="3"/>
        <v>1761.4437981694807</v>
      </c>
      <c r="Y6" s="43">
        <f t="shared" si="3"/>
        <v>1814.2871121145652</v>
      </c>
      <c r="Z6" s="43">
        <f t="shared" si="3"/>
        <v>1868.7157254780022</v>
      </c>
    </row>
    <row r="7" spans="1:26" x14ac:dyDescent="0.2">
      <c r="B7" s="31" t="s">
        <v>66</v>
      </c>
      <c r="G7" s="9">
        <v>100</v>
      </c>
      <c r="H7" s="9">
        <f>G7</f>
        <v>100</v>
      </c>
      <c r="I7" s="9">
        <v>100</v>
      </c>
      <c r="J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f t="shared" ref="P7:U7" si="4">O7*1.05</f>
        <v>105</v>
      </c>
      <c r="Q7" s="9">
        <f t="shared" si="4"/>
        <v>110.25</v>
      </c>
      <c r="R7" s="9">
        <f t="shared" si="4"/>
        <v>115.7625</v>
      </c>
      <c r="S7" s="9">
        <f t="shared" si="4"/>
        <v>121.55062500000001</v>
      </c>
      <c r="T7" s="9">
        <f t="shared" si="4"/>
        <v>127.62815625000002</v>
      </c>
      <c r="U7" s="9">
        <f t="shared" si="4"/>
        <v>134.00956406250003</v>
      </c>
      <c r="V7" s="9">
        <f>U7</f>
        <v>134.00956406250003</v>
      </c>
      <c r="W7" s="9">
        <f>V7</f>
        <v>134.00956406250003</v>
      </c>
      <c r="X7" s="9">
        <f>W7</f>
        <v>134.00956406250003</v>
      </c>
      <c r="Y7" s="9">
        <f>X7</f>
        <v>134.00956406250003</v>
      </c>
      <c r="Z7" s="9">
        <f>Y7</f>
        <v>134.00956406250003</v>
      </c>
    </row>
    <row r="8" spans="1:26" x14ac:dyDescent="0.2">
      <c r="B8" s="31" t="s">
        <v>243</v>
      </c>
      <c r="G8" s="33">
        <f>G4*G5*G7/1000</f>
        <v>9.4499999999999993</v>
      </c>
      <c r="H8" s="33">
        <f>H4*H5*H7/1000</f>
        <v>37.799999999999997</v>
      </c>
      <c r="I8" s="33">
        <f>I4*I5*I7/1000</f>
        <v>75.599999999999994</v>
      </c>
      <c r="J8" s="33">
        <f>J4*J5*J7/1000</f>
        <v>113.4</v>
      </c>
      <c r="L8" s="43">
        <f>L6*L7/1000</f>
        <v>0</v>
      </c>
      <c r="M8" s="43">
        <f>M6*M7/1000</f>
        <v>0</v>
      </c>
      <c r="N8" s="43">
        <f>N6*N7/1000</f>
        <v>0</v>
      </c>
      <c r="O8" s="43">
        <f>O6*O7/1000</f>
        <v>236.25</v>
      </c>
      <c r="P8" s="43">
        <f t="shared" ref="P8:Z8" si="5">P6*P7/1000</f>
        <v>584.01</v>
      </c>
      <c r="Q8" s="43">
        <f t="shared" si="5"/>
        <v>789.50851874999989</v>
      </c>
      <c r="R8" s="43">
        <f t="shared" si="5"/>
        <v>1024.62415563375</v>
      </c>
      <c r="S8" s="43">
        <f t="shared" si="5"/>
        <v>1292.8195283708842</v>
      </c>
      <c r="T8" s="43">
        <f t="shared" si="5"/>
        <v>1597.9249370664129</v>
      </c>
      <c r="U8" s="43">
        <f t="shared" si="5"/>
        <v>1944.1752968669916</v>
      </c>
      <c r="V8" s="43">
        <f t="shared" si="5"/>
        <v>445.00012350511145</v>
      </c>
      <c r="W8" s="43">
        <f t="shared" si="5"/>
        <v>229.17506360513241</v>
      </c>
      <c r="X8" s="43">
        <f t="shared" si="5"/>
        <v>236.05031551328639</v>
      </c>
      <c r="Y8" s="43">
        <f t="shared" si="5"/>
        <v>243.13182497868502</v>
      </c>
      <c r="Z8" s="43">
        <f t="shared" si="5"/>
        <v>250.42577972804557</v>
      </c>
    </row>
    <row r="9" spans="1:26" x14ac:dyDescent="0.2">
      <c r="B9" s="31" t="s">
        <v>241</v>
      </c>
      <c r="G9" s="9">
        <f>O9</f>
        <v>27000</v>
      </c>
      <c r="H9" s="9">
        <f>O9</f>
        <v>27000</v>
      </c>
      <c r="I9" s="9">
        <f>O9</f>
        <v>27000</v>
      </c>
      <c r="J9" s="9">
        <f>O9</f>
        <v>27000</v>
      </c>
      <c r="L9" s="9">
        <v>27000</v>
      </c>
      <c r="M9" s="9">
        <f>L9</f>
        <v>27000</v>
      </c>
      <c r="N9" s="9">
        <f>M9</f>
        <v>27000</v>
      </c>
      <c r="O9" s="9">
        <f>N9</f>
        <v>27000</v>
      </c>
      <c r="P9" s="9">
        <f t="shared" ref="P9:X9" si="6">O9*1.02</f>
        <v>27540</v>
      </c>
      <c r="Q9" s="9">
        <f t="shared" si="6"/>
        <v>28090.799999999999</v>
      </c>
      <c r="R9" s="9">
        <f t="shared" si="6"/>
        <v>28652.615999999998</v>
      </c>
      <c r="S9" s="9">
        <f t="shared" si="6"/>
        <v>29225.668319999997</v>
      </c>
      <c r="T9" s="9">
        <f t="shared" si="6"/>
        <v>29810.181686399999</v>
      </c>
      <c r="U9" s="9">
        <f t="shared" si="6"/>
        <v>30406.385320128</v>
      </c>
      <c r="V9" s="9">
        <f t="shared" si="6"/>
        <v>31014.51302653056</v>
      </c>
      <c r="W9" s="9">
        <f t="shared" si="6"/>
        <v>31634.803287061171</v>
      </c>
      <c r="X9" s="9">
        <f t="shared" si="6"/>
        <v>32267.499352802395</v>
      </c>
      <c r="Y9" s="9">
        <f>X9*1.02</f>
        <v>32912.849339858447</v>
      </c>
      <c r="Z9" s="9">
        <f>Y9*1.02</f>
        <v>33571.106326655616</v>
      </c>
    </row>
    <row r="10" spans="1:26" x14ac:dyDescent="0.2">
      <c r="B10" s="31" t="s">
        <v>65</v>
      </c>
      <c r="C10" s="31"/>
      <c r="D10" s="31"/>
      <c r="E10" s="31"/>
      <c r="F10" s="31"/>
      <c r="G10" s="28">
        <f>O10</f>
        <v>13500</v>
      </c>
      <c r="H10" s="28">
        <f>O10</f>
        <v>13500</v>
      </c>
      <c r="I10" s="28">
        <f>O10</f>
        <v>13500</v>
      </c>
      <c r="J10" s="28">
        <f>O10</f>
        <v>13500</v>
      </c>
      <c r="K10" s="31"/>
      <c r="L10" s="9">
        <f>L3*0.5</f>
        <v>13500</v>
      </c>
      <c r="M10" s="9">
        <f t="shared" ref="M10:Z10" si="7">M3*0.5</f>
        <v>13500</v>
      </c>
      <c r="N10" s="9">
        <f t="shared" si="7"/>
        <v>13500</v>
      </c>
      <c r="O10" s="9">
        <f t="shared" si="7"/>
        <v>13500</v>
      </c>
      <c r="P10" s="9">
        <f t="shared" si="7"/>
        <v>13905</v>
      </c>
      <c r="Q10" s="9">
        <f t="shared" si="7"/>
        <v>14322.15</v>
      </c>
      <c r="R10" s="9">
        <f t="shared" si="7"/>
        <v>14751.8145</v>
      </c>
      <c r="S10" s="9">
        <f t="shared" si="7"/>
        <v>15194.368935</v>
      </c>
      <c r="T10" s="9">
        <f t="shared" si="7"/>
        <v>15650.20000305</v>
      </c>
      <c r="U10" s="9">
        <f t="shared" si="7"/>
        <v>16119.7060031415</v>
      </c>
      <c r="V10" s="9">
        <f t="shared" si="7"/>
        <v>16603.297183235747</v>
      </c>
      <c r="W10" s="9">
        <f t="shared" si="7"/>
        <v>17101.396098732821</v>
      </c>
      <c r="X10" s="9">
        <f t="shared" si="7"/>
        <v>17614.437981694806</v>
      </c>
      <c r="Y10" s="9">
        <f t="shared" si="7"/>
        <v>18142.87112114565</v>
      </c>
      <c r="Z10" s="9">
        <f t="shared" si="7"/>
        <v>18687.157254780021</v>
      </c>
    </row>
    <row r="11" spans="1:26" x14ac:dyDescent="0.2">
      <c r="B11" s="31" t="s">
        <v>242</v>
      </c>
      <c r="C11" s="31"/>
      <c r="D11" s="31"/>
      <c r="E11" s="31"/>
      <c r="F11" s="31"/>
      <c r="G11" s="44">
        <v>0</v>
      </c>
      <c r="H11" s="44">
        <v>0</v>
      </c>
      <c r="I11" s="44">
        <v>0</v>
      </c>
      <c r="J11" s="44">
        <v>0</v>
      </c>
      <c r="K11" s="31"/>
      <c r="L11" s="42">
        <v>0</v>
      </c>
      <c r="M11" s="42">
        <v>0</v>
      </c>
      <c r="N11" s="42">
        <v>0</v>
      </c>
      <c r="O11" s="42">
        <v>0</v>
      </c>
      <c r="P11" s="42">
        <v>0.05</v>
      </c>
      <c r="Q11" s="42">
        <v>0.1</v>
      </c>
      <c r="R11" s="42">
        <v>0.15</v>
      </c>
      <c r="S11" s="42">
        <v>0.2</v>
      </c>
      <c r="T11" s="42">
        <v>0.25</v>
      </c>
      <c r="U11" s="42">
        <v>0.3</v>
      </c>
      <c r="V11" s="42">
        <v>0.35</v>
      </c>
      <c r="W11" s="42">
        <v>0.4</v>
      </c>
      <c r="X11" s="42">
        <v>0.45</v>
      </c>
      <c r="Y11" s="42">
        <v>0.5</v>
      </c>
      <c r="Z11" s="42">
        <v>0.05</v>
      </c>
    </row>
    <row r="12" spans="1:26" x14ac:dyDescent="0.2">
      <c r="B12" s="31" t="s">
        <v>246</v>
      </c>
      <c r="C12" s="31"/>
      <c r="D12" s="31"/>
      <c r="E12" s="31"/>
      <c r="F12" s="31"/>
      <c r="G12" s="31">
        <f>G10*G11</f>
        <v>0</v>
      </c>
      <c r="H12" s="31">
        <f>H10*H11</f>
        <v>0</v>
      </c>
      <c r="I12" s="31">
        <f>I10*I11</f>
        <v>0</v>
      </c>
      <c r="J12" s="31">
        <f>J10*J11</f>
        <v>0</v>
      </c>
      <c r="K12" s="31"/>
      <c r="L12" s="9">
        <f t="shared" ref="L12:Z12" si="8">L11*L9</f>
        <v>0</v>
      </c>
      <c r="M12" s="9">
        <f t="shared" si="8"/>
        <v>0</v>
      </c>
      <c r="N12" s="9">
        <f t="shared" si="8"/>
        <v>0</v>
      </c>
      <c r="O12" s="9">
        <f t="shared" si="8"/>
        <v>0</v>
      </c>
      <c r="P12" s="9">
        <f t="shared" si="8"/>
        <v>1377</v>
      </c>
      <c r="Q12" s="9">
        <f t="shared" si="8"/>
        <v>2809.08</v>
      </c>
      <c r="R12" s="9">
        <f t="shared" si="8"/>
        <v>4297.8923999999997</v>
      </c>
      <c r="S12" s="9">
        <f t="shared" si="8"/>
        <v>5845.133664</v>
      </c>
      <c r="T12" s="9">
        <f t="shared" si="8"/>
        <v>7452.5454215999998</v>
      </c>
      <c r="U12" s="9">
        <f t="shared" si="8"/>
        <v>9121.9155960383996</v>
      </c>
      <c r="V12" s="9">
        <f t="shared" si="8"/>
        <v>10855.079559285696</v>
      </c>
      <c r="W12" s="9">
        <f t="shared" si="8"/>
        <v>12653.921314824469</v>
      </c>
      <c r="X12" s="9">
        <f t="shared" si="8"/>
        <v>14520.374708761077</v>
      </c>
      <c r="Y12" s="9">
        <f t="shared" si="8"/>
        <v>16456.424669929223</v>
      </c>
      <c r="Z12" s="9">
        <f t="shared" si="8"/>
        <v>1678.5553163327809</v>
      </c>
    </row>
    <row r="13" spans="1:26" x14ac:dyDescent="0.2">
      <c r="B13" s="31" t="s">
        <v>66</v>
      </c>
      <c r="C13" s="31"/>
      <c r="D13" s="31"/>
      <c r="E13" s="31"/>
      <c r="F13" s="31"/>
      <c r="G13" s="28">
        <f>O13</f>
        <v>100</v>
      </c>
      <c r="H13" s="28">
        <f>O13</f>
        <v>100</v>
      </c>
      <c r="I13" s="28">
        <f>O13</f>
        <v>100</v>
      </c>
      <c r="J13" s="28">
        <f>O13</f>
        <v>100</v>
      </c>
      <c r="K13" s="31"/>
      <c r="L13" s="9">
        <v>100</v>
      </c>
      <c r="M13" s="9">
        <v>100</v>
      </c>
      <c r="N13" s="9">
        <v>100</v>
      </c>
      <c r="O13" s="9">
        <v>100</v>
      </c>
      <c r="P13" s="9">
        <f t="shared" ref="P13:Z13" si="9">O13</f>
        <v>100</v>
      </c>
      <c r="Q13" s="9">
        <f t="shared" si="9"/>
        <v>100</v>
      </c>
      <c r="R13" s="9">
        <f t="shared" si="9"/>
        <v>100</v>
      </c>
      <c r="S13" s="9">
        <f t="shared" si="9"/>
        <v>100</v>
      </c>
      <c r="T13" s="9">
        <f t="shared" si="9"/>
        <v>100</v>
      </c>
      <c r="U13" s="9">
        <f t="shared" si="9"/>
        <v>100</v>
      </c>
      <c r="V13" s="9">
        <f t="shared" si="9"/>
        <v>100</v>
      </c>
      <c r="W13" s="9">
        <f t="shared" si="9"/>
        <v>100</v>
      </c>
      <c r="X13" s="9">
        <f t="shared" si="9"/>
        <v>100</v>
      </c>
      <c r="Y13" s="9">
        <f t="shared" si="9"/>
        <v>100</v>
      </c>
      <c r="Z13" s="9">
        <f t="shared" si="9"/>
        <v>100</v>
      </c>
    </row>
    <row r="14" spans="1:26" x14ac:dyDescent="0.2">
      <c r="B14" s="31" t="s">
        <v>243</v>
      </c>
      <c r="C14" s="31"/>
      <c r="D14" s="31"/>
      <c r="E14" s="31"/>
      <c r="F14" s="31"/>
      <c r="G14" s="31">
        <f>G12*G13/1000</f>
        <v>0</v>
      </c>
      <c r="H14" s="31">
        <f>H12*H13/1000</f>
        <v>0</v>
      </c>
      <c r="I14" s="31">
        <f>I12*I13/1000</f>
        <v>0</v>
      </c>
      <c r="J14" s="31">
        <f>J12*J13/1000</f>
        <v>0</v>
      </c>
      <c r="K14" s="31"/>
      <c r="L14" s="9">
        <f>L13*L12/1000</f>
        <v>0</v>
      </c>
      <c r="M14" s="9">
        <f t="shared" ref="M14:Z14" si="10">M13*M12/1000</f>
        <v>0</v>
      </c>
      <c r="N14" s="9">
        <f t="shared" si="10"/>
        <v>0</v>
      </c>
      <c r="O14" s="9">
        <f t="shared" si="10"/>
        <v>0</v>
      </c>
      <c r="P14" s="9">
        <f t="shared" si="10"/>
        <v>137.69999999999999</v>
      </c>
      <c r="Q14" s="9">
        <f t="shared" si="10"/>
        <v>280.90800000000002</v>
      </c>
      <c r="R14" s="9">
        <f t="shared" si="10"/>
        <v>429.78924000000001</v>
      </c>
      <c r="S14" s="9">
        <f t="shared" si="10"/>
        <v>584.5133664</v>
      </c>
      <c r="T14" s="9">
        <f t="shared" si="10"/>
        <v>745.25454215999991</v>
      </c>
      <c r="U14" s="9">
        <f t="shared" si="10"/>
        <v>912.19155960384001</v>
      </c>
      <c r="V14" s="9">
        <f t="shared" si="10"/>
        <v>1085.5079559285696</v>
      </c>
      <c r="W14" s="9">
        <f t="shared" si="10"/>
        <v>1265.3921314824468</v>
      </c>
      <c r="X14" s="9">
        <f t="shared" si="10"/>
        <v>1452.0374708761076</v>
      </c>
      <c r="Y14" s="9">
        <f t="shared" si="10"/>
        <v>1645.6424669929224</v>
      </c>
      <c r="Z14" s="9">
        <f t="shared" si="10"/>
        <v>167.8555316332781</v>
      </c>
    </row>
    <row r="15" spans="1:26" x14ac:dyDescent="0.2">
      <c r="B15" s="31" t="s">
        <v>244</v>
      </c>
      <c r="C15" s="31"/>
      <c r="D15" s="31"/>
      <c r="E15" s="31"/>
      <c r="F15" s="31"/>
      <c r="G15" s="45">
        <f>O15</f>
        <v>0.1</v>
      </c>
      <c r="H15" s="45">
        <f>O15</f>
        <v>0.1</v>
      </c>
      <c r="I15" s="45">
        <f>O15</f>
        <v>0.1</v>
      </c>
      <c r="J15" s="45">
        <f>O15</f>
        <v>0.1</v>
      </c>
      <c r="K15" s="31"/>
      <c r="L15" s="42">
        <v>0.1</v>
      </c>
      <c r="M15" s="42">
        <v>0.1</v>
      </c>
      <c r="N15" s="42">
        <v>0.1</v>
      </c>
      <c r="O15" s="42">
        <v>0.1</v>
      </c>
      <c r="P15" s="42">
        <v>0.1</v>
      </c>
      <c r="Q15" s="42">
        <v>0.15</v>
      </c>
      <c r="R15" s="42">
        <v>0.15</v>
      </c>
      <c r="S15" s="42">
        <v>0.2</v>
      </c>
      <c r="T15" s="42">
        <v>0.2</v>
      </c>
      <c r="U15" s="42">
        <v>0.2</v>
      </c>
      <c r="V15" s="42">
        <v>0.2</v>
      </c>
      <c r="W15" s="42">
        <v>0.2</v>
      </c>
      <c r="X15" s="42">
        <v>0.2</v>
      </c>
      <c r="Y15" s="42">
        <v>0.2</v>
      </c>
      <c r="Z15" s="42">
        <v>0.2</v>
      </c>
    </row>
    <row r="16" spans="1:26" x14ac:dyDescent="0.2">
      <c r="B16" s="31" t="s">
        <v>245</v>
      </c>
      <c r="C16" s="31"/>
      <c r="D16" s="31"/>
      <c r="E16" s="31"/>
      <c r="F16" s="31"/>
      <c r="G16" s="31">
        <f>G14*G15</f>
        <v>0</v>
      </c>
      <c r="H16" s="31">
        <f>H14*H15</f>
        <v>0</v>
      </c>
      <c r="I16" s="31">
        <f>I14*I15</f>
        <v>0</v>
      </c>
      <c r="J16" s="31">
        <f>J14*J15</f>
        <v>0</v>
      </c>
      <c r="K16" s="31"/>
      <c r="L16" s="9">
        <f>L14*L15</f>
        <v>0</v>
      </c>
      <c r="M16" s="9">
        <f t="shared" ref="M16:Z16" si="11">M14*M15</f>
        <v>0</v>
      </c>
      <c r="N16" s="9">
        <f t="shared" si="11"/>
        <v>0</v>
      </c>
      <c r="O16" s="9">
        <f t="shared" si="11"/>
        <v>0</v>
      </c>
      <c r="P16" s="9">
        <f t="shared" si="11"/>
        <v>13.77</v>
      </c>
      <c r="Q16" s="9">
        <f t="shared" si="11"/>
        <v>42.136200000000002</v>
      </c>
      <c r="R16" s="9">
        <f t="shared" si="11"/>
        <v>64.468385999999995</v>
      </c>
      <c r="S16" s="9">
        <f t="shared" si="11"/>
        <v>116.90267328</v>
      </c>
      <c r="T16" s="9">
        <f t="shared" si="11"/>
        <v>149.050908432</v>
      </c>
      <c r="U16" s="9">
        <f t="shared" si="11"/>
        <v>182.438311920768</v>
      </c>
      <c r="V16" s="9">
        <f t="shared" si="11"/>
        <v>217.10159118571391</v>
      </c>
      <c r="W16" s="9">
        <f t="shared" si="11"/>
        <v>253.07842629648937</v>
      </c>
      <c r="X16" s="9">
        <f t="shared" si="11"/>
        <v>290.40749417522153</v>
      </c>
      <c r="Y16" s="9">
        <f t="shared" si="11"/>
        <v>329.12849339858451</v>
      </c>
      <c r="Z16" s="9">
        <f t="shared" si="11"/>
        <v>33.571106326655624</v>
      </c>
    </row>
    <row r="17" spans="2:93" x14ac:dyDescent="0.2">
      <c r="C17" s="31"/>
      <c r="D17" s="31"/>
      <c r="E17" s="31"/>
      <c r="F17" s="31"/>
      <c r="G17" s="31"/>
      <c r="H17" s="31"/>
      <c r="I17" s="31"/>
      <c r="J17" s="31"/>
      <c r="K17" s="3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93" x14ac:dyDescent="0.2">
      <c r="C18" s="31"/>
      <c r="D18" s="31"/>
      <c r="E18" s="31"/>
      <c r="F18" s="31"/>
      <c r="G18" s="31"/>
      <c r="H18" s="31"/>
      <c r="I18" s="31"/>
      <c r="J18" s="31"/>
      <c r="K18" s="3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93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93" x14ac:dyDescent="0.2">
      <c r="B20" s="31" t="s">
        <v>180</v>
      </c>
      <c r="C20" s="33">
        <v>16737</v>
      </c>
      <c r="D20" s="33">
        <v>49737</v>
      </c>
      <c r="E20" s="33">
        <v>16737</v>
      </c>
      <c r="F20" s="38">
        <v>85737</v>
      </c>
      <c r="G20" s="38">
        <f t="shared" ref="G20:J21" si="12">F20</f>
        <v>85737</v>
      </c>
      <c r="H20" s="38">
        <f t="shared" si="12"/>
        <v>85737</v>
      </c>
      <c r="I20" s="38">
        <f t="shared" si="12"/>
        <v>85737</v>
      </c>
      <c r="J20" s="38">
        <f t="shared" si="12"/>
        <v>85737</v>
      </c>
      <c r="K20" s="31"/>
      <c r="L20" s="33">
        <v>659</v>
      </c>
      <c r="M20" s="38">
        <v>5755</v>
      </c>
      <c r="N20" s="33">
        <f>SUM(C20:F20)</f>
        <v>168948</v>
      </c>
      <c r="O20" s="38">
        <f>SUM(G20:J20)</f>
        <v>342948</v>
      </c>
      <c r="P20" s="9">
        <v>5000</v>
      </c>
      <c r="Q20" s="9">
        <f t="shared" ref="Q20:Z20" si="13">P20</f>
        <v>5000</v>
      </c>
      <c r="R20" s="9">
        <f t="shared" si="13"/>
        <v>5000</v>
      </c>
      <c r="S20" s="9">
        <f t="shared" si="13"/>
        <v>5000</v>
      </c>
      <c r="T20" s="9">
        <f t="shared" si="13"/>
        <v>5000</v>
      </c>
      <c r="U20" s="9">
        <f t="shared" si="13"/>
        <v>5000</v>
      </c>
      <c r="V20" s="9">
        <f t="shared" si="13"/>
        <v>5000</v>
      </c>
      <c r="W20" s="9">
        <f t="shared" si="13"/>
        <v>5000</v>
      </c>
      <c r="X20" s="9">
        <f t="shared" si="13"/>
        <v>5000</v>
      </c>
      <c r="Y20" s="9">
        <f t="shared" si="13"/>
        <v>5000</v>
      </c>
      <c r="Z20" s="9">
        <f t="shared" si="13"/>
        <v>5000</v>
      </c>
    </row>
    <row r="21" spans="2:93" x14ac:dyDescent="0.2">
      <c r="B21" s="31" t="s">
        <v>179</v>
      </c>
      <c r="C21" s="33">
        <v>551</v>
      </c>
      <c r="D21" s="33">
        <v>110</v>
      </c>
      <c r="E21" s="33">
        <v>135</v>
      </c>
      <c r="F21" s="38">
        <v>133</v>
      </c>
      <c r="G21" s="38">
        <f t="shared" si="12"/>
        <v>133</v>
      </c>
      <c r="H21" s="38">
        <f t="shared" si="12"/>
        <v>133</v>
      </c>
      <c r="I21" s="38">
        <f t="shared" si="12"/>
        <v>133</v>
      </c>
      <c r="J21" s="38">
        <f t="shared" si="12"/>
        <v>133</v>
      </c>
      <c r="K21" s="31"/>
      <c r="L21" s="33">
        <v>3260</v>
      </c>
      <c r="M21" s="38">
        <v>3510</v>
      </c>
      <c r="N21" s="33">
        <f>SUM(C21:F21)</f>
        <v>929</v>
      </c>
      <c r="O21" s="38">
        <f>SUM(G21:J21)</f>
        <v>532</v>
      </c>
      <c r="P21" s="9">
        <v>200</v>
      </c>
      <c r="Q21" s="9">
        <f t="shared" ref="Q21:Z21" si="14">P21</f>
        <v>200</v>
      </c>
      <c r="R21" s="9">
        <f t="shared" si="14"/>
        <v>200</v>
      </c>
      <c r="S21" s="9">
        <f t="shared" si="14"/>
        <v>200</v>
      </c>
      <c r="T21" s="9">
        <f t="shared" si="14"/>
        <v>200</v>
      </c>
      <c r="U21" s="9">
        <f t="shared" si="14"/>
        <v>200</v>
      </c>
      <c r="V21" s="9">
        <f t="shared" si="14"/>
        <v>200</v>
      </c>
      <c r="W21" s="9">
        <f t="shared" si="14"/>
        <v>200</v>
      </c>
      <c r="X21" s="9">
        <f t="shared" si="14"/>
        <v>200</v>
      </c>
      <c r="Y21" s="9">
        <f t="shared" si="14"/>
        <v>200</v>
      </c>
      <c r="Z21" s="9">
        <f t="shared" si="14"/>
        <v>200</v>
      </c>
    </row>
    <row r="22" spans="2:93" s="8" customFormat="1" x14ac:dyDescent="0.2">
      <c r="B22" s="8" t="s">
        <v>67</v>
      </c>
      <c r="C22" s="37">
        <v>0</v>
      </c>
      <c r="D22" s="37">
        <v>0</v>
      </c>
      <c r="E22" s="37">
        <v>0</v>
      </c>
      <c r="F22" s="37">
        <f>E22</f>
        <v>0</v>
      </c>
      <c r="G22" s="37">
        <f>(G8+G16)*1000</f>
        <v>9450</v>
      </c>
      <c r="H22" s="37">
        <f>(H8+H16)*1000</f>
        <v>37800</v>
      </c>
      <c r="I22" s="37">
        <f>(I8+I16)*1000</f>
        <v>75600</v>
      </c>
      <c r="J22" s="37">
        <f>(J8+J16)*1000</f>
        <v>113400</v>
      </c>
      <c r="L22" s="37">
        <f>(L8+L16)*1000</f>
        <v>0</v>
      </c>
      <c r="M22" s="37">
        <f t="shared" ref="M22:Z22" si="15">(M8+M16)*1000</f>
        <v>0</v>
      </c>
      <c r="N22" s="37">
        <f t="shared" si="15"/>
        <v>0</v>
      </c>
      <c r="O22" s="37">
        <f t="shared" si="15"/>
        <v>236250</v>
      </c>
      <c r="P22" s="37">
        <f t="shared" si="15"/>
        <v>597780</v>
      </c>
      <c r="Q22" s="37">
        <f t="shared" si="15"/>
        <v>831644.71874999988</v>
      </c>
      <c r="R22" s="37">
        <f t="shared" si="15"/>
        <v>1089092.5416337501</v>
      </c>
      <c r="S22" s="37">
        <f t="shared" si="15"/>
        <v>1409722.2016508842</v>
      </c>
      <c r="T22" s="37">
        <f t="shared" si="15"/>
        <v>1746975.8454984128</v>
      </c>
      <c r="U22" s="37">
        <f t="shared" si="15"/>
        <v>2126613.6087877592</v>
      </c>
      <c r="V22" s="37">
        <f t="shared" si="15"/>
        <v>662101.71469082532</v>
      </c>
      <c r="W22" s="37">
        <f t="shared" si="15"/>
        <v>482253.48990162177</v>
      </c>
      <c r="X22" s="37">
        <f t="shared" si="15"/>
        <v>526457.80968850793</v>
      </c>
      <c r="Y22" s="37">
        <f t="shared" si="15"/>
        <v>572260.31837726955</v>
      </c>
      <c r="Z22" s="37">
        <f t="shared" si="15"/>
        <v>283996.88605470117</v>
      </c>
    </row>
    <row r="23" spans="2:93" s="8" customFormat="1" x14ac:dyDescent="0.2">
      <c r="B23" s="8" t="s">
        <v>178</v>
      </c>
      <c r="C23" s="37">
        <f t="shared" ref="C23:J23" si="16">SUM(C20:C22)</f>
        <v>17288</v>
      </c>
      <c r="D23" s="37">
        <f t="shared" si="16"/>
        <v>49847</v>
      </c>
      <c r="E23" s="37">
        <f t="shared" si="16"/>
        <v>16872</v>
      </c>
      <c r="F23" s="37">
        <f t="shared" si="16"/>
        <v>85870</v>
      </c>
      <c r="G23" s="37">
        <f t="shared" si="16"/>
        <v>95320</v>
      </c>
      <c r="H23" s="37">
        <f t="shared" si="16"/>
        <v>123670</v>
      </c>
      <c r="I23" s="37">
        <f t="shared" si="16"/>
        <v>161470</v>
      </c>
      <c r="J23" s="37">
        <f t="shared" si="16"/>
        <v>199270</v>
      </c>
      <c r="L23" s="37">
        <f>SUM(L20:L22)</f>
        <v>3919</v>
      </c>
      <c r="M23" s="37">
        <f>SUM(M20:M22)</f>
        <v>9265</v>
      </c>
      <c r="N23" s="37">
        <f>SUM(N20:N22)</f>
        <v>169877</v>
      </c>
      <c r="O23" s="37">
        <f t="shared" ref="O23:Z23" si="17">SUM(O20:O22)</f>
        <v>579730</v>
      </c>
      <c r="P23" s="37">
        <f t="shared" si="17"/>
        <v>602980</v>
      </c>
      <c r="Q23" s="37">
        <f t="shared" si="17"/>
        <v>836844.71874999988</v>
      </c>
      <c r="R23" s="37">
        <f t="shared" si="17"/>
        <v>1094292.5416337501</v>
      </c>
      <c r="S23" s="37">
        <f t="shared" si="17"/>
        <v>1414922.2016508842</v>
      </c>
      <c r="T23" s="37">
        <f t="shared" si="17"/>
        <v>1752175.8454984128</v>
      </c>
      <c r="U23" s="37">
        <f t="shared" si="17"/>
        <v>2131813.6087877592</v>
      </c>
      <c r="V23" s="37">
        <f t="shared" si="17"/>
        <v>667301.71469082532</v>
      </c>
      <c r="W23" s="37">
        <f t="shared" si="17"/>
        <v>487453.48990162177</v>
      </c>
      <c r="X23" s="37">
        <f t="shared" si="17"/>
        <v>531657.80968850793</v>
      </c>
      <c r="Y23" s="37">
        <f t="shared" si="17"/>
        <v>577460.31837726955</v>
      </c>
      <c r="Z23" s="37">
        <f t="shared" si="17"/>
        <v>289196.88605470117</v>
      </c>
    </row>
    <row r="24" spans="2:93" s="31" customFormat="1" x14ac:dyDescent="0.2">
      <c r="B24" s="31" t="s">
        <v>181</v>
      </c>
      <c r="C24" s="33">
        <v>0</v>
      </c>
      <c r="D24" s="33">
        <v>0</v>
      </c>
      <c r="E24" s="33">
        <v>0</v>
      </c>
      <c r="F24" s="33">
        <v>0</v>
      </c>
      <c r="G24" s="33">
        <f>0.05*G8</f>
        <v>0.47249999999999998</v>
      </c>
      <c r="H24" s="33">
        <f>0.05*H8</f>
        <v>1.89</v>
      </c>
      <c r="I24" s="33">
        <f>0.05*I8</f>
        <v>3.78</v>
      </c>
      <c r="J24" s="33">
        <f>0.05*J8</f>
        <v>5.6700000000000008</v>
      </c>
      <c r="L24" s="38">
        <f>+L22*0.95</f>
        <v>0</v>
      </c>
      <c r="M24" s="38">
        <f t="shared" ref="M24" si="18">+M22*0.95</f>
        <v>0</v>
      </c>
      <c r="N24" s="38">
        <f>SUM(C24:F24)</f>
        <v>0</v>
      </c>
      <c r="O24" s="38">
        <f>SUM(G24:J24)</f>
        <v>11.8125</v>
      </c>
      <c r="P24" s="28">
        <f>0.05*P22</f>
        <v>29889</v>
      </c>
      <c r="Q24" s="28">
        <f t="shared" ref="Q24:Z24" si="19">0.05*Q22</f>
        <v>41582.235937499994</v>
      </c>
      <c r="R24" s="28">
        <f t="shared" si="19"/>
        <v>54454.627081687504</v>
      </c>
      <c r="S24" s="28">
        <f t="shared" si="19"/>
        <v>70486.110082544212</v>
      </c>
      <c r="T24" s="28">
        <f t="shared" si="19"/>
        <v>87348.792274920648</v>
      </c>
      <c r="U24" s="28">
        <f t="shared" si="19"/>
        <v>106330.68043938797</v>
      </c>
      <c r="V24" s="28">
        <f t="shared" si="19"/>
        <v>33105.085734541266</v>
      </c>
      <c r="W24" s="28">
        <f t="shared" si="19"/>
        <v>24112.67449508109</v>
      </c>
      <c r="X24" s="28">
        <f t="shared" si="19"/>
        <v>26322.890484425399</v>
      </c>
      <c r="Y24" s="28">
        <f t="shared" si="19"/>
        <v>28613.015918863479</v>
      </c>
      <c r="Z24" s="28">
        <f t="shared" si="19"/>
        <v>14199.844302735059</v>
      </c>
    </row>
    <row r="25" spans="2:93" s="31" customFormat="1" x14ac:dyDescent="0.2">
      <c r="B25" s="31" t="s">
        <v>182</v>
      </c>
      <c r="C25" s="33">
        <v>31439</v>
      </c>
      <c r="D25" s="33">
        <v>28883</v>
      </c>
      <c r="E25" s="33">
        <v>30609</v>
      </c>
      <c r="F25" s="38">
        <v>32774</v>
      </c>
      <c r="G25" s="38">
        <f>F25*1.02</f>
        <v>33429.480000000003</v>
      </c>
      <c r="H25" s="38">
        <f>G25*1.02</f>
        <v>34098.069600000003</v>
      </c>
      <c r="I25" s="38">
        <f>H25*1.02</f>
        <v>34780.030992</v>
      </c>
      <c r="J25" s="38">
        <f>I25*1.02</f>
        <v>35475.631611839999</v>
      </c>
      <c r="L25" s="38">
        <v>146362</v>
      </c>
      <c r="M25" s="38">
        <v>119442</v>
      </c>
      <c r="N25" s="38">
        <f>SUM(C25:F25)</f>
        <v>123705</v>
      </c>
      <c r="O25" s="38">
        <f>SUM(G25:J25)</f>
        <v>137783.21220384</v>
      </c>
      <c r="P25" s="28">
        <f>O25</f>
        <v>137783.21220384</v>
      </c>
      <c r="Q25" s="28">
        <f>P25</f>
        <v>137783.21220384</v>
      </c>
      <c r="R25" s="28">
        <f>P25</f>
        <v>137783.21220384</v>
      </c>
      <c r="S25" s="28">
        <f>R25</f>
        <v>137783.21220384</v>
      </c>
      <c r="T25" s="28">
        <f>S25</f>
        <v>137783.21220384</v>
      </c>
      <c r="U25" s="28">
        <f>T25</f>
        <v>137783.21220384</v>
      </c>
      <c r="V25" s="28">
        <f>U25*0.5</f>
        <v>68891.606101919999</v>
      </c>
      <c r="W25" s="28">
        <f>V25</f>
        <v>68891.606101919999</v>
      </c>
      <c r="X25" s="28">
        <f>W25</f>
        <v>68891.606101919999</v>
      </c>
      <c r="Y25" s="28">
        <f>X25</f>
        <v>68891.606101919999</v>
      </c>
    </row>
    <row r="26" spans="2:93" s="31" customFormat="1" x14ac:dyDescent="0.2">
      <c r="B26" s="31" t="s">
        <v>183</v>
      </c>
      <c r="C26" s="33">
        <v>5794</v>
      </c>
      <c r="D26" s="33">
        <v>7485</v>
      </c>
      <c r="E26" s="33">
        <v>8458</v>
      </c>
      <c r="F26" s="33">
        <v>10765</v>
      </c>
      <c r="G26" s="33">
        <f>F26*1.07</f>
        <v>11518.550000000001</v>
      </c>
      <c r="H26" s="33">
        <f>G26*1.07</f>
        <v>12324.848500000002</v>
      </c>
      <c r="I26" s="33">
        <f>H26*1.07</f>
        <v>13187.587895000002</v>
      </c>
      <c r="J26" s="33">
        <f>I26*1.07</f>
        <v>14110.719047650004</v>
      </c>
      <c r="L26" s="38">
        <v>17073</v>
      </c>
      <c r="M26" s="38">
        <v>27580</v>
      </c>
      <c r="N26" s="38">
        <f>SUM(C26:F26)</f>
        <v>32502</v>
      </c>
      <c r="O26" s="38">
        <f>SUM(G26:J26)</f>
        <v>51141.705442650011</v>
      </c>
      <c r="P26" s="28">
        <f t="shared" ref="P26:U26" si="20">O26*1.03</f>
        <v>52675.95660592951</v>
      </c>
      <c r="Q26" s="28">
        <f t="shared" si="20"/>
        <v>54256.235304107395</v>
      </c>
      <c r="R26" s="28">
        <f t="shared" si="20"/>
        <v>55883.922363230617</v>
      </c>
      <c r="S26" s="28">
        <f t="shared" si="20"/>
        <v>57560.44003412754</v>
      </c>
      <c r="T26" s="28">
        <f t="shared" si="20"/>
        <v>59287.253235151366</v>
      </c>
      <c r="U26" s="28">
        <f t="shared" si="20"/>
        <v>61065.87083220591</v>
      </c>
      <c r="V26" s="28">
        <f>U26*0.5</f>
        <v>30532.935416102955</v>
      </c>
      <c r="W26" s="28">
        <f>V26*0.9</f>
        <v>27479.64187449266</v>
      </c>
      <c r="X26" s="28">
        <f>W26*0.9</f>
        <v>24731.677687043393</v>
      </c>
      <c r="Y26" s="28">
        <f>X26*0.9</f>
        <v>22258.509918339056</v>
      </c>
      <c r="Z26" s="28">
        <f>Y26*0.9</f>
        <v>20032.658926505152</v>
      </c>
    </row>
    <row r="27" spans="2:93" s="31" customFormat="1" x14ac:dyDescent="0.2">
      <c r="B27" s="31" t="s">
        <v>184</v>
      </c>
      <c r="C27" s="33">
        <f t="shared" ref="C27:J27" si="21">SUM(C24:C26)</f>
        <v>37233</v>
      </c>
      <c r="D27" s="33">
        <f t="shared" si="21"/>
        <v>36368</v>
      </c>
      <c r="E27" s="33">
        <f t="shared" si="21"/>
        <v>39067</v>
      </c>
      <c r="F27" s="33">
        <f t="shared" si="21"/>
        <v>43539</v>
      </c>
      <c r="G27" s="33">
        <f t="shared" si="21"/>
        <v>44948.50250000001</v>
      </c>
      <c r="H27" s="33">
        <f t="shared" si="21"/>
        <v>46424.808100000002</v>
      </c>
      <c r="I27" s="33">
        <f t="shared" si="21"/>
        <v>47971.398887000003</v>
      </c>
      <c r="J27" s="33">
        <f t="shared" si="21"/>
        <v>49592.020659490001</v>
      </c>
      <c r="L27" s="38">
        <f t="shared" ref="L27:Z27" si="22">SUM(L24:L26)</f>
        <v>163435</v>
      </c>
      <c r="M27" s="38">
        <f t="shared" si="22"/>
        <v>147022</v>
      </c>
      <c r="N27" s="38">
        <f t="shared" si="22"/>
        <v>156207</v>
      </c>
      <c r="O27" s="38">
        <f t="shared" si="22"/>
        <v>188936.73014649001</v>
      </c>
      <c r="P27" s="38">
        <f t="shared" si="22"/>
        <v>220348.1688097695</v>
      </c>
      <c r="Q27" s="38">
        <f t="shared" si="22"/>
        <v>233621.68344544739</v>
      </c>
      <c r="R27" s="38">
        <f t="shared" si="22"/>
        <v>248121.76164875811</v>
      </c>
      <c r="S27" s="38">
        <f t="shared" si="22"/>
        <v>265829.76232051174</v>
      </c>
      <c r="T27" s="38">
        <f t="shared" si="22"/>
        <v>284419.257713912</v>
      </c>
      <c r="U27" s="38">
        <f t="shared" si="22"/>
        <v>305179.76347543387</v>
      </c>
      <c r="V27" s="38">
        <f t="shared" si="22"/>
        <v>132529.62725256421</v>
      </c>
      <c r="W27" s="38">
        <f t="shared" si="22"/>
        <v>120483.92247149374</v>
      </c>
      <c r="X27" s="38">
        <f t="shared" si="22"/>
        <v>119946.17427338879</v>
      </c>
      <c r="Y27" s="38">
        <f t="shared" si="22"/>
        <v>119763.13193912254</v>
      </c>
      <c r="Z27" s="38">
        <f t="shared" si="22"/>
        <v>34232.50322924021</v>
      </c>
    </row>
    <row r="28" spans="2:93" s="31" customFormat="1" x14ac:dyDescent="0.2">
      <c r="B28" s="31" t="s">
        <v>146</v>
      </c>
      <c r="C28" s="33">
        <f t="shared" ref="C28:J28" si="23">C23-C27</f>
        <v>-19945</v>
      </c>
      <c r="D28" s="33">
        <f t="shared" si="23"/>
        <v>13479</v>
      </c>
      <c r="E28" s="33">
        <f t="shared" si="23"/>
        <v>-22195</v>
      </c>
      <c r="F28" s="33">
        <f t="shared" si="23"/>
        <v>42331</v>
      </c>
      <c r="G28" s="33">
        <f t="shared" si="23"/>
        <v>50371.49749999999</v>
      </c>
      <c r="H28" s="33">
        <f t="shared" si="23"/>
        <v>77245.191900000005</v>
      </c>
      <c r="I28" s="33">
        <f t="shared" si="23"/>
        <v>113498.601113</v>
      </c>
      <c r="J28" s="33">
        <f t="shared" si="23"/>
        <v>149677.97934051001</v>
      </c>
      <c r="L28" s="38">
        <f>L23-L27</f>
        <v>-159516</v>
      </c>
      <c r="M28" s="38">
        <f>M23-M27</f>
        <v>-137757</v>
      </c>
      <c r="N28" s="38">
        <f>N23-N27</f>
        <v>13670</v>
      </c>
      <c r="O28" s="38">
        <f>O23-O27</f>
        <v>390793.26985350996</v>
      </c>
      <c r="P28" s="38">
        <f t="shared" ref="P28:Z28" si="24">P23-P27</f>
        <v>382631.8311902305</v>
      </c>
      <c r="Q28" s="38">
        <f t="shared" si="24"/>
        <v>603223.03530455253</v>
      </c>
      <c r="R28" s="38">
        <f t="shared" si="24"/>
        <v>846170.779984992</v>
      </c>
      <c r="S28" s="38">
        <f t="shared" si="24"/>
        <v>1149092.4393303725</v>
      </c>
      <c r="T28" s="38">
        <f t="shared" si="24"/>
        <v>1467756.5877845008</v>
      </c>
      <c r="U28" s="38">
        <f t="shared" si="24"/>
        <v>1826633.8453123253</v>
      </c>
      <c r="V28" s="38">
        <f t="shared" si="24"/>
        <v>534772.08743826114</v>
      </c>
      <c r="W28" s="38">
        <f t="shared" si="24"/>
        <v>366969.56743012799</v>
      </c>
      <c r="X28" s="38">
        <f t="shared" si="24"/>
        <v>411711.63541511912</v>
      </c>
      <c r="Y28" s="38">
        <f t="shared" si="24"/>
        <v>457697.18643814698</v>
      </c>
      <c r="Z28" s="38">
        <f t="shared" si="24"/>
        <v>254964.38282546095</v>
      </c>
    </row>
    <row r="29" spans="2:93" x14ac:dyDescent="0.2">
      <c r="B29" s="31" t="s">
        <v>185</v>
      </c>
      <c r="C29" s="33">
        <f>115+195-11779-3988</f>
        <v>-15457</v>
      </c>
      <c r="D29" s="33">
        <f>145+142-10391</f>
        <v>-10104</v>
      </c>
      <c r="E29" s="33">
        <f>139+212-10515</f>
        <v>-10164</v>
      </c>
      <c r="F29" s="38">
        <f>-19+867-10637</f>
        <v>-9789</v>
      </c>
      <c r="G29" s="38">
        <f>F29</f>
        <v>-9789</v>
      </c>
      <c r="H29" s="38">
        <f>G29</f>
        <v>-9789</v>
      </c>
      <c r="I29" s="38">
        <f>H29</f>
        <v>-9789</v>
      </c>
      <c r="J29" s="38">
        <f>I29</f>
        <v>-9789</v>
      </c>
      <c r="K29" s="31"/>
      <c r="L29" s="33">
        <f>227+5306-24937</f>
        <v>-19404</v>
      </c>
      <c r="M29" s="38">
        <f>-2011+50-32125-34300-5727</f>
        <v>-74113</v>
      </c>
      <c r="N29" s="33">
        <f>SUM(C29:F29)</f>
        <v>-45514</v>
      </c>
      <c r="O29" s="38">
        <f>SUM(G29:J29)</f>
        <v>-39156</v>
      </c>
      <c r="P29" s="9">
        <f>O29</f>
        <v>-39156</v>
      </c>
      <c r="Q29" s="9">
        <f>P29</f>
        <v>-39156</v>
      </c>
      <c r="R29" s="9"/>
      <c r="S29" s="9"/>
      <c r="T29" s="9"/>
      <c r="U29" s="9"/>
      <c r="V29" s="9"/>
      <c r="W29" s="9"/>
      <c r="X29" s="9"/>
    </row>
    <row r="30" spans="2:93" x14ac:dyDescent="0.2">
      <c r="B30" s="31" t="s">
        <v>147</v>
      </c>
      <c r="C30" s="33">
        <f t="shared" ref="C30:J30" si="25">C28+C29</f>
        <v>-35402</v>
      </c>
      <c r="D30" s="33">
        <f t="shared" si="25"/>
        <v>3375</v>
      </c>
      <c r="E30" s="33">
        <f t="shared" si="25"/>
        <v>-32359</v>
      </c>
      <c r="F30" s="33">
        <f t="shared" si="25"/>
        <v>32542</v>
      </c>
      <c r="G30" s="33">
        <f t="shared" si="25"/>
        <v>40582.49749999999</v>
      </c>
      <c r="H30" s="33">
        <f t="shared" si="25"/>
        <v>67456.191900000005</v>
      </c>
      <c r="I30" s="33">
        <f t="shared" si="25"/>
        <v>103709.601113</v>
      </c>
      <c r="J30" s="33">
        <f t="shared" si="25"/>
        <v>139888.97934051001</v>
      </c>
      <c r="K30" s="31"/>
      <c r="L30" s="38">
        <f>L28+L29</f>
        <v>-178920</v>
      </c>
      <c r="M30" s="38">
        <f>M28+M29</f>
        <v>-211870</v>
      </c>
      <c r="N30" s="38">
        <f>N28+N29</f>
        <v>-31844</v>
      </c>
      <c r="O30" s="38">
        <f>O28+O29</f>
        <v>351637.26985350996</v>
      </c>
      <c r="P30" s="38">
        <f t="shared" ref="P30:Z30" si="26">P28+P29</f>
        <v>343475.8311902305</v>
      </c>
      <c r="Q30" s="38">
        <f t="shared" si="26"/>
        <v>564067.03530455253</v>
      </c>
      <c r="R30" s="38">
        <f t="shared" si="26"/>
        <v>846170.779984992</v>
      </c>
      <c r="S30" s="38">
        <f t="shared" si="26"/>
        <v>1149092.4393303725</v>
      </c>
      <c r="T30" s="38">
        <f t="shared" si="26"/>
        <v>1467756.5877845008</v>
      </c>
      <c r="U30" s="38">
        <f t="shared" si="26"/>
        <v>1826633.8453123253</v>
      </c>
      <c r="V30" s="38">
        <f t="shared" si="26"/>
        <v>534772.08743826114</v>
      </c>
      <c r="W30" s="38">
        <f t="shared" si="26"/>
        <v>366969.56743012799</v>
      </c>
      <c r="X30" s="38">
        <f t="shared" si="26"/>
        <v>411711.63541511912</v>
      </c>
      <c r="Y30" s="38">
        <f t="shared" si="26"/>
        <v>457697.18643814698</v>
      </c>
      <c r="Z30" s="38">
        <f t="shared" si="26"/>
        <v>254964.38282546095</v>
      </c>
    </row>
    <row r="31" spans="2:93" x14ac:dyDescent="0.2">
      <c r="B31" s="31" t="s">
        <v>188</v>
      </c>
      <c r="C31" s="33">
        <v>327</v>
      </c>
      <c r="D31" s="33">
        <v>331</v>
      </c>
      <c r="E31" s="33">
        <v>-658</v>
      </c>
      <c r="F31" s="33">
        <v>0</v>
      </c>
      <c r="G31" s="33">
        <v>0</v>
      </c>
      <c r="H31" s="38">
        <f>H30*0.35</f>
        <v>23609.667164999999</v>
      </c>
      <c r="I31" s="33">
        <f>I30*0.35</f>
        <v>36298.360389549998</v>
      </c>
      <c r="J31" s="33">
        <f>J30*0.35</f>
        <v>48961.142769178499</v>
      </c>
      <c r="K31" s="31"/>
      <c r="L31" s="38">
        <v>0</v>
      </c>
      <c r="M31" s="38">
        <v>0</v>
      </c>
      <c r="N31" s="38">
        <f>SUM(C31:F31)</f>
        <v>0</v>
      </c>
      <c r="O31" s="38">
        <f>SUM(G31:J31)</f>
        <v>108869.1703237285</v>
      </c>
      <c r="P31" s="28">
        <f>0.35*P30</f>
        <v>120216.54091658066</v>
      </c>
      <c r="Q31" s="28">
        <f t="shared" ref="Q31:Z31" si="27">0.35*Q30</f>
        <v>197423.46235659337</v>
      </c>
      <c r="R31" s="28">
        <f t="shared" si="27"/>
        <v>296159.77299474715</v>
      </c>
      <c r="S31" s="28">
        <f t="shared" si="27"/>
        <v>402182.35376563034</v>
      </c>
      <c r="T31" s="28">
        <f t="shared" si="27"/>
        <v>513714.80572457524</v>
      </c>
      <c r="U31" s="28">
        <f t="shared" si="27"/>
        <v>639321.84585931385</v>
      </c>
      <c r="V31" s="28">
        <f t="shared" si="27"/>
        <v>187170.23060339139</v>
      </c>
      <c r="W31" s="28">
        <f t="shared" si="27"/>
        <v>128439.34860054479</v>
      </c>
      <c r="X31" s="28">
        <f t="shared" si="27"/>
        <v>144099.07239529167</v>
      </c>
      <c r="Y31" s="28">
        <f t="shared" si="27"/>
        <v>160194.01525335142</v>
      </c>
      <c r="Z31" s="28">
        <f t="shared" si="27"/>
        <v>89237.533988911324</v>
      </c>
    </row>
    <row r="32" spans="2:93" s="8" customFormat="1" x14ac:dyDescent="0.2">
      <c r="B32" s="8" t="s">
        <v>20</v>
      </c>
      <c r="C32" s="33">
        <f t="shared" ref="C32:J32" si="28">C30-C31</f>
        <v>-35729</v>
      </c>
      <c r="D32" s="33">
        <f t="shared" si="28"/>
        <v>3044</v>
      </c>
      <c r="E32" s="33">
        <f t="shared" si="28"/>
        <v>-31701</v>
      </c>
      <c r="F32" s="33">
        <f t="shared" si="28"/>
        <v>32542</v>
      </c>
      <c r="G32" s="33">
        <f t="shared" si="28"/>
        <v>40582.49749999999</v>
      </c>
      <c r="H32" s="33">
        <f t="shared" si="28"/>
        <v>43846.524735000006</v>
      </c>
      <c r="I32" s="33">
        <f t="shared" si="28"/>
        <v>67411.240723449999</v>
      </c>
      <c r="J32" s="33">
        <f t="shared" si="28"/>
        <v>90927.836571331514</v>
      </c>
      <c r="L32" s="37">
        <f>L30-L31</f>
        <v>-178920</v>
      </c>
      <c r="M32" s="37">
        <f>M30-M31</f>
        <v>-211870</v>
      </c>
      <c r="N32" s="37">
        <f>N30-N31</f>
        <v>-31844</v>
      </c>
      <c r="O32" s="38">
        <f>O30-O31</f>
        <v>242768.09952978147</v>
      </c>
      <c r="P32" s="38">
        <f t="shared" ref="P32:Z32" si="29">P30-P31</f>
        <v>223259.29027364985</v>
      </c>
      <c r="Q32" s="38">
        <f t="shared" si="29"/>
        <v>366643.57294795918</v>
      </c>
      <c r="R32" s="38">
        <f t="shared" si="29"/>
        <v>550011.00699024484</v>
      </c>
      <c r="S32" s="38">
        <f t="shared" si="29"/>
        <v>746910.0855647421</v>
      </c>
      <c r="T32" s="38">
        <f t="shared" si="29"/>
        <v>954041.78205992561</v>
      </c>
      <c r="U32" s="38">
        <f t="shared" si="29"/>
        <v>1187311.9994530114</v>
      </c>
      <c r="V32" s="38">
        <f t="shared" si="29"/>
        <v>347601.85683486972</v>
      </c>
      <c r="W32" s="38">
        <f t="shared" si="29"/>
        <v>238530.2188295832</v>
      </c>
      <c r="X32" s="38">
        <f t="shared" si="29"/>
        <v>267612.56301982747</v>
      </c>
      <c r="Y32" s="38">
        <f t="shared" si="29"/>
        <v>297503.17118479556</v>
      </c>
      <c r="Z32" s="38">
        <f t="shared" si="29"/>
        <v>165726.84883654962</v>
      </c>
      <c r="AA32" s="10">
        <f t="shared" ref="AA32:BF32" si="30">Z32*(1+$AC$36)</f>
        <v>157440.50639472212</v>
      </c>
      <c r="AB32" s="10">
        <f t="shared" si="30"/>
        <v>149568.48107498602</v>
      </c>
      <c r="AC32" s="10">
        <f t="shared" si="30"/>
        <v>142090.05702123672</v>
      </c>
      <c r="AD32" s="10">
        <f t="shared" si="30"/>
        <v>134985.55417017487</v>
      </c>
      <c r="AE32" s="10">
        <f t="shared" si="30"/>
        <v>128236.27646166613</v>
      </c>
      <c r="AF32" s="10">
        <f t="shared" si="30"/>
        <v>121824.46263858282</v>
      </c>
      <c r="AG32" s="10">
        <f t="shared" si="30"/>
        <v>115733.23950665367</v>
      </c>
      <c r="AH32" s="10">
        <f t="shared" si="30"/>
        <v>109946.57753132097</v>
      </c>
      <c r="AI32" s="10">
        <f t="shared" si="30"/>
        <v>104449.24865475492</v>
      </c>
      <c r="AJ32" s="10">
        <f t="shared" si="30"/>
        <v>99226.786222017166</v>
      </c>
      <c r="AK32" s="10">
        <f t="shared" si="30"/>
        <v>94265.446910916304</v>
      </c>
      <c r="AL32" s="10">
        <f t="shared" si="30"/>
        <v>89552.174565370486</v>
      </c>
      <c r="AM32" s="10">
        <f t="shared" si="30"/>
        <v>85074.565837101953</v>
      </c>
      <c r="AN32" s="10">
        <f t="shared" si="30"/>
        <v>80820.837545246846</v>
      </c>
      <c r="AO32" s="10">
        <f t="shared" si="30"/>
        <v>76779.795667984494</v>
      </c>
      <c r="AP32" s="10">
        <f t="shared" si="30"/>
        <v>72940.805884585265</v>
      </c>
      <c r="AQ32" s="10">
        <f t="shared" si="30"/>
        <v>69293.765590355993</v>
      </c>
      <c r="AR32" s="10">
        <f t="shared" si="30"/>
        <v>65829.077310838184</v>
      </c>
      <c r="AS32" s="10">
        <f t="shared" si="30"/>
        <v>62537.623445296274</v>
      </c>
      <c r="AT32" s="10">
        <f t="shared" si="30"/>
        <v>59410.742273031457</v>
      </c>
      <c r="AU32" s="10">
        <f t="shared" si="30"/>
        <v>56440.205159379882</v>
      </c>
      <c r="AV32" s="10">
        <f t="shared" si="30"/>
        <v>53618.194901410883</v>
      </c>
      <c r="AW32" s="10">
        <f t="shared" si="30"/>
        <v>50937.285156340338</v>
      </c>
      <c r="AX32" s="10">
        <f t="shared" si="30"/>
        <v>48390.42089852332</v>
      </c>
      <c r="AY32" s="10">
        <f t="shared" si="30"/>
        <v>45970.899853597155</v>
      </c>
      <c r="AZ32" s="10">
        <f t="shared" si="30"/>
        <v>43672.354860917294</v>
      </c>
      <c r="BA32" s="10">
        <f t="shared" si="30"/>
        <v>41488.737117871424</v>
      </c>
      <c r="BB32" s="10">
        <f t="shared" si="30"/>
        <v>39414.300261977849</v>
      </c>
      <c r="BC32" s="10">
        <f t="shared" si="30"/>
        <v>37443.585248878953</v>
      </c>
      <c r="BD32" s="10">
        <f t="shared" si="30"/>
        <v>35571.405986435006</v>
      </c>
      <c r="BE32" s="10">
        <f t="shared" si="30"/>
        <v>33792.835687113256</v>
      </c>
      <c r="BF32" s="10">
        <f t="shared" si="30"/>
        <v>32103.193902757594</v>
      </c>
      <c r="BG32" s="10">
        <f t="shared" ref="BG32:CO32" si="31">BF32*(1+$AC$36)</f>
        <v>30498.034207619712</v>
      </c>
      <c r="BH32" s="10">
        <f t="shared" si="31"/>
        <v>28973.132497238727</v>
      </c>
      <c r="BI32" s="10">
        <f t="shared" si="31"/>
        <v>27524.475872376788</v>
      </c>
      <c r="BJ32" s="10">
        <f t="shared" si="31"/>
        <v>26148.252078757949</v>
      </c>
      <c r="BK32" s="10">
        <f t="shared" si="31"/>
        <v>24840.839474820052</v>
      </c>
      <c r="BL32" s="10">
        <f t="shared" si="31"/>
        <v>23598.797501079047</v>
      </c>
      <c r="BM32" s="10">
        <f t="shared" si="31"/>
        <v>22418.857626025092</v>
      </c>
      <c r="BN32" s="10">
        <f t="shared" si="31"/>
        <v>21297.914744723836</v>
      </c>
      <c r="BO32" s="10">
        <f t="shared" si="31"/>
        <v>20233.019007487645</v>
      </c>
      <c r="BP32" s="10">
        <f t="shared" si="31"/>
        <v>19221.368057113261</v>
      </c>
      <c r="BQ32" s="10">
        <f t="shared" si="31"/>
        <v>18260.299654257597</v>
      </c>
      <c r="BR32" s="10">
        <f t="shared" si="31"/>
        <v>17347.284671544716</v>
      </c>
      <c r="BS32" s="10">
        <f t="shared" si="31"/>
        <v>16479.920437967477</v>
      </c>
      <c r="BT32" s="10">
        <f t="shared" si="31"/>
        <v>15655.924416069103</v>
      </c>
      <c r="BU32" s="10">
        <f t="shared" si="31"/>
        <v>14873.128195265648</v>
      </c>
      <c r="BV32" s="10">
        <f t="shared" si="31"/>
        <v>14129.471785502365</v>
      </c>
      <c r="BW32" s="10">
        <f t="shared" si="31"/>
        <v>13422.998196227245</v>
      </c>
      <c r="BX32" s="10">
        <f t="shared" si="31"/>
        <v>12751.848286415881</v>
      </c>
      <c r="BY32" s="10">
        <f t="shared" si="31"/>
        <v>12114.255872095087</v>
      </c>
      <c r="BZ32" s="10">
        <f t="shared" si="31"/>
        <v>11508.543078490333</v>
      </c>
      <c r="CA32" s="10">
        <f t="shared" si="31"/>
        <v>10933.115924565816</v>
      </c>
      <c r="CB32" s="10">
        <f t="shared" si="31"/>
        <v>10386.460128337525</v>
      </c>
      <c r="CC32" s="10">
        <f t="shared" si="31"/>
        <v>9867.1371219206485</v>
      </c>
      <c r="CD32" s="10">
        <f t="shared" si="31"/>
        <v>9373.7802658246164</v>
      </c>
      <c r="CE32" s="10">
        <f t="shared" si="31"/>
        <v>8905.0912525333861</v>
      </c>
      <c r="CF32" s="10">
        <f t="shared" si="31"/>
        <v>8459.8366899067169</v>
      </c>
      <c r="CG32" s="10">
        <f t="shared" si="31"/>
        <v>8036.8448554113802</v>
      </c>
      <c r="CH32" s="10">
        <f t="shared" si="31"/>
        <v>7635.0026126408111</v>
      </c>
      <c r="CI32" s="10">
        <f t="shared" si="31"/>
        <v>7253.2524820087701</v>
      </c>
      <c r="CJ32" s="10">
        <f t="shared" si="31"/>
        <v>6890.5898579083314</v>
      </c>
      <c r="CK32" s="10">
        <f t="shared" si="31"/>
        <v>6546.0603650129142</v>
      </c>
      <c r="CL32" s="10">
        <f t="shared" si="31"/>
        <v>6218.7573467622678</v>
      </c>
      <c r="CM32" s="10">
        <f t="shared" si="31"/>
        <v>5907.8194794241545</v>
      </c>
      <c r="CN32" s="10">
        <f t="shared" si="31"/>
        <v>5612.4285054529464</v>
      </c>
      <c r="CO32" s="10">
        <f t="shared" si="31"/>
        <v>5331.8070801802987</v>
      </c>
    </row>
    <row r="33" spans="2:29" x14ac:dyDescent="0.2">
      <c r="B33" s="31" t="s">
        <v>187</v>
      </c>
      <c r="C33" s="34">
        <f t="shared" ref="C33:J33" si="32">C32/C34</f>
        <v>-0.2984205734713139</v>
      </c>
      <c r="D33" s="34">
        <f t="shared" si="32"/>
        <v>2.3727307449470346E-2</v>
      </c>
      <c r="E33" s="34">
        <f t="shared" si="32"/>
        <v>-0.25944233932678062</v>
      </c>
      <c r="F33" s="34">
        <f t="shared" si="32"/>
        <v>0.26464225883577575</v>
      </c>
      <c r="G33" s="34">
        <f t="shared" si="32"/>
        <v>0.32838829048162238</v>
      </c>
      <c r="H33" s="34">
        <f t="shared" si="32"/>
        <v>0.34007360470255538</v>
      </c>
      <c r="I33" s="34">
        <f t="shared" si="32"/>
        <v>0.52024031820667782</v>
      </c>
      <c r="J33" s="34">
        <f t="shared" si="32"/>
        <v>0.69823639526523618</v>
      </c>
      <c r="K33" s="31"/>
      <c r="L33" s="39">
        <f>L32/L34</f>
        <v>-1.9927604833769561</v>
      </c>
      <c r="M33" s="39">
        <f>M32/M34</f>
        <v>-2.0581292559960365</v>
      </c>
      <c r="N33" s="39">
        <f>N32/N34</f>
        <v>-0.26181471371723614</v>
      </c>
      <c r="O33" s="39">
        <f>O32/O34</f>
        <v>1.8954581267386112</v>
      </c>
      <c r="P33" s="39">
        <f t="shared" ref="P33:Z33" si="33">P32/P34</f>
        <v>1.7258805808683171</v>
      </c>
      <c r="Q33" s="39">
        <f t="shared" si="33"/>
        <v>2.8201955118520168</v>
      </c>
      <c r="R33" s="39">
        <f t="shared" si="33"/>
        <v>4.2306443855304208</v>
      </c>
      <c r="S33" s="39">
        <f t="shared" si="33"/>
        <v>5.7451776779561206</v>
      </c>
      <c r="T33" s="39">
        <f t="shared" si="33"/>
        <v>7.3384195180385712</v>
      </c>
      <c r="U33" s="39">
        <f t="shared" si="33"/>
        <v>9.1327169466044378</v>
      </c>
      <c r="V33" s="39">
        <f t="shared" si="33"/>
        <v>2.6737280260365286</v>
      </c>
      <c r="W33" s="39">
        <f t="shared" si="33"/>
        <v>1.8347569743974546</v>
      </c>
      <c r="X33" s="39">
        <f t="shared" si="33"/>
        <v>2.0584562360536895</v>
      </c>
      <c r="Y33" s="39">
        <f t="shared" si="33"/>
        <v>2.2883726050100202</v>
      </c>
      <c r="Z33" s="39">
        <f t="shared" si="33"/>
        <v>1.2747587841899914</v>
      </c>
    </row>
    <row r="34" spans="2:29" x14ac:dyDescent="0.2">
      <c r="B34" s="31" t="s">
        <v>186</v>
      </c>
      <c r="C34" s="33">
        <v>119727</v>
      </c>
      <c r="D34" s="33">
        <v>128291</v>
      </c>
      <c r="E34" s="33">
        <v>122189</v>
      </c>
      <c r="F34" s="33">
        <v>122966</v>
      </c>
      <c r="G34" s="33">
        <f>F34*1.005</f>
        <v>123580.82999999999</v>
      </c>
      <c r="H34" s="33">
        <f>D34*1.005</f>
        <v>128932.45499999999</v>
      </c>
      <c r="I34" s="33">
        <f>H34*1.005</f>
        <v>129577.11727499997</v>
      </c>
      <c r="J34" s="33">
        <f>I34*1.005</f>
        <v>130225.00286137496</v>
      </c>
      <c r="L34" s="38">
        <v>89785</v>
      </c>
      <c r="M34" s="38">
        <v>102943</v>
      </c>
      <c r="N34" s="38">
        <v>121628</v>
      </c>
      <c r="O34" s="38">
        <f>AVERAGE(G34:J34)</f>
        <v>128078.85128409372</v>
      </c>
      <c r="P34" s="38">
        <f>O34*1.01</f>
        <v>129359.63979693466</v>
      </c>
      <c r="Q34" s="38">
        <f>P34*1.005</f>
        <v>130006.43799591932</v>
      </c>
      <c r="R34" s="38">
        <f t="shared" ref="R34:Z34" si="34">Q34</f>
        <v>130006.43799591932</v>
      </c>
      <c r="S34" s="38">
        <f t="shared" si="34"/>
        <v>130006.43799591932</v>
      </c>
      <c r="T34" s="38">
        <f t="shared" si="34"/>
        <v>130006.43799591932</v>
      </c>
      <c r="U34" s="38">
        <f t="shared" si="34"/>
        <v>130006.43799591932</v>
      </c>
      <c r="V34" s="38">
        <f t="shared" si="34"/>
        <v>130006.43799591932</v>
      </c>
      <c r="W34" s="38">
        <f t="shared" si="34"/>
        <v>130006.43799591932</v>
      </c>
      <c r="X34" s="38">
        <f t="shared" si="34"/>
        <v>130006.43799591932</v>
      </c>
      <c r="Y34" s="38">
        <f t="shared" si="34"/>
        <v>130006.43799591932</v>
      </c>
      <c r="Z34" s="38">
        <f t="shared" si="34"/>
        <v>130006.43799591932</v>
      </c>
    </row>
    <row r="35" spans="2:29" x14ac:dyDescent="0.2">
      <c r="B35" s="31"/>
    </row>
    <row r="36" spans="2:29" x14ac:dyDescent="0.2">
      <c r="B36" t="s">
        <v>156</v>
      </c>
      <c r="C36" s="33">
        <v>404746</v>
      </c>
      <c r="D36" s="33">
        <v>414088</v>
      </c>
      <c r="E36" s="33">
        <v>388804</v>
      </c>
      <c r="F36" s="33">
        <v>424168</v>
      </c>
      <c r="G36" s="33"/>
      <c r="H36" s="33"/>
      <c r="I36" s="33"/>
      <c r="J36" s="33"/>
      <c r="L36" s="33">
        <v>178767</v>
      </c>
      <c r="M36" s="33">
        <v>449824</v>
      </c>
      <c r="N36" s="33">
        <f t="shared" ref="N36:N46" si="35">F36</f>
        <v>424168</v>
      </c>
      <c r="AB36" s="31" t="s">
        <v>148</v>
      </c>
      <c r="AC36" s="26">
        <v>-0.05</v>
      </c>
    </row>
    <row r="37" spans="2:29" x14ac:dyDescent="0.2">
      <c r="B37" t="s">
        <v>157</v>
      </c>
      <c r="C37" s="33">
        <v>17494</v>
      </c>
      <c r="D37" s="33">
        <v>8102</v>
      </c>
      <c r="E37" s="33">
        <v>6781</v>
      </c>
      <c r="F37" s="33"/>
      <c r="G37" s="33"/>
      <c r="H37" s="33"/>
      <c r="I37" s="33"/>
      <c r="J37" s="33"/>
      <c r="L37" s="33">
        <v>19257</v>
      </c>
      <c r="M37" s="33">
        <v>20594</v>
      </c>
      <c r="N37" s="33">
        <f t="shared" si="35"/>
        <v>0</v>
      </c>
      <c r="AB37" s="31" t="s">
        <v>149</v>
      </c>
      <c r="AC37" s="26">
        <v>0.15</v>
      </c>
    </row>
    <row r="38" spans="2:29" x14ac:dyDescent="0.2">
      <c r="B38" t="s">
        <v>158</v>
      </c>
      <c r="C38" s="33">
        <v>19045</v>
      </c>
      <c r="D38" s="33">
        <v>18980</v>
      </c>
      <c r="E38" s="33">
        <v>18993</v>
      </c>
      <c r="F38" s="33"/>
      <c r="G38" s="33"/>
      <c r="H38" s="33"/>
      <c r="I38" s="33"/>
      <c r="J38" s="33"/>
      <c r="L38" s="33">
        <v>0</v>
      </c>
      <c r="M38" s="33">
        <v>19032</v>
      </c>
      <c r="N38" s="33">
        <f t="shared" si="35"/>
        <v>0</v>
      </c>
      <c r="AB38" s="31" t="s">
        <v>68</v>
      </c>
      <c r="AC38" s="9">
        <f>NPV(AC37,O32:CO32)</f>
        <v>2655264.7103621415</v>
      </c>
    </row>
    <row r="39" spans="2:29" x14ac:dyDescent="0.2">
      <c r="B39" t="s">
        <v>159</v>
      </c>
      <c r="C39" s="33">
        <v>5253</v>
      </c>
      <c r="D39" s="33">
        <v>6360</v>
      </c>
      <c r="E39" s="33">
        <v>4735</v>
      </c>
      <c r="F39" s="33"/>
      <c r="G39" s="33"/>
      <c r="H39" s="33"/>
      <c r="I39" s="33"/>
      <c r="J39" s="33"/>
      <c r="L39" s="33">
        <v>1050</v>
      </c>
      <c r="M39" s="33">
        <v>163661</v>
      </c>
      <c r="N39" s="33">
        <f t="shared" si="35"/>
        <v>0</v>
      </c>
      <c r="AB39" s="31" t="s">
        <v>151</v>
      </c>
      <c r="AC39" s="27">
        <f>AC38/122000</f>
        <v>21.764464839033948</v>
      </c>
    </row>
    <row r="40" spans="2:29" x14ac:dyDescent="0.2">
      <c r="B40" t="s">
        <v>160</v>
      </c>
      <c r="C40" s="33">
        <v>4269</v>
      </c>
      <c r="D40" s="33">
        <v>3763</v>
      </c>
      <c r="E40" s="33">
        <v>3232</v>
      </c>
      <c r="F40" s="33"/>
      <c r="G40" s="33"/>
      <c r="H40" s="33"/>
      <c r="I40" s="33"/>
      <c r="J40" s="33"/>
      <c r="L40" s="33">
        <v>6420</v>
      </c>
      <c r="M40" s="33">
        <v>2944</v>
      </c>
      <c r="N40" s="33">
        <f t="shared" si="35"/>
        <v>0</v>
      </c>
    </row>
    <row r="41" spans="2:29" x14ac:dyDescent="0.2">
      <c r="B41" t="s">
        <v>161</v>
      </c>
      <c r="C41" s="33">
        <f>SUM(C36:C40)</f>
        <v>450807</v>
      </c>
      <c r="D41" s="33">
        <f>SUM(D36:D40)</f>
        <v>451293</v>
      </c>
      <c r="E41" s="33">
        <f>SUM(E36:E40)</f>
        <v>422545</v>
      </c>
      <c r="F41" s="33"/>
      <c r="G41" s="33"/>
      <c r="H41" s="33"/>
      <c r="I41" s="33"/>
      <c r="J41" s="33"/>
      <c r="L41" s="33">
        <f>SUM(L36:L40)</f>
        <v>205494</v>
      </c>
      <c r="M41" s="33">
        <f>SUM(M36:M40)</f>
        <v>656055</v>
      </c>
      <c r="N41" s="33">
        <f t="shared" si="35"/>
        <v>0</v>
      </c>
    </row>
    <row r="42" spans="2:29" x14ac:dyDescent="0.2">
      <c r="B42" t="s">
        <v>157</v>
      </c>
      <c r="C42" s="33">
        <v>14</v>
      </c>
      <c r="D42" s="33">
        <v>0</v>
      </c>
      <c r="E42" s="33">
        <v>0</v>
      </c>
      <c r="F42" s="33"/>
      <c r="G42" s="33"/>
      <c r="H42" s="33"/>
      <c r="I42" s="33"/>
      <c r="J42" s="33"/>
      <c r="L42" s="33">
        <v>19759</v>
      </c>
      <c r="M42" s="33">
        <v>3513</v>
      </c>
      <c r="N42" s="33">
        <f t="shared" si="35"/>
        <v>0</v>
      </c>
    </row>
    <row r="43" spans="2:29" x14ac:dyDescent="0.2">
      <c r="B43" t="s">
        <v>158</v>
      </c>
      <c r="C43" s="33">
        <v>37447</v>
      </c>
      <c r="D43" s="33">
        <v>28267</v>
      </c>
      <c r="E43" s="33">
        <v>28375</v>
      </c>
      <c r="F43" s="33"/>
      <c r="G43" s="33"/>
      <c r="H43" s="33"/>
      <c r="I43" s="33"/>
      <c r="J43" s="33"/>
      <c r="L43" s="33">
        <v>0</v>
      </c>
      <c r="M43" s="33">
        <v>37191</v>
      </c>
      <c r="N43" s="33">
        <f t="shared" si="35"/>
        <v>0</v>
      </c>
    </row>
    <row r="44" spans="2:29" x14ac:dyDescent="0.2">
      <c r="B44" t="s">
        <v>162</v>
      </c>
      <c r="C44" s="33">
        <v>1808</v>
      </c>
      <c r="D44" s="33">
        <v>2159</v>
      </c>
      <c r="E44" s="33">
        <v>2385</v>
      </c>
      <c r="F44" s="33"/>
      <c r="G44" s="33"/>
      <c r="H44" s="33"/>
      <c r="I44" s="33"/>
      <c r="J44" s="33"/>
      <c r="L44" s="33">
        <v>2796</v>
      </c>
      <c r="M44" s="33">
        <v>1752</v>
      </c>
      <c r="N44" s="33">
        <f t="shared" si="35"/>
        <v>0</v>
      </c>
    </row>
    <row r="45" spans="2:29" x14ac:dyDescent="0.2">
      <c r="B45" t="s">
        <v>163</v>
      </c>
      <c r="C45" s="33">
        <v>12587</v>
      </c>
      <c r="D45" s="33">
        <v>11962</v>
      </c>
      <c r="E45" s="33">
        <v>11335</v>
      </c>
      <c r="F45" s="33"/>
      <c r="G45" s="33"/>
      <c r="H45" s="33"/>
      <c r="I45" s="33"/>
      <c r="J45" s="33"/>
      <c r="L45" s="33">
        <v>4339</v>
      </c>
      <c r="M45" s="33">
        <v>13879</v>
      </c>
      <c r="N45" s="33">
        <f t="shared" si="35"/>
        <v>0</v>
      </c>
    </row>
    <row r="46" spans="2:29" x14ac:dyDescent="0.2">
      <c r="B46" t="s">
        <v>164</v>
      </c>
      <c r="C46" s="33">
        <f>SUM(C41:C45)</f>
        <v>502663</v>
      </c>
      <c r="D46" s="33">
        <f>SUM(D41:D45)</f>
        <v>493681</v>
      </c>
      <c r="E46" s="33">
        <f>SUM(E41:E45)</f>
        <v>464640</v>
      </c>
      <c r="F46" s="33">
        <v>489581</v>
      </c>
      <c r="G46" s="33"/>
      <c r="H46" s="33"/>
      <c r="I46" s="33"/>
      <c r="J46" s="33"/>
      <c r="L46" s="33">
        <f>SUM(L41:L45)</f>
        <v>232388</v>
      </c>
      <c r="M46" s="33">
        <f>SUM(M41:M45)</f>
        <v>712390</v>
      </c>
      <c r="N46" s="33">
        <f t="shared" si="35"/>
        <v>489581</v>
      </c>
    </row>
    <row r="47" spans="2:29" x14ac:dyDescent="0.2">
      <c r="E47" s="32"/>
      <c r="F47" s="33"/>
      <c r="G47" s="33"/>
      <c r="H47" s="33"/>
      <c r="I47" s="33"/>
      <c r="J47" s="33"/>
    </row>
    <row r="48" spans="2:29" x14ac:dyDescent="0.2">
      <c r="B48" t="s">
        <v>165</v>
      </c>
      <c r="C48" s="33">
        <v>13304</v>
      </c>
      <c r="D48" s="33">
        <v>9158</v>
      </c>
      <c r="E48" s="33">
        <v>7750</v>
      </c>
      <c r="F48" s="33"/>
      <c r="G48" s="33"/>
      <c r="H48" s="33"/>
      <c r="I48" s="33"/>
      <c r="J48" s="33"/>
      <c r="L48" s="33">
        <v>15679</v>
      </c>
      <c r="M48" s="33">
        <v>20964</v>
      </c>
      <c r="N48" s="33">
        <f t="shared" ref="N48:N61" si="36">F48</f>
        <v>0</v>
      </c>
    </row>
    <row r="49" spans="2:14" x14ac:dyDescent="0.2">
      <c r="B49" t="s">
        <v>166</v>
      </c>
      <c r="C49" s="33">
        <v>7842</v>
      </c>
      <c r="D49" s="33">
        <v>8019</v>
      </c>
      <c r="E49" s="33">
        <v>10920</v>
      </c>
      <c r="F49" s="33"/>
      <c r="G49" s="33"/>
      <c r="H49" s="33"/>
      <c r="I49" s="33"/>
      <c r="J49" s="33"/>
      <c r="L49" s="33">
        <v>9330</v>
      </c>
      <c r="M49" s="33">
        <v>13418</v>
      </c>
      <c r="N49" s="33">
        <f t="shared" si="36"/>
        <v>0</v>
      </c>
    </row>
    <row r="50" spans="2:14" x14ac:dyDescent="0.2">
      <c r="B50" t="s">
        <v>167</v>
      </c>
      <c r="C50" s="33">
        <v>9553</v>
      </c>
      <c r="D50" s="33">
        <v>4750</v>
      </c>
      <c r="E50" s="33">
        <v>9500</v>
      </c>
      <c r="F50" s="33"/>
      <c r="G50" s="33"/>
      <c r="H50" s="33"/>
      <c r="I50" s="33"/>
      <c r="J50" s="33"/>
      <c r="L50" s="33">
        <v>5273</v>
      </c>
      <c r="M50" s="33">
        <v>7094</v>
      </c>
      <c r="N50" s="33">
        <f t="shared" si="36"/>
        <v>0</v>
      </c>
    </row>
    <row r="51" spans="2:14" x14ac:dyDescent="0.2">
      <c r="B51" t="s">
        <v>168</v>
      </c>
      <c r="C51" s="33">
        <v>14537</v>
      </c>
      <c r="D51" s="33">
        <v>17740</v>
      </c>
      <c r="E51" s="33">
        <v>20708</v>
      </c>
      <c r="F51" s="33"/>
      <c r="G51" s="33"/>
      <c r="H51" s="33"/>
      <c r="I51" s="33"/>
      <c r="J51" s="33"/>
      <c r="L51" s="33">
        <v>14893</v>
      </c>
      <c r="M51" s="33">
        <v>17441</v>
      </c>
      <c r="N51" s="33">
        <f t="shared" si="36"/>
        <v>0</v>
      </c>
    </row>
    <row r="52" spans="2:14" x14ac:dyDescent="0.2">
      <c r="B52" t="s">
        <v>169</v>
      </c>
      <c r="C52" s="33">
        <v>67020</v>
      </c>
      <c r="D52" s="33">
        <v>67000</v>
      </c>
      <c r="E52" s="33">
        <v>66980</v>
      </c>
      <c r="F52" s="33"/>
      <c r="G52" s="33"/>
      <c r="H52" s="33"/>
      <c r="I52" s="33"/>
      <c r="J52" s="33"/>
      <c r="L52" s="33">
        <v>62</v>
      </c>
      <c r="M52" s="33">
        <v>67030</v>
      </c>
      <c r="N52" s="33">
        <f t="shared" si="36"/>
        <v>0</v>
      </c>
    </row>
    <row r="53" spans="2:14" x14ac:dyDescent="0.2">
      <c r="B53" t="s">
        <v>170</v>
      </c>
      <c r="C53" s="33">
        <v>5688</v>
      </c>
      <c r="D53" s="33">
        <v>4277</v>
      </c>
      <c r="E53" s="33">
        <v>1664</v>
      </c>
      <c r="F53" s="33"/>
      <c r="G53" s="33"/>
      <c r="H53" s="33"/>
      <c r="I53" s="33"/>
      <c r="J53" s="33"/>
      <c r="L53" s="33">
        <v>5100</v>
      </c>
      <c r="M53" s="33">
        <v>6879</v>
      </c>
      <c r="N53" s="33">
        <f t="shared" si="36"/>
        <v>0</v>
      </c>
    </row>
    <row r="54" spans="2:14" x14ac:dyDescent="0.2">
      <c r="B54" t="s">
        <v>171</v>
      </c>
      <c r="C54" s="33">
        <f>SUM(C48:C53)</f>
        <v>117944</v>
      </c>
      <c r="D54" s="33">
        <f>SUM(D48:D53)</f>
        <v>110944</v>
      </c>
      <c r="E54" s="33">
        <f>SUM(E48:E53)</f>
        <v>117522</v>
      </c>
      <c r="F54" s="33"/>
      <c r="G54" s="33"/>
      <c r="H54" s="33"/>
      <c r="I54" s="33"/>
      <c r="J54" s="33"/>
      <c r="L54" s="33">
        <f>SUM(L48:L53)</f>
        <v>50337</v>
      </c>
      <c r="M54" s="33">
        <f>SUM(M48:M53)</f>
        <v>132826</v>
      </c>
      <c r="N54" s="33">
        <f t="shared" si="36"/>
        <v>0</v>
      </c>
    </row>
    <row r="55" spans="2:14" x14ac:dyDescent="0.2">
      <c r="B55" t="s">
        <v>172</v>
      </c>
      <c r="C55" s="33">
        <v>261408</v>
      </c>
      <c r="D55" s="33">
        <v>266304</v>
      </c>
      <c r="E55" s="33">
        <v>271315</v>
      </c>
      <c r="F55" s="33">
        <v>276445</v>
      </c>
      <c r="G55" s="33"/>
      <c r="H55" s="33"/>
      <c r="I55" s="33"/>
      <c r="J55" s="33"/>
      <c r="L55" s="33">
        <v>130969</v>
      </c>
      <c r="M55" s="33">
        <v>308059</v>
      </c>
      <c r="N55" s="33">
        <f t="shared" si="36"/>
        <v>276445</v>
      </c>
    </row>
    <row r="56" spans="2:14" x14ac:dyDescent="0.2">
      <c r="B56" t="s">
        <v>173</v>
      </c>
      <c r="C56" s="33">
        <v>16292</v>
      </c>
      <c r="D56" s="33">
        <v>16521</v>
      </c>
      <c r="E56" s="33">
        <v>16753</v>
      </c>
      <c r="F56" s="33">
        <v>16987</v>
      </c>
      <c r="G56" s="33"/>
      <c r="H56" s="33"/>
      <c r="I56" s="33"/>
      <c r="J56" s="33"/>
      <c r="L56" s="33">
        <v>265198</v>
      </c>
      <c r="M56" s="33">
        <v>135079</v>
      </c>
      <c r="N56" s="33">
        <f t="shared" si="36"/>
        <v>16987</v>
      </c>
    </row>
    <row r="57" spans="2:14" x14ac:dyDescent="0.2">
      <c r="B57" t="s">
        <v>169</v>
      </c>
      <c r="C57" s="33">
        <v>221432</v>
      </c>
      <c r="D57" s="33">
        <v>204695</v>
      </c>
      <c r="E57" s="33">
        <v>187958</v>
      </c>
      <c r="F57" s="33"/>
      <c r="G57" s="33"/>
      <c r="H57" s="33"/>
      <c r="I57" s="33"/>
      <c r="J57" s="33"/>
      <c r="L57" s="33">
        <v>0</v>
      </c>
      <c r="M57" s="33">
        <v>238169</v>
      </c>
      <c r="N57" s="33">
        <f t="shared" si="36"/>
        <v>0</v>
      </c>
    </row>
    <row r="58" spans="2:14" x14ac:dyDescent="0.2">
      <c r="B58" t="s">
        <v>174</v>
      </c>
      <c r="C58" s="33">
        <v>0</v>
      </c>
      <c r="D58" s="33">
        <v>0</v>
      </c>
      <c r="E58" s="33">
        <v>0</v>
      </c>
      <c r="F58" s="33"/>
      <c r="G58" s="33"/>
      <c r="H58" s="33"/>
      <c r="I58" s="33"/>
      <c r="J58" s="33"/>
      <c r="L58" s="33">
        <v>6634</v>
      </c>
      <c r="M58" s="33">
        <v>641</v>
      </c>
      <c r="N58" s="33">
        <f t="shared" si="36"/>
        <v>0</v>
      </c>
    </row>
    <row r="59" spans="2:14" x14ac:dyDescent="0.2">
      <c r="B59" t="s">
        <v>175</v>
      </c>
      <c r="C59" s="33">
        <f>SUM(C54:C58)</f>
        <v>617076</v>
      </c>
      <c r="D59" s="33">
        <f>SUM(D54:D58)</f>
        <v>598464</v>
      </c>
      <c r="E59" s="33">
        <f>SUM(E54:E58)</f>
        <v>593548</v>
      </c>
      <c r="F59" s="33"/>
      <c r="G59" s="33"/>
      <c r="H59" s="33"/>
      <c r="I59" s="33"/>
      <c r="J59" s="33"/>
      <c r="L59" s="33">
        <f>SUM(L54:L58)</f>
        <v>453138</v>
      </c>
      <c r="M59" s="33">
        <f>SUM(M54:M58)</f>
        <v>814774</v>
      </c>
      <c r="N59" s="33">
        <f t="shared" si="36"/>
        <v>0</v>
      </c>
    </row>
    <row r="60" spans="2:14" x14ac:dyDescent="0.2">
      <c r="B60" t="s">
        <v>176</v>
      </c>
      <c r="C60" s="33">
        <v>-114413</v>
      </c>
      <c r="D60" s="33">
        <v>-104783</v>
      </c>
      <c r="E60" s="33">
        <v>-128908</v>
      </c>
      <c r="F60" s="33">
        <v>-88644</v>
      </c>
      <c r="G60" s="33"/>
      <c r="H60" s="33"/>
      <c r="I60" s="33"/>
      <c r="J60" s="33"/>
      <c r="L60" s="33">
        <v>-220750</v>
      </c>
      <c r="M60" s="33">
        <v>-102384</v>
      </c>
      <c r="N60" s="33">
        <f t="shared" si="36"/>
        <v>-88644</v>
      </c>
    </row>
    <row r="61" spans="2:14" x14ac:dyDescent="0.2">
      <c r="B61" t="s">
        <v>177</v>
      </c>
      <c r="C61" s="33">
        <f>C59+C60</f>
        <v>502663</v>
      </c>
      <c r="D61" s="33">
        <f>D59+D60</f>
        <v>493681</v>
      </c>
      <c r="E61" s="33">
        <f>E59+E60</f>
        <v>464640</v>
      </c>
      <c r="F61" s="33">
        <f>F46</f>
        <v>489581</v>
      </c>
      <c r="G61" s="33"/>
      <c r="H61" s="33"/>
      <c r="I61" s="33"/>
      <c r="J61" s="33"/>
      <c r="L61" s="33">
        <f>L59+L60</f>
        <v>232388</v>
      </c>
      <c r="M61" s="33">
        <f>M59+M60</f>
        <v>712390</v>
      </c>
      <c r="N61" s="33">
        <f t="shared" si="36"/>
        <v>489581</v>
      </c>
    </row>
    <row r="63" spans="2:14" x14ac:dyDescent="0.2">
      <c r="B63" s="31" t="s">
        <v>218</v>
      </c>
      <c r="C63" s="33">
        <f>C32</f>
        <v>-35729</v>
      </c>
      <c r="D63" s="33">
        <f>D32</f>
        <v>3044</v>
      </c>
      <c r="E63" s="33">
        <f>E32</f>
        <v>-31701</v>
      </c>
      <c r="F63" s="33">
        <f>F32</f>
        <v>32542</v>
      </c>
      <c r="G63" s="33"/>
      <c r="H63" s="33"/>
      <c r="I63" s="33"/>
      <c r="J63" s="33"/>
      <c r="M63" s="33">
        <f>M32</f>
        <v>-211870</v>
      </c>
      <c r="N63" s="33">
        <f>N32</f>
        <v>-31844</v>
      </c>
    </row>
    <row r="64" spans="2:14" x14ac:dyDescent="0.2">
      <c r="B64" s="31" t="s">
        <v>219</v>
      </c>
      <c r="C64" s="33">
        <v>-115</v>
      </c>
      <c r="D64" s="33">
        <f>-260-C64</f>
        <v>-145</v>
      </c>
      <c r="E64" s="33">
        <f>-399-D64-C64</f>
        <v>-139</v>
      </c>
      <c r="F64" s="33">
        <f>-120</f>
        <v>-120</v>
      </c>
      <c r="G64" s="33"/>
      <c r="H64" s="33"/>
      <c r="I64" s="33"/>
      <c r="J64" s="33"/>
      <c r="M64" s="33">
        <v>2011</v>
      </c>
      <c r="N64" s="33">
        <f>SUM(C64:F64)</f>
        <v>-519</v>
      </c>
    </row>
    <row r="65" spans="2:14" x14ac:dyDescent="0.2">
      <c r="B65" s="31" t="s">
        <v>220</v>
      </c>
      <c r="C65" s="33">
        <v>6396</v>
      </c>
      <c r="D65" s="33">
        <f>12281-C65</f>
        <v>5885</v>
      </c>
      <c r="E65" s="33">
        <f>17659-D65-C65</f>
        <v>5378</v>
      </c>
      <c r="F65" s="33">
        <v>5500</v>
      </c>
      <c r="G65" s="33"/>
      <c r="H65" s="33"/>
      <c r="I65" s="33"/>
      <c r="J65" s="33"/>
      <c r="M65" s="33">
        <v>16690</v>
      </c>
      <c r="N65" s="33">
        <f>SUM(C65:F65)</f>
        <v>23159</v>
      </c>
    </row>
    <row r="66" spans="2:14" x14ac:dyDescent="0.2">
      <c r="B66" s="31" t="s">
        <v>221</v>
      </c>
      <c r="C66" s="33">
        <v>3121</v>
      </c>
      <c r="D66" s="33">
        <f>6676-C66</f>
        <v>3555</v>
      </c>
      <c r="E66" s="33">
        <f>10735-D66-C66</f>
        <v>4059</v>
      </c>
      <c r="F66" s="33">
        <v>4500</v>
      </c>
      <c r="G66" s="33"/>
      <c r="H66" s="33"/>
      <c r="I66" s="33"/>
      <c r="J66" s="33"/>
      <c r="M66" s="33">
        <v>9980</v>
      </c>
      <c r="N66" s="33">
        <f>SUM(C66:F66)</f>
        <v>15235</v>
      </c>
    </row>
    <row r="67" spans="2:14" x14ac:dyDescent="0.2">
      <c r="B67" s="31" t="s">
        <v>222</v>
      </c>
      <c r="C67" s="33">
        <v>0</v>
      </c>
      <c r="D67" s="33">
        <f>0-C67</f>
        <v>0</v>
      </c>
      <c r="E67" s="33">
        <f>0-D67-C67</f>
        <v>0</v>
      </c>
      <c r="F67" s="33">
        <v>0</v>
      </c>
      <c r="G67" s="33"/>
      <c r="H67" s="33"/>
      <c r="I67" s="33"/>
      <c r="J67" s="33"/>
      <c r="M67" s="33">
        <v>34300</v>
      </c>
      <c r="N67" s="33">
        <f>SUM(C66:F66)</f>
        <v>15235</v>
      </c>
    </row>
    <row r="68" spans="2:14" x14ac:dyDescent="0.2">
      <c r="B68" s="31" t="s">
        <v>236</v>
      </c>
      <c r="C68" s="33">
        <v>3988</v>
      </c>
      <c r="D68" s="33">
        <f>3988-C68</f>
        <v>0</v>
      </c>
      <c r="E68" s="33">
        <f>3988-D68-C68</f>
        <v>0</v>
      </c>
      <c r="F68" s="33">
        <v>0</v>
      </c>
      <c r="G68" s="33"/>
      <c r="H68" s="33"/>
      <c r="I68" s="33"/>
      <c r="J68" s="33"/>
      <c r="M68" s="33">
        <f>5727</f>
        <v>5727</v>
      </c>
      <c r="N68" s="33">
        <f>SUM(C67:F67)</f>
        <v>0</v>
      </c>
    </row>
    <row r="69" spans="2:14" x14ac:dyDescent="0.2">
      <c r="B69" s="31" t="s">
        <v>223</v>
      </c>
      <c r="C69" s="33">
        <v>0</v>
      </c>
      <c r="D69" s="33">
        <f>0-C69</f>
        <v>0</v>
      </c>
      <c r="E69" s="33">
        <f>134-D69-C69</f>
        <v>134</v>
      </c>
      <c r="F69" s="33">
        <v>0</v>
      </c>
      <c r="G69" s="33"/>
      <c r="H69" s="33"/>
      <c r="I69" s="33"/>
      <c r="J69" s="33"/>
      <c r="M69" s="33">
        <f>1254+85</f>
        <v>1339</v>
      </c>
      <c r="N69" s="33">
        <f>SUM(C69:F69)</f>
        <v>134</v>
      </c>
    </row>
    <row r="70" spans="2:14" x14ac:dyDescent="0.2">
      <c r="B70" s="31" t="s">
        <v>224</v>
      </c>
      <c r="C70" s="33">
        <f>158408-1661-7660-7178-16747</f>
        <v>125162</v>
      </c>
      <c r="D70" s="33">
        <f>157301+8494-11806-10428-33504-C70</f>
        <v>-15105</v>
      </c>
      <c r="E70" s="33">
        <f>158926+9636-13214-2282-50261-D70-C70</f>
        <v>-7252</v>
      </c>
      <c r="F70" s="33">
        <v>0</v>
      </c>
      <c r="G70" s="33"/>
      <c r="H70" s="33"/>
      <c r="I70" s="33"/>
      <c r="J70" s="33"/>
      <c r="M70" s="33">
        <f>-162611+3954+5285+2416+305137</f>
        <v>154181</v>
      </c>
      <c r="N70" s="33">
        <f>SUM(C70:F70)</f>
        <v>102805</v>
      </c>
    </row>
    <row r="71" spans="2:14" x14ac:dyDescent="0.2">
      <c r="B71" s="8" t="s">
        <v>225</v>
      </c>
      <c r="C71" s="37">
        <f>SUM(C63:C70)</f>
        <v>102823</v>
      </c>
      <c r="D71" s="37">
        <f>SUM(D63:D70)</f>
        <v>-2766</v>
      </c>
      <c r="E71" s="37">
        <f>SUM(E63:E70)</f>
        <v>-29521</v>
      </c>
      <c r="F71" s="37">
        <f>SUM(F63:F70)</f>
        <v>42422</v>
      </c>
      <c r="G71" s="37"/>
      <c r="H71" s="37"/>
      <c r="I71" s="37"/>
      <c r="J71" s="37"/>
      <c r="M71" s="37">
        <f>SUM(M63:M70)</f>
        <v>12358</v>
      </c>
      <c r="N71" s="37">
        <f>SUM(N63:N70)</f>
        <v>124205</v>
      </c>
    </row>
    <row r="72" spans="2:14" x14ac:dyDescent="0.2">
      <c r="B72" s="31" t="s">
        <v>226</v>
      </c>
      <c r="C72" s="33">
        <v>-306</v>
      </c>
      <c r="D72" s="33">
        <f>-904-C72</f>
        <v>-598</v>
      </c>
      <c r="E72" s="33">
        <f>-1370-D72-C72</f>
        <v>-466</v>
      </c>
      <c r="F72" s="33">
        <v>-500</v>
      </c>
      <c r="G72" s="33"/>
      <c r="H72" s="33"/>
      <c r="I72" s="33"/>
      <c r="J72" s="33"/>
      <c r="M72" s="33">
        <v>-387</v>
      </c>
      <c r="N72" s="33">
        <f>SUM(C72:F72)</f>
        <v>-1870</v>
      </c>
    </row>
    <row r="73" spans="2:14" x14ac:dyDescent="0.2">
      <c r="B73" s="31" t="s">
        <v>157</v>
      </c>
      <c r="C73" s="33">
        <v>6822</v>
      </c>
      <c r="D73" s="33">
        <f>17094-C73</f>
        <v>10272</v>
      </c>
      <c r="E73" s="33">
        <f>18415-D73-C73</f>
        <v>1321</v>
      </c>
      <c r="F73" s="33">
        <v>0</v>
      </c>
      <c r="G73" s="33"/>
      <c r="H73" s="33"/>
      <c r="I73" s="33"/>
      <c r="J73" s="33"/>
      <c r="M73" s="33">
        <f>1212+15627</f>
        <v>16839</v>
      </c>
      <c r="N73" s="33">
        <f>SUM(C73:F73)</f>
        <v>18415</v>
      </c>
    </row>
    <row r="74" spans="2:14" x14ac:dyDescent="0.2">
      <c r="B74" s="31" t="s">
        <v>163</v>
      </c>
      <c r="C74" s="33">
        <v>0</v>
      </c>
      <c r="D74" s="33">
        <f>0-C74</f>
        <v>0</v>
      </c>
      <c r="E74" s="33">
        <f>0-D74-C74</f>
        <v>0</v>
      </c>
      <c r="F74" s="33">
        <v>0</v>
      </c>
      <c r="G74" s="33"/>
      <c r="H74" s="33"/>
      <c r="I74" s="33"/>
      <c r="J74" s="33"/>
      <c r="M74" s="33">
        <v>0</v>
      </c>
      <c r="N74" s="33">
        <f>SUM(C74:F74)</f>
        <v>0</v>
      </c>
    </row>
    <row r="75" spans="2:14" x14ac:dyDescent="0.2">
      <c r="B75" s="8" t="s">
        <v>227</v>
      </c>
      <c r="C75" s="37">
        <f>SUM(C72:C74)</f>
        <v>6516</v>
      </c>
      <c r="D75" s="37">
        <f>SUM(D72:D74)</f>
        <v>9674</v>
      </c>
      <c r="E75" s="37">
        <f>SUM(E72:E74)</f>
        <v>855</v>
      </c>
      <c r="F75" s="37">
        <f>SUM(F72:F74)</f>
        <v>-500</v>
      </c>
      <c r="G75" s="37"/>
      <c r="H75" s="37"/>
      <c r="I75" s="37"/>
      <c r="J75" s="37"/>
      <c r="M75" s="37">
        <f>SUM(M72:M74)</f>
        <v>16452</v>
      </c>
      <c r="N75" s="37">
        <f>SUM(N72:N74)</f>
        <v>16545</v>
      </c>
    </row>
    <row r="76" spans="2:14" x14ac:dyDescent="0.2">
      <c r="B76" s="31" t="s">
        <v>228</v>
      </c>
      <c r="C76" s="33">
        <v>4227</v>
      </c>
      <c r="D76" s="33">
        <f>6661-C76</f>
        <v>2434</v>
      </c>
      <c r="E76" s="33">
        <f>10044-D76-C76</f>
        <v>3383</v>
      </c>
      <c r="F76" s="33">
        <v>4000</v>
      </c>
      <c r="G76" s="33"/>
      <c r="H76" s="33"/>
      <c r="I76" s="33"/>
      <c r="J76" s="33"/>
      <c r="M76" s="33">
        <v>2061</v>
      </c>
      <c r="N76" s="33">
        <f>SUM(C76:F76)</f>
        <v>14044</v>
      </c>
    </row>
    <row r="77" spans="2:14" x14ac:dyDescent="0.2">
      <c r="B77" s="31" t="s">
        <v>229</v>
      </c>
      <c r="C77" s="33">
        <v>0</v>
      </c>
      <c r="D77" s="33">
        <f>0-C77</f>
        <v>0</v>
      </c>
      <c r="E77" s="33">
        <f>0-D77-D77</f>
        <v>0</v>
      </c>
      <c r="F77" s="33">
        <v>0</v>
      </c>
      <c r="G77" s="33"/>
      <c r="H77" s="33"/>
      <c r="I77" s="33"/>
      <c r="J77" s="33"/>
      <c r="M77" s="33">
        <v>132336</v>
      </c>
      <c r="N77" s="33">
        <f>SUM(C77:F77)</f>
        <v>0</v>
      </c>
    </row>
    <row r="78" spans="2:14" x14ac:dyDescent="0.2">
      <c r="B78" s="31" t="s">
        <v>230</v>
      </c>
      <c r="C78" s="33">
        <v>0</v>
      </c>
      <c r="D78" s="33">
        <f>0-C78</f>
        <v>0</v>
      </c>
      <c r="E78" s="33">
        <f>0-D78-C78</f>
        <v>0</v>
      </c>
      <c r="F78" s="33">
        <v>0</v>
      </c>
      <c r="G78" s="33"/>
      <c r="H78" s="33"/>
      <c r="I78" s="33"/>
      <c r="J78" s="33"/>
      <c r="M78" s="33">
        <v>-56223</v>
      </c>
      <c r="N78" s="33">
        <f>SUM(C78:F78)</f>
        <v>0</v>
      </c>
    </row>
    <row r="79" spans="2:14" x14ac:dyDescent="0.2">
      <c r="B79" s="31" t="s">
        <v>231</v>
      </c>
      <c r="C79" s="33">
        <v>-158644</v>
      </c>
      <c r="D79" s="33">
        <f>-158644-C79</f>
        <v>0</v>
      </c>
      <c r="E79" s="33">
        <f>-158644-D79-C79</f>
        <v>0</v>
      </c>
      <c r="F79" s="33">
        <v>0</v>
      </c>
      <c r="G79" s="33"/>
      <c r="H79" s="33"/>
      <c r="I79" s="33"/>
      <c r="J79" s="33"/>
      <c r="M79" s="33">
        <f>-223289+387369</f>
        <v>164080</v>
      </c>
      <c r="N79" s="33">
        <f>SUM(C79:F79)</f>
        <v>-158644</v>
      </c>
    </row>
    <row r="80" spans="2:14" x14ac:dyDescent="0.2">
      <c r="B80" s="8" t="s">
        <v>232</v>
      </c>
      <c r="C80" s="37">
        <f>SUM(C76:C79)</f>
        <v>-154417</v>
      </c>
      <c r="D80" s="37">
        <f>SUM(D76:D79)</f>
        <v>2434</v>
      </c>
      <c r="E80" s="37">
        <f>SUM(E76:E79)</f>
        <v>3383</v>
      </c>
      <c r="F80" s="37">
        <f>SUM(F76:F79)</f>
        <v>4000</v>
      </c>
      <c r="G80" s="37"/>
      <c r="H80" s="37"/>
      <c r="I80" s="37"/>
      <c r="J80" s="37"/>
      <c r="M80" s="37">
        <f>SUM(M76:M79)</f>
        <v>242254</v>
      </c>
      <c r="N80" s="37">
        <f>SUM(N76:N78)</f>
        <v>14044</v>
      </c>
    </row>
    <row r="81" spans="2:14" x14ac:dyDescent="0.2">
      <c r="B81" s="31" t="s">
        <v>233</v>
      </c>
      <c r="C81" s="33">
        <f>C71+C75+C80</f>
        <v>-45078</v>
      </c>
      <c r="D81" s="33">
        <f>D71+D75+D80</f>
        <v>9342</v>
      </c>
      <c r="E81" s="33">
        <f>E71+E75+E80</f>
        <v>-25283</v>
      </c>
      <c r="F81" s="33">
        <f>F71+F75+F80</f>
        <v>45922</v>
      </c>
      <c r="G81" s="33"/>
      <c r="H81" s="33"/>
      <c r="I81" s="33"/>
      <c r="J81" s="33"/>
      <c r="M81" s="33">
        <f>M71+M75+M80</f>
        <v>271064</v>
      </c>
      <c r="N81" s="33">
        <f>N71+N75+N80</f>
        <v>154794</v>
      </c>
    </row>
    <row r="82" spans="2:14" x14ac:dyDescent="0.2">
      <c r="B82" s="31" t="s">
        <v>234</v>
      </c>
      <c r="C82" s="33">
        <f>M83</f>
        <v>449824</v>
      </c>
      <c r="D82" s="33">
        <f>C83</f>
        <v>404746</v>
      </c>
      <c r="E82" s="33">
        <f>D83</f>
        <v>414088</v>
      </c>
      <c r="F82" s="33">
        <f>E83</f>
        <v>388805</v>
      </c>
      <c r="G82" s="33"/>
      <c r="H82" s="33"/>
      <c r="I82" s="33"/>
      <c r="J82" s="33"/>
      <c r="M82" s="33">
        <v>178767</v>
      </c>
      <c r="N82" s="33">
        <f>M83</f>
        <v>449824</v>
      </c>
    </row>
    <row r="83" spans="2:14" x14ac:dyDescent="0.2">
      <c r="B83" s="31" t="s">
        <v>235</v>
      </c>
      <c r="C83" s="33">
        <f>C81+C82</f>
        <v>404746</v>
      </c>
      <c r="D83" s="33">
        <f>D81+D82</f>
        <v>414088</v>
      </c>
      <c r="E83" s="33">
        <f>E81+E82</f>
        <v>388805</v>
      </c>
      <c r="F83" s="33">
        <f>F81+F82</f>
        <v>434727</v>
      </c>
      <c r="G83" s="33"/>
      <c r="H83" s="33"/>
      <c r="I83" s="33"/>
      <c r="J83" s="33"/>
      <c r="M83" s="33">
        <f>M81+M82-7</f>
        <v>449824</v>
      </c>
      <c r="N83" s="33">
        <f>N81+N82</f>
        <v>604618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10.28515625" style="1" bestFit="1" customWidth="1"/>
    <col min="2" max="2" width="12.85546875" style="1" customWidth="1"/>
    <col min="3" max="3" width="15.7109375" style="1" customWidth="1"/>
    <col min="4" max="4" width="21.42578125" style="1" customWidth="1"/>
    <col min="5" max="5" width="23.140625" style="1" customWidth="1"/>
    <col min="6" max="6" width="28.28515625" style="1" bestFit="1" customWidth="1"/>
    <col min="7" max="7" width="12.85546875" style="1" bestFit="1" customWidth="1"/>
    <col min="8" max="16384" width="9.140625" style="1"/>
  </cols>
  <sheetData>
    <row r="1" spans="1:12" x14ac:dyDescent="0.2">
      <c r="A1" s="14" t="s">
        <v>52</v>
      </c>
    </row>
    <row r="2" spans="1:12" x14ac:dyDescent="0.2">
      <c r="A2" s="14" t="s">
        <v>57</v>
      </c>
    </row>
    <row r="3" spans="1:12" x14ac:dyDescent="0.2">
      <c r="B3" s="1" t="s">
        <v>0</v>
      </c>
      <c r="C3" s="3" t="s">
        <v>81</v>
      </c>
      <c r="D3" s="3" t="s">
        <v>1</v>
      </c>
      <c r="E3" s="3" t="s">
        <v>5</v>
      </c>
      <c r="F3" s="3" t="s">
        <v>11</v>
      </c>
      <c r="G3" s="3" t="s">
        <v>22</v>
      </c>
      <c r="H3" s="3"/>
      <c r="I3" s="3"/>
      <c r="J3" s="3"/>
      <c r="K3" s="3"/>
      <c r="L3" s="3"/>
    </row>
    <row r="4" spans="1:12" x14ac:dyDescent="0.2">
      <c r="B4" s="1" t="s">
        <v>79</v>
      </c>
      <c r="C4" s="3" t="s">
        <v>82</v>
      </c>
      <c r="D4" s="3" t="s">
        <v>84</v>
      </c>
      <c r="E4" s="3" t="s">
        <v>98</v>
      </c>
      <c r="F4" s="3" t="s">
        <v>86</v>
      </c>
      <c r="G4" s="3" t="s">
        <v>59</v>
      </c>
      <c r="H4" s="3"/>
      <c r="I4" s="3"/>
      <c r="J4" s="3"/>
      <c r="K4" s="3"/>
      <c r="L4" s="3"/>
    </row>
    <row r="5" spans="1:12" x14ac:dyDescent="0.2">
      <c r="B5" s="1" t="s">
        <v>79</v>
      </c>
      <c r="C5" s="3" t="s">
        <v>82</v>
      </c>
      <c r="D5" s="3" t="s">
        <v>69</v>
      </c>
      <c r="E5" s="3" t="s">
        <v>95</v>
      </c>
      <c r="F5" s="3" t="s">
        <v>86</v>
      </c>
      <c r="G5" s="3" t="s">
        <v>59</v>
      </c>
      <c r="H5" s="3"/>
      <c r="I5" s="3"/>
      <c r="J5" s="3"/>
      <c r="K5" s="3"/>
      <c r="L5" s="3"/>
    </row>
    <row r="6" spans="1:12" x14ac:dyDescent="0.2">
      <c r="B6" s="1" t="s">
        <v>79</v>
      </c>
      <c r="C6" s="3" t="s">
        <v>82</v>
      </c>
      <c r="D6" s="3" t="s">
        <v>69</v>
      </c>
      <c r="E6" s="3" t="s">
        <v>95</v>
      </c>
      <c r="F6" s="3" t="s">
        <v>86</v>
      </c>
      <c r="G6" s="3" t="s">
        <v>70</v>
      </c>
      <c r="H6" s="3"/>
      <c r="I6" s="3"/>
      <c r="J6" s="3"/>
      <c r="K6" s="3"/>
      <c r="L6" s="3"/>
    </row>
    <row r="7" spans="1:12" x14ac:dyDescent="0.2">
      <c r="B7" s="1" t="s">
        <v>79</v>
      </c>
      <c r="C7" s="3" t="s">
        <v>82</v>
      </c>
      <c r="D7" s="3" t="s">
        <v>96</v>
      </c>
      <c r="E7" s="3" t="s">
        <v>88</v>
      </c>
      <c r="F7" s="3" t="s">
        <v>86</v>
      </c>
      <c r="G7" s="3" t="s">
        <v>59</v>
      </c>
      <c r="H7" s="3"/>
      <c r="I7" s="3"/>
      <c r="J7" s="3"/>
      <c r="K7" s="3"/>
      <c r="L7" s="3"/>
    </row>
    <row r="8" spans="1:12" x14ac:dyDescent="0.2">
      <c r="B8" s="1" t="s">
        <v>79</v>
      </c>
      <c r="C8" s="3" t="s">
        <v>82</v>
      </c>
      <c r="D8" s="3" t="s">
        <v>97</v>
      </c>
      <c r="E8" s="3" t="s">
        <v>95</v>
      </c>
      <c r="F8" s="3" t="s">
        <v>86</v>
      </c>
      <c r="G8" s="3" t="s">
        <v>59</v>
      </c>
      <c r="H8" s="3"/>
      <c r="I8" s="3"/>
      <c r="J8" s="3"/>
      <c r="K8" s="3"/>
      <c r="L8" s="3"/>
    </row>
    <row r="9" spans="1:12" x14ac:dyDescent="0.2">
      <c r="B9" s="1" t="s">
        <v>57</v>
      </c>
      <c r="C9" s="3" t="s">
        <v>83</v>
      </c>
      <c r="D9" s="3" t="s">
        <v>61</v>
      </c>
      <c r="E9" s="3" t="s">
        <v>85</v>
      </c>
      <c r="F9" s="3" t="s">
        <v>94</v>
      </c>
      <c r="G9" s="3" t="s">
        <v>59</v>
      </c>
      <c r="H9" s="3"/>
      <c r="I9" s="3"/>
      <c r="J9" s="3"/>
      <c r="K9" s="3"/>
      <c r="L9" s="3"/>
    </row>
    <row r="10" spans="1:12" x14ac:dyDescent="0.2">
      <c r="B10" s="1" t="s">
        <v>57</v>
      </c>
      <c r="C10" s="3" t="s">
        <v>83</v>
      </c>
      <c r="D10" s="3" t="s">
        <v>84</v>
      </c>
      <c r="E10" s="3" t="s">
        <v>87</v>
      </c>
      <c r="F10" s="3" t="s">
        <v>94</v>
      </c>
      <c r="G10" s="3" t="s">
        <v>59</v>
      </c>
      <c r="H10" s="3"/>
      <c r="I10" s="3"/>
      <c r="J10" s="3"/>
      <c r="K10" s="3"/>
      <c r="L10" s="3"/>
    </row>
    <row r="11" spans="1:12" x14ac:dyDescent="0.2">
      <c r="B11" s="1" t="s">
        <v>90</v>
      </c>
      <c r="C11" s="3" t="s">
        <v>101</v>
      </c>
      <c r="D11" s="3" t="s">
        <v>102</v>
      </c>
      <c r="E11" s="3" t="s">
        <v>95</v>
      </c>
      <c r="F11" s="3"/>
      <c r="G11" s="3" t="s">
        <v>59</v>
      </c>
      <c r="H11" s="3"/>
      <c r="I11" s="3"/>
      <c r="J11" s="3"/>
      <c r="K11" s="3"/>
      <c r="L11" s="3"/>
    </row>
    <row r="12" spans="1:12" x14ac:dyDescent="0.2">
      <c r="B12" s="1" t="s">
        <v>111</v>
      </c>
      <c r="C12" s="3" t="s">
        <v>110</v>
      </c>
      <c r="D12" s="3" t="s">
        <v>61</v>
      </c>
      <c r="E12" s="3" t="s">
        <v>112</v>
      </c>
      <c r="F12" s="3" t="s">
        <v>113</v>
      </c>
      <c r="G12" s="3" t="s">
        <v>59</v>
      </c>
      <c r="H12" s="3"/>
      <c r="I12" s="3"/>
      <c r="J12" s="3"/>
      <c r="K12" s="3"/>
      <c r="L12" s="3"/>
    </row>
    <row r="13" spans="1:12" x14ac:dyDescent="0.2">
      <c r="B13" s="1" t="s">
        <v>89</v>
      </c>
      <c r="C13" s="3" t="s">
        <v>93</v>
      </c>
      <c r="D13" s="3" t="s">
        <v>99</v>
      </c>
      <c r="E13" s="3" t="s">
        <v>100</v>
      </c>
      <c r="F13" s="3"/>
      <c r="G13" s="3" t="s">
        <v>59</v>
      </c>
      <c r="H13" s="3"/>
      <c r="I13" s="3"/>
      <c r="J13" s="3"/>
      <c r="K13" s="3"/>
      <c r="L13" s="3"/>
    </row>
    <row r="14" spans="1:12" x14ac:dyDescent="0.2">
      <c r="B14" s="1" t="s">
        <v>89</v>
      </c>
      <c r="C14" s="3" t="s">
        <v>93</v>
      </c>
      <c r="D14" s="3" t="s">
        <v>61</v>
      </c>
      <c r="E14" s="3" t="s">
        <v>100</v>
      </c>
      <c r="F14" s="3"/>
      <c r="G14" s="3" t="s">
        <v>59</v>
      </c>
      <c r="H14" s="3"/>
      <c r="I14" s="3"/>
      <c r="J14" s="3"/>
      <c r="K14" s="3"/>
      <c r="L14" s="3"/>
    </row>
    <row r="15" spans="1:12" x14ac:dyDescent="0.2">
      <c r="B15" s="1" t="s">
        <v>107</v>
      </c>
      <c r="C15" s="3" t="s">
        <v>106</v>
      </c>
      <c r="D15" s="3" t="s">
        <v>108</v>
      </c>
      <c r="E15" s="3" t="s">
        <v>100</v>
      </c>
      <c r="F15" s="3" t="s">
        <v>109</v>
      </c>
      <c r="G15" s="3" t="s">
        <v>59</v>
      </c>
      <c r="H15" s="3"/>
      <c r="I15" s="3"/>
      <c r="J15" s="3"/>
      <c r="K15" s="3"/>
      <c r="L15" s="3"/>
    </row>
    <row r="16" spans="1:12" x14ac:dyDescent="0.2">
      <c r="B16" s="1" t="s">
        <v>91</v>
      </c>
      <c r="C16" s="3" t="s">
        <v>105</v>
      </c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1" t="s">
        <v>92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1" t="s">
        <v>103</v>
      </c>
      <c r="C18" s="3" t="s">
        <v>104</v>
      </c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1" t="s">
        <v>114</v>
      </c>
      <c r="C19" s="3" t="s">
        <v>115</v>
      </c>
      <c r="D19" s="3"/>
      <c r="E19" s="3"/>
      <c r="F19" s="3"/>
      <c r="G19" s="3"/>
    </row>
    <row r="20" spans="2:12" x14ac:dyDescent="0.2">
      <c r="C20" s="3"/>
      <c r="D20" s="3"/>
      <c r="E20" s="3"/>
      <c r="F20" s="3"/>
      <c r="G20" s="3"/>
    </row>
    <row r="21" spans="2:12" x14ac:dyDescent="0.2">
      <c r="C21" s="3"/>
      <c r="D21" s="3"/>
      <c r="E21" s="3"/>
      <c r="F21" s="3"/>
      <c r="G21" s="3"/>
    </row>
  </sheetData>
  <phoneticPr fontId="3" type="noConversion"/>
  <hyperlinks>
    <hyperlink ref="A1" location="Main!A1" display="Main" xr:uid="{00000000-0004-0000-0F00-000000000000}"/>
    <hyperlink ref="A2" location="INCB18424!A1" display="INCB18424" xr:uid="{00000000-0004-0000-0F00-000001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2"/>
  <sheetViews>
    <sheetView showGridLines="0" zoomScale="145" zoomScaleNormal="145" workbookViewId="0">
      <selection activeCell="C16" sqref="C16"/>
    </sheetView>
  </sheetViews>
  <sheetFormatPr defaultRowHeight="12.75" x14ac:dyDescent="0.2"/>
  <cols>
    <col min="1" max="1" width="5" style="1" bestFit="1" customWidth="1"/>
    <col min="2" max="2" width="13" style="1" bestFit="1" customWidth="1"/>
    <col min="3" max="3" width="9.140625" style="12"/>
    <col min="4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54" t="s">
        <v>452</v>
      </c>
    </row>
    <row r="3" spans="1:3" x14ac:dyDescent="0.2">
      <c r="B3" s="1" t="s">
        <v>21</v>
      </c>
      <c r="C3" s="12" t="s">
        <v>143</v>
      </c>
    </row>
    <row r="4" spans="1:3" x14ac:dyDescent="0.2">
      <c r="B4" s="1" t="s">
        <v>1</v>
      </c>
      <c r="C4" s="12" t="s">
        <v>317</v>
      </c>
    </row>
    <row r="5" spans="1:3" x14ac:dyDescent="0.2">
      <c r="C5" s="12" t="s">
        <v>64</v>
      </c>
    </row>
    <row r="6" spans="1:3" x14ac:dyDescent="0.2">
      <c r="C6" s="12" t="s">
        <v>118</v>
      </c>
    </row>
    <row r="7" spans="1:3" x14ac:dyDescent="0.2">
      <c r="C7" s="12" t="s">
        <v>119</v>
      </c>
    </row>
    <row r="8" spans="1:3" x14ac:dyDescent="0.2">
      <c r="C8" s="12" t="s">
        <v>120</v>
      </c>
    </row>
    <row r="9" spans="1:3" x14ac:dyDescent="0.2">
      <c r="C9" s="12" t="s">
        <v>121</v>
      </c>
    </row>
    <row r="10" spans="1:3" x14ac:dyDescent="0.2">
      <c r="B10" s="1" t="s">
        <v>144</v>
      </c>
      <c r="C10" s="12" t="s">
        <v>318</v>
      </c>
    </row>
    <row r="11" spans="1:3" x14ac:dyDescent="0.2">
      <c r="C11" s="12" t="s">
        <v>152</v>
      </c>
    </row>
    <row r="12" spans="1:3" x14ac:dyDescent="0.2">
      <c r="B12" s="1" t="s">
        <v>11</v>
      </c>
      <c r="C12" s="12" t="s">
        <v>319</v>
      </c>
    </row>
    <row r="13" spans="1:3" x14ac:dyDescent="0.2">
      <c r="C13" s="12" t="s">
        <v>122</v>
      </c>
    </row>
    <row r="14" spans="1:3" x14ac:dyDescent="0.2">
      <c r="B14" s="1" t="s">
        <v>22</v>
      </c>
      <c r="C14" s="12" t="s">
        <v>59</v>
      </c>
    </row>
    <row r="15" spans="1:3" x14ac:dyDescent="0.2">
      <c r="B15" s="1" t="s">
        <v>6</v>
      </c>
      <c r="C15" s="54" t="s">
        <v>607</v>
      </c>
    </row>
    <row r="16" spans="1:3" x14ac:dyDescent="0.2">
      <c r="C16" s="12" t="s">
        <v>128</v>
      </c>
    </row>
    <row r="17" spans="2:15" x14ac:dyDescent="0.2">
      <c r="B17" s="1" t="s">
        <v>14</v>
      </c>
      <c r="C17" s="12" t="s">
        <v>286</v>
      </c>
    </row>
    <row r="18" spans="2:15" x14ac:dyDescent="0.2">
      <c r="B18" s="1" t="s">
        <v>23</v>
      </c>
      <c r="C18" s="54" t="s">
        <v>605</v>
      </c>
    </row>
    <row r="19" spans="2:15" x14ac:dyDescent="0.2">
      <c r="C19" s="54" t="s">
        <v>606</v>
      </c>
    </row>
    <row r="20" spans="2:15" x14ac:dyDescent="0.2">
      <c r="B20" s="12" t="s">
        <v>314</v>
      </c>
    </row>
    <row r="21" spans="2:15" x14ac:dyDescent="0.2">
      <c r="C21" s="49"/>
      <c r="D21" s="49" t="s">
        <v>294</v>
      </c>
      <c r="E21" s="49"/>
      <c r="F21" s="49"/>
      <c r="G21" s="49"/>
    </row>
    <row r="22" spans="2:15" x14ac:dyDescent="0.2">
      <c r="C22" s="49"/>
      <c r="D22" s="49" t="s">
        <v>295</v>
      </c>
      <c r="E22" s="49" t="s">
        <v>296</v>
      </c>
      <c r="F22" s="55" t="s">
        <v>337</v>
      </c>
      <c r="G22" s="49" t="s">
        <v>297</v>
      </c>
      <c r="O22" s="12" t="s">
        <v>361</v>
      </c>
    </row>
    <row r="23" spans="2:15" x14ac:dyDescent="0.2">
      <c r="C23" s="49" t="s">
        <v>298</v>
      </c>
      <c r="D23" s="49" t="s">
        <v>299</v>
      </c>
      <c r="E23" s="49" t="s">
        <v>300</v>
      </c>
      <c r="F23" s="49" t="s">
        <v>301</v>
      </c>
      <c r="G23" s="49" t="s">
        <v>302</v>
      </c>
      <c r="O23" s="12" t="s">
        <v>362</v>
      </c>
    </row>
    <row r="24" spans="2:15" x14ac:dyDescent="0.2">
      <c r="C24" s="49" t="s">
        <v>303</v>
      </c>
      <c r="D24" s="49" t="s">
        <v>304</v>
      </c>
      <c r="E24" s="49" t="s">
        <v>305</v>
      </c>
      <c r="F24" s="49" t="s">
        <v>306</v>
      </c>
      <c r="G24" s="49" t="s">
        <v>307</v>
      </c>
    </row>
    <row r="25" spans="2:15" x14ac:dyDescent="0.2">
      <c r="C25" s="49" t="s">
        <v>308</v>
      </c>
      <c r="D25" s="49" t="s">
        <v>309</v>
      </c>
      <c r="E25" s="49" t="s">
        <v>310</v>
      </c>
      <c r="F25" s="49" t="s">
        <v>311</v>
      </c>
      <c r="G25" s="49"/>
    </row>
    <row r="26" spans="2:15" x14ac:dyDescent="0.2">
      <c r="C26" s="49" t="s">
        <v>312</v>
      </c>
      <c r="D26" s="49" t="s">
        <v>299</v>
      </c>
      <c r="E26" s="49" t="s">
        <v>313</v>
      </c>
      <c r="F26" s="49"/>
      <c r="G26" s="49" t="s">
        <v>307</v>
      </c>
    </row>
    <row r="28" spans="2:15" x14ac:dyDescent="0.2">
      <c r="B28" s="1" t="s">
        <v>12</v>
      </c>
    </row>
    <row r="29" spans="2:15" x14ac:dyDescent="0.2">
      <c r="C29" s="12" t="s">
        <v>285</v>
      </c>
    </row>
    <row r="30" spans="2:15" x14ac:dyDescent="0.2">
      <c r="C30" s="12" t="s">
        <v>287</v>
      </c>
    </row>
    <row r="31" spans="2:15" x14ac:dyDescent="0.2">
      <c r="C31" s="12" t="s">
        <v>338</v>
      </c>
    </row>
    <row r="33" spans="3:10" x14ac:dyDescent="0.2">
      <c r="C33" s="16" t="s">
        <v>145</v>
      </c>
    </row>
    <row r="34" spans="3:10" x14ac:dyDescent="0.2">
      <c r="C34" s="12" t="s">
        <v>117</v>
      </c>
    </row>
    <row r="35" spans="3:10" x14ac:dyDescent="0.2">
      <c r="C35" s="12" t="s">
        <v>127</v>
      </c>
    </row>
    <row r="36" spans="3:10" x14ac:dyDescent="0.2">
      <c r="C36" s="12" t="s">
        <v>198</v>
      </c>
    </row>
    <row r="37" spans="3:10" x14ac:dyDescent="0.2">
      <c r="C37" s="12" t="s">
        <v>197</v>
      </c>
    </row>
    <row r="38" spans="3:10" x14ac:dyDescent="0.2">
      <c r="C38" s="12" t="s">
        <v>199</v>
      </c>
    </row>
    <row r="39" spans="3:10" x14ac:dyDescent="0.2">
      <c r="C39" s="12" t="s">
        <v>200</v>
      </c>
    </row>
    <row r="40" spans="3:10" x14ac:dyDescent="0.2">
      <c r="C40" s="12" t="s">
        <v>201</v>
      </c>
    </row>
    <row r="41" spans="3:10" x14ac:dyDescent="0.2">
      <c r="C41" s="12" t="s">
        <v>215</v>
      </c>
    </row>
    <row r="42" spans="3:10" x14ac:dyDescent="0.2">
      <c r="C42" s="49"/>
    </row>
    <row r="43" spans="3:10" x14ac:dyDescent="0.2">
      <c r="C43" s="49" t="s">
        <v>268</v>
      </c>
      <c r="D43" s="49"/>
      <c r="E43" s="49"/>
      <c r="F43" s="49"/>
      <c r="G43" s="49"/>
      <c r="H43" s="49"/>
      <c r="I43" s="49"/>
      <c r="J43" s="49"/>
    </row>
    <row r="44" spans="3:10" x14ac:dyDescent="0.2">
      <c r="C44" s="49" t="s">
        <v>269</v>
      </c>
      <c r="D44" s="49"/>
      <c r="E44" s="49"/>
      <c r="F44" s="49"/>
      <c r="G44" s="49"/>
      <c r="H44" s="49"/>
      <c r="I44" s="49"/>
      <c r="J44" s="49"/>
    </row>
    <row r="45" spans="3:10" x14ac:dyDescent="0.2">
      <c r="C45" s="49" t="s">
        <v>270</v>
      </c>
      <c r="D45" s="49" t="s">
        <v>278</v>
      </c>
      <c r="E45" s="49"/>
      <c r="F45" s="49"/>
      <c r="G45" s="49"/>
      <c r="H45" s="49"/>
      <c r="I45" s="49"/>
      <c r="J45" s="49"/>
    </row>
    <row r="46" spans="3:10" x14ac:dyDescent="0.2">
      <c r="C46" s="49" t="s">
        <v>271</v>
      </c>
      <c r="D46" s="49" t="s">
        <v>279</v>
      </c>
      <c r="E46" s="49"/>
      <c r="F46" s="49"/>
      <c r="G46" s="49"/>
      <c r="H46" s="49"/>
      <c r="I46" s="49"/>
      <c r="J46" s="49"/>
    </row>
    <row r="47" spans="3:10" x14ac:dyDescent="0.2">
      <c r="C47" s="49" t="s">
        <v>272</v>
      </c>
      <c r="D47" s="49" t="s">
        <v>280</v>
      </c>
      <c r="E47" s="49"/>
      <c r="F47" s="49"/>
      <c r="G47" s="49"/>
      <c r="H47" s="49"/>
      <c r="I47" s="49"/>
      <c r="J47" s="49"/>
    </row>
    <row r="48" spans="3:10" x14ac:dyDescent="0.2">
      <c r="C48" s="49"/>
      <c r="D48" s="49"/>
      <c r="E48" s="49"/>
      <c r="F48" s="49"/>
      <c r="G48" s="49"/>
      <c r="H48" s="49"/>
      <c r="I48" s="49"/>
      <c r="J48" s="49"/>
    </row>
    <row r="49" spans="3:10" x14ac:dyDescent="0.2">
      <c r="C49" s="49" t="s">
        <v>273</v>
      </c>
      <c r="D49" s="49"/>
      <c r="E49" s="49"/>
      <c r="F49" s="49"/>
      <c r="G49" s="49"/>
      <c r="H49" s="49"/>
      <c r="I49" s="49"/>
      <c r="J49" s="49"/>
    </row>
    <row r="50" spans="3:10" x14ac:dyDescent="0.2">
      <c r="C50" s="49"/>
      <c r="D50" s="49"/>
      <c r="E50" s="49"/>
      <c r="F50" s="49"/>
      <c r="G50" s="49"/>
      <c r="H50" s="49"/>
      <c r="I50" s="49"/>
      <c r="J50" s="49"/>
    </row>
    <row r="51" spans="3:10" x14ac:dyDescent="0.2">
      <c r="C51" s="49" t="s">
        <v>274</v>
      </c>
      <c r="D51" s="49"/>
      <c r="E51" s="49"/>
      <c r="F51" s="49"/>
      <c r="G51" s="49"/>
      <c r="H51" s="49"/>
      <c r="I51" s="49"/>
      <c r="J51" s="49"/>
    </row>
    <row r="52" spans="3:10" x14ac:dyDescent="0.2">
      <c r="C52" s="49" t="s">
        <v>275</v>
      </c>
      <c r="D52" s="49"/>
      <c r="E52" s="49"/>
      <c r="F52" s="49"/>
      <c r="G52" s="49"/>
      <c r="H52" s="49"/>
      <c r="I52" s="49"/>
      <c r="J52" s="49"/>
    </row>
    <row r="53" spans="3:10" x14ac:dyDescent="0.2">
      <c r="C53" s="49" t="s">
        <v>276</v>
      </c>
      <c r="D53" s="49"/>
      <c r="E53" s="49"/>
      <c r="F53" s="49"/>
      <c r="G53" s="49"/>
      <c r="H53" s="49"/>
      <c r="I53" s="49"/>
      <c r="J53" s="49"/>
    </row>
    <row r="54" spans="3:10" x14ac:dyDescent="0.2">
      <c r="C54" s="49" t="s">
        <v>277</v>
      </c>
      <c r="D54" s="49"/>
      <c r="E54" s="49"/>
      <c r="F54" s="49"/>
      <c r="G54" s="49"/>
      <c r="H54" s="49"/>
      <c r="I54" s="49"/>
      <c r="J54" s="49"/>
    </row>
    <row r="56" spans="3:10" x14ac:dyDescent="0.2">
      <c r="C56" s="16" t="s">
        <v>202</v>
      </c>
    </row>
    <row r="57" spans="3:10" x14ac:dyDescent="0.2">
      <c r="C57" s="12" t="s">
        <v>203</v>
      </c>
    </row>
    <row r="58" spans="3:10" x14ac:dyDescent="0.2">
      <c r="C58" s="12" t="s">
        <v>204</v>
      </c>
    </row>
    <row r="59" spans="3:10" x14ac:dyDescent="0.2">
      <c r="C59" s="12" t="s">
        <v>215</v>
      </c>
    </row>
    <row r="60" spans="3:10" x14ac:dyDescent="0.2">
      <c r="C60" s="12" t="s">
        <v>281</v>
      </c>
    </row>
    <row r="61" spans="3:10" x14ac:dyDescent="0.2">
      <c r="C61" s="12" t="s">
        <v>282</v>
      </c>
    </row>
    <row r="62" spans="3:10" x14ac:dyDescent="0.2">
      <c r="C62" s="12" t="s">
        <v>283</v>
      </c>
    </row>
    <row r="63" spans="3:10" x14ac:dyDescent="0.2">
      <c r="C63" s="12" t="s">
        <v>284</v>
      </c>
    </row>
    <row r="65" spans="3:3" x14ac:dyDescent="0.2">
      <c r="C65" s="12" t="s">
        <v>293</v>
      </c>
    </row>
    <row r="67" spans="3:3" x14ac:dyDescent="0.2">
      <c r="C67" s="16" t="s">
        <v>214</v>
      </c>
    </row>
    <row r="68" spans="3:3" x14ac:dyDescent="0.2">
      <c r="C68" s="12" t="s">
        <v>213</v>
      </c>
    </row>
    <row r="69" spans="3:3" x14ac:dyDescent="0.2">
      <c r="C69" s="12" t="s">
        <v>216</v>
      </c>
    </row>
    <row r="70" spans="3:3" x14ac:dyDescent="0.2">
      <c r="C70" s="12" t="s">
        <v>316</v>
      </c>
    </row>
    <row r="72" spans="3:3" x14ac:dyDescent="0.2">
      <c r="C72" s="16" t="s">
        <v>130</v>
      </c>
    </row>
    <row r="73" spans="3:3" x14ac:dyDescent="0.2">
      <c r="C73" s="12" t="s">
        <v>131</v>
      </c>
    </row>
    <row r="74" spans="3:3" x14ac:dyDescent="0.2">
      <c r="C74" s="12" t="s">
        <v>132</v>
      </c>
    </row>
    <row r="75" spans="3:3" x14ac:dyDescent="0.2">
      <c r="C75" s="12" t="s">
        <v>60</v>
      </c>
    </row>
    <row r="76" spans="3:3" x14ac:dyDescent="0.2">
      <c r="C76" s="12" t="s">
        <v>141</v>
      </c>
    </row>
    <row r="78" spans="3:3" x14ac:dyDescent="0.2">
      <c r="C78" s="16" t="s">
        <v>62</v>
      </c>
    </row>
    <row r="79" spans="3:3" x14ac:dyDescent="0.2">
      <c r="C79" s="12" t="s">
        <v>58</v>
      </c>
    </row>
    <row r="80" spans="3:3" x14ac:dyDescent="0.2">
      <c r="C80" s="12" t="s">
        <v>123</v>
      </c>
    </row>
    <row r="81" spans="3:3" x14ac:dyDescent="0.2">
      <c r="C81" s="12" t="s">
        <v>124</v>
      </c>
    </row>
    <row r="82" spans="3:3" x14ac:dyDescent="0.2">
      <c r="C82" s="12" t="s">
        <v>63</v>
      </c>
    </row>
    <row r="83" spans="3:3" x14ac:dyDescent="0.2">
      <c r="C83" s="12" t="s">
        <v>125</v>
      </c>
    </row>
    <row r="84" spans="3:3" x14ac:dyDescent="0.2">
      <c r="C84" s="12" t="s">
        <v>126</v>
      </c>
    </row>
    <row r="85" spans="3:3" x14ac:dyDescent="0.2">
      <c r="C85" s="12" t="s">
        <v>71</v>
      </c>
    </row>
    <row r="86" spans="3:3" x14ac:dyDescent="0.2">
      <c r="C86" s="12" t="s">
        <v>116</v>
      </c>
    </row>
    <row r="88" spans="3:3" x14ac:dyDescent="0.2">
      <c r="C88" s="16" t="s">
        <v>73</v>
      </c>
    </row>
    <row r="89" spans="3:3" x14ac:dyDescent="0.2">
      <c r="C89" s="12" t="s">
        <v>72</v>
      </c>
    </row>
    <row r="91" spans="3:3" x14ac:dyDescent="0.2">
      <c r="C91" s="16" t="s">
        <v>74</v>
      </c>
    </row>
    <row r="94" spans="3:3" x14ac:dyDescent="0.2">
      <c r="C94" s="16" t="s">
        <v>138</v>
      </c>
    </row>
    <row r="95" spans="3:3" x14ac:dyDescent="0.2">
      <c r="C95" s="12" t="s">
        <v>139</v>
      </c>
    </row>
    <row r="98" spans="3:3" x14ac:dyDescent="0.2">
      <c r="C98" s="16" t="s">
        <v>516</v>
      </c>
    </row>
    <row r="99" spans="3:3" x14ac:dyDescent="0.2">
      <c r="C99" s="54" t="s">
        <v>517</v>
      </c>
    </row>
    <row r="101" spans="3:3" x14ac:dyDescent="0.2">
      <c r="C101" s="16" t="s">
        <v>515</v>
      </c>
    </row>
    <row r="102" spans="3:3" x14ac:dyDescent="0.2">
      <c r="C102" s="54" t="s">
        <v>518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2.75" x14ac:dyDescent="0.2"/>
  <sheetData>
    <row r="1" spans="1:2" x14ac:dyDescent="0.2">
      <c r="A1" s="25" t="s">
        <v>52</v>
      </c>
    </row>
    <row r="2" spans="1:2" x14ac:dyDescent="0.2">
      <c r="B2" s="31" t="s">
        <v>288</v>
      </c>
    </row>
    <row r="3" spans="1:2" x14ac:dyDescent="0.2">
      <c r="B3" s="31" t="s">
        <v>289</v>
      </c>
    </row>
    <row r="4" spans="1:2" x14ac:dyDescent="0.2">
      <c r="B4" s="31" t="s">
        <v>290</v>
      </c>
    </row>
    <row r="5" spans="1:2" x14ac:dyDescent="0.2">
      <c r="B5" s="31" t="s">
        <v>291</v>
      </c>
    </row>
    <row r="6" spans="1:2" x14ac:dyDescent="0.2">
      <c r="B6" s="31" t="s">
        <v>292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1C3B-949C-4752-B2F1-2746AFE88D3C}">
  <dimension ref="A1:C20"/>
  <sheetViews>
    <sheetView workbookViewId="0">
      <selection activeCell="C21" sqref="C21"/>
    </sheetView>
  </sheetViews>
  <sheetFormatPr defaultRowHeight="12.75" x14ac:dyDescent="0.2"/>
  <cols>
    <col min="1" max="1" width="5" bestFit="1" customWidth="1"/>
    <col min="2" max="2" width="14.425781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448</v>
      </c>
    </row>
    <row r="3" spans="1:3" x14ac:dyDescent="0.2">
      <c r="B3" s="63" t="s">
        <v>462</v>
      </c>
      <c r="C3" s="63" t="s">
        <v>143</v>
      </c>
    </row>
    <row r="4" spans="1:3" x14ac:dyDescent="0.2">
      <c r="B4" s="63" t="s">
        <v>463</v>
      </c>
      <c r="C4" s="63" t="s">
        <v>464</v>
      </c>
    </row>
    <row r="5" spans="1:3" x14ac:dyDescent="0.2">
      <c r="B5" s="63" t="s">
        <v>1</v>
      </c>
      <c r="C5" s="63" t="s">
        <v>472</v>
      </c>
    </row>
    <row r="6" spans="1:3" x14ac:dyDescent="0.2">
      <c r="B6" s="63"/>
      <c r="C6" s="63" t="s">
        <v>471</v>
      </c>
    </row>
    <row r="7" spans="1:3" x14ac:dyDescent="0.2">
      <c r="B7" s="63" t="s">
        <v>465</v>
      </c>
      <c r="C7" s="63" t="s">
        <v>466</v>
      </c>
    </row>
    <row r="8" spans="1:3" x14ac:dyDescent="0.2">
      <c r="B8" s="63" t="s">
        <v>14</v>
      </c>
      <c r="C8" s="63" t="s">
        <v>473</v>
      </c>
    </row>
    <row r="9" spans="1:3" x14ac:dyDescent="0.2">
      <c r="B9" s="63" t="s">
        <v>12</v>
      </c>
    </row>
    <row r="10" spans="1:3" x14ac:dyDescent="0.2">
      <c r="B10" s="63"/>
      <c r="C10" s="64" t="s">
        <v>565</v>
      </c>
    </row>
    <row r="11" spans="1:3" x14ac:dyDescent="0.2">
      <c r="C11" s="63" t="s">
        <v>469</v>
      </c>
    </row>
    <row r="13" spans="1:3" x14ac:dyDescent="0.2">
      <c r="C13" s="64" t="s">
        <v>564</v>
      </c>
    </row>
    <row r="14" spans="1:3" x14ac:dyDescent="0.2">
      <c r="C14" s="63" t="s">
        <v>470</v>
      </c>
    </row>
    <row r="16" spans="1:3" x14ac:dyDescent="0.2">
      <c r="C16" s="64" t="s">
        <v>566</v>
      </c>
    </row>
    <row r="18" spans="3:3" x14ac:dyDescent="0.2">
      <c r="C18" s="64" t="s">
        <v>567</v>
      </c>
    </row>
    <row r="20" spans="3:3" x14ac:dyDescent="0.2">
      <c r="C20" s="64" t="s">
        <v>568</v>
      </c>
    </row>
  </sheetData>
  <hyperlinks>
    <hyperlink ref="A1" location="Main!A1" display="Main" xr:uid="{CF4372EA-9B20-4058-929E-5FB8E4F2A7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"/>
  <sheetViews>
    <sheetView workbookViewId="0">
      <selection activeCell="C19" sqref="C19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</row>
    <row r="2" spans="1:3" x14ac:dyDescent="0.2">
      <c r="B2" t="s">
        <v>10</v>
      </c>
      <c r="C2" s="63" t="s">
        <v>455</v>
      </c>
    </row>
    <row r="3" spans="1:3" x14ac:dyDescent="0.2">
      <c r="B3" t="s">
        <v>21</v>
      </c>
      <c r="C3" s="63" t="s">
        <v>454</v>
      </c>
    </row>
    <row r="4" spans="1:3" x14ac:dyDescent="0.2">
      <c r="B4" t="s">
        <v>1</v>
      </c>
      <c r="C4" s="63" t="s">
        <v>478</v>
      </c>
    </row>
    <row r="5" spans="1:3" x14ac:dyDescent="0.2">
      <c r="B5" t="s">
        <v>11</v>
      </c>
      <c r="C5" s="31" t="s">
        <v>343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6</v>
      </c>
      <c r="C7" s="31" t="s">
        <v>344</v>
      </c>
    </row>
    <row r="8" spans="1:3" x14ac:dyDescent="0.2">
      <c r="B8" t="s">
        <v>14</v>
      </c>
      <c r="C8" s="31" t="s">
        <v>345</v>
      </c>
    </row>
    <row r="9" spans="1:3" x14ac:dyDescent="0.2">
      <c r="C9" s="31" t="s">
        <v>335</v>
      </c>
    </row>
    <row r="10" spans="1:3" x14ac:dyDescent="0.2">
      <c r="C10" s="31" t="s">
        <v>336</v>
      </c>
    </row>
    <row r="11" spans="1:3" x14ac:dyDescent="0.2">
      <c r="B11" t="s">
        <v>23</v>
      </c>
      <c r="C11" s="31" t="s">
        <v>359</v>
      </c>
    </row>
    <row r="12" spans="1:3" x14ac:dyDescent="0.2">
      <c r="B12" t="s">
        <v>12</v>
      </c>
    </row>
    <row r="13" spans="1:3" x14ac:dyDescent="0.2">
      <c r="C13" s="64" t="s">
        <v>479</v>
      </c>
    </row>
    <row r="14" spans="1:3" x14ac:dyDescent="0.2">
      <c r="C14" t="s">
        <v>481</v>
      </c>
    </row>
    <row r="17" spans="3:15" x14ac:dyDescent="0.2">
      <c r="C17" s="64" t="s">
        <v>480</v>
      </c>
    </row>
    <row r="19" spans="3:15" x14ac:dyDescent="0.2">
      <c r="C19" s="64" t="s">
        <v>597</v>
      </c>
    </row>
    <row r="22" spans="3:15" x14ac:dyDescent="0.2">
      <c r="C22" s="64" t="s">
        <v>339</v>
      </c>
    </row>
    <row r="23" spans="3:15" x14ac:dyDescent="0.2">
      <c r="C23" s="31" t="s">
        <v>340</v>
      </c>
      <c r="O23" s="16" t="s">
        <v>134</v>
      </c>
    </row>
    <row r="24" spans="3:15" x14ac:dyDescent="0.2">
      <c r="C24" s="31" t="s">
        <v>341</v>
      </c>
    </row>
    <row r="25" spans="3:15" x14ac:dyDescent="0.2">
      <c r="C25" s="31" t="s">
        <v>342</v>
      </c>
    </row>
    <row r="27" spans="3:15" x14ac:dyDescent="0.2">
      <c r="C27" s="64" t="s">
        <v>346</v>
      </c>
    </row>
    <row r="29" spans="3:15" x14ac:dyDescent="0.2">
      <c r="C29" s="31" t="s">
        <v>354</v>
      </c>
    </row>
    <row r="30" spans="3:15" x14ac:dyDescent="0.2">
      <c r="D30" s="31" t="s">
        <v>347</v>
      </c>
      <c r="E30" s="31" t="s">
        <v>348</v>
      </c>
      <c r="F30" s="31" t="s">
        <v>349</v>
      </c>
      <c r="G30" s="31" t="s">
        <v>350</v>
      </c>
    </row>
    <row r="31" spans="3:15" x14ac:dyDescent="0.2">
      <c r="D31" s="31" t="s">
        <v>351</v>
      </c>
      <c r="E31" s="31" t="s">
        <v>351</v>
      </c>
      <c r="F31" s="31" t="s">
        <v>352</v>
      </c>
      <c r="G31" s="31" t="s">
        <v>353</v>
      </c>
    </row>
    <row r="32" spans="3:15" x14ac:dyDescent="0.2">
      <c r="C32" s="31" t="s">
        <v>355</v>
      </c>
      <c r="D32" s="26">
        <v>0.32</v>
      </c>
      <c r="E32" s="26">
        <v>0.52</v>
      </c>
      <c r="F32" s="26">
        <v>0.59</v>
      </c>
      <c r="G32" s="26">
        <v>0.53</v>
      </c>
    </row>
    <row r="33" spans="3:15" x14ac:dyDescent="0.2">
      <c r="C33" s="31" t="s">
        <v>356</v>
      </c>
      <c r="D33" s="26">
        <v>0.13</v>
      </c>
      <c r="E33" s="26">
        <v>0.35</v>
      </c>
      <c r="F33" s="26">
        <v>0.31</v>
      </c>
      <c r="G33" s="26">
        <v>0.3</v>
      </c>
    </row>
    <row r="34" spans="3:15" x14ac:dyDescent="0.2">
      <c r="C34" s="31" t="s">
        <v>357</v>
      </c>
      <c r="D34" s="26">
        <v>0.03</v>
      </c>
      <c r="E34" s="26">
        <v>0.16</v>
      </c>
      <c r="F34" s="26">
        <v>0.09</v>
      </c>
      <c r="G34" s="26">
        <v>0.1</v>
      </c>
    </row>
    <row r="36" spans="3:15" x14ac:dyDescent="0.2">
      <c r="C36" s="31" t="s">
        <v>358</v>
      </c>
    </row>
    <row r="38" spans="3:15" x14ac:dyDescent="0.2">
      <c r="C38" s="31" t="s">
        <v>206</v>
      </c>
    </row>
    <row r="39" spans="3:15" x14ac:dyDescent="0.2">
      <c r="C39" s="31" t="s">
        <v>207</v>
      </c>
    </row>
    <row r="40" spans="3:15" x14ac:dyDescent="0.2">
      <c r="C40" s="31" t="s">
        <v>208</v>
      </c>
    </row>
    <row r="41" spans="3:15" x14ac:dyDescent="0.2">
      <c r="C41" s="31" t="s">
        <v>209</v>
      </c>
      <c r="O41" s="16" t="s">
        <v>135</v>
      </c>
    </row>
    <row r="42" spans="3:15" x14ac:dyDescent="0.2">
      <c r="C42" s="31" t="s">
        <v>210</v>
      </c>
      <c r="O42" s="12" t="s">
        <v>133</v>
      </c>
    </row>
    <row r="43" spans="3:15" x14ac:dyDescent="0.2">
      <c r="C43" s="31" t="s">
        <v>211</v>
      </c>
      <c r="O43" s="12" t="s">
        <v>136</v>
      </c>
    </row>
    <row r="45" spans="3:15" x14ac:dyDescent="0.2">
      <c r="C45" s="64" t="s">
        <v>508</v>
      </c>
    </row>
    <row r="46" spans="3:15" x14ac:dyDescent="0.2">
      <c r="C46" t="s">
        <v>509</v>
      </c>
    </row>
    <row r="49" spans="3:3" x14ac:dyDescent="0.2">
      <c r="C49" s="64" t="s">
        <v>510</v>
      </c>
    </row>
  </sheetData>
  <hyperlinks>
    <hyperlink ref="A1" location="Main!A1" display="main" xr:uid="{00000000-0004-0000-08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9D7-D433-42EA-85D9-844DBCCD7DB2}">
  <dimension ref="A1:C19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447</v>
      </c>
    </row>
    <row r="3" spans="1:3" x14ac:dyDescent="0.2">
      <c r="B3" s="63" t="s">
        <v>462</v>
      </c>
      <c r="C3" s="63" t="s">
        <v>486</v>
      </c>
    </row>
    <row r="4" spans="1:3" x14ac:dyDescent="0.2">
      <c r="B4" s="63" t="s">
        <v>1</v>
      </c>
      <c r="C4" s="63" t="s">
        <v>487</v>
      </c>
    </row>
    <row r="5" spans="1:3" x14ac:dyDescent="0.2">
      <c r="B5" s="63" t="s">
        <v>488</v>
      </c>
      <c r="C5" s="63" t="s">
        <v>485</v>
      </c>
    </row>
    <row r="6" spans="1:3" x14ac:dyDescent="0.2">
      <c r="B6" s="63" t="s">
        <v>14</v>
      </c>
      <c r="C6" s="63" t="s">
        <v>490</v>
      </c>
    </row>
    <row r="7" spans="1:3" x14ac:dyDescent="0.2">
      <c r="B7" s="63" t="s">
        <v>12</v>
      </c>
    </row>
    <row r="8" spans="1:3" x14ac:dyDescent="0.2">
      <c r="C8" s="64" t="s">
        <v>504</v>
      </c>
    </row>
    <row r="11" spans="1:3" x14ac:dyDescent="0.2">
      <c r="C11" s="64" t="s">
        <v>554</v>
      </c>
    </row>
    <row r="14" spans="1:3" x14ac:dyDescent="0.2">
      <c r="C14" s="64" t="s">
        <v>553</v>
      </c>
    </row>
    <row r="17" spans="3:3" x14ac:dyDescent="0.2">
      <c r="C17" s="64" t="s">
        <v>552</v>
      </c>
    </row>
    <row r="19" spans="3:3" x14ac:dyDescent="0.2">
      <c r="C19" s="63" t="s">
        <v>555</v>
      </c>
    </row>
  </sheetData>
  <hyperlinks>
    <hyperlink ref="A1" location="Main!A1" display="Main" xr:uid="{9433AE08-2016-4999-9A06-4C588AB53A3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C12" sqref="C12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63" t="s">
        <v>453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191</v>
      </c>
    </row>
    <row r="5" spans="1:3" x14ac:dyDescent="0.2">
      <c r="C5" s="31" t="s">
        <v>122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14</v>
      </c>
      <c r="C7" s="31" t="s">
        <v>321</v>
      </c>
    </row>
    <row r="8" spans="1:3" x14ac:dyDescent="0.2">
      <c r="B8" t="s">
        <v>23</v>
      </c>
      <c r="C8" s="31"/>
    </row>
    <row r="9" spans="1:3" x14ac:dyDescent="0.2">
      <c r="B9" t="s">
        <v>12</v>
      </c>
      <c r="C9" s="31"/>
    </row>
    <row r="10" spans="1:3" x14ac:dyDescent="0.2">
      <c r="C10" s="64" t="s">
        <v>595</v>
      </c>
    </row>
    <row r="11" spans="1:3" x14ac:dyDescent="0.2">
      <c r="C11" s="63" t="s">
        <v>596</v>
      </c>
    </row>
    <row r="12" spans="1:3" x14ac:dyDescent="0.2">
      <c r="C12" s="31"/>
    </row>
    <row r="13" spans="1:3" x14ac:dyDescent="0.2">
      <c r="C13" s="64" t="s">
        <v>322</v>
      </c>
    </row>
    <row r="14" spans="1:3" x14ac:dyDescent="0.2">
      <c r="C14" s="31" t="s">
        <v>323</v>
      </c>
    </row>
    <row r="15" spans="1:3" x14ac:dyDescent="0.2">
      <c r="C15" s="31" t="s">
        <v>324</v>
      </c>
    </row>
    <row r="16" spans="1:3" x14ac:dyDescent="0.2">
      <c r="C16" s="31" t="s">
        <v>325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B209-A8FB-4E3C-93A8-FCECAB25B921}">
  <dimension ref="A1:C14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543</v>
      </c>
    </row>
    <row r="3" spans="1:3" x14ac:dyDescent="0.2">
      <c r="B3" s="63" t="s">
        <v>462</v>
      </c>
      <c r="C3" s="63" t="s">
        <v>545</v>
      </c>
    </row>
    <row r="4" spans="1:3" x14ac:dyDescent="0.2">
      <c r="B4" s="63" t="s">
        <v>1</v>
      </c>
      <c r="C4" s="63" t="s">
        <v>546</v>
      </c>
    </row>
    <row r="5" spans="1:3" x14ac:dyDescent="0.2">
      <c r="B5" s="63" t="s">
        <v>488</v>
      </c>
      <c r="C5" s="63" t="s">
        <v>549</v>
      </c>
    </row>
    <row r="6" spans="1:3" x14ac:dyDescent="0.2">
      <c r="B6" s="63" t="s">
        <v>465</v>
      </c>
      <c r="C6" s="63" t="s">
        <v>544</v>
      </c>
    </row>
    <row r="7" spans="1:3" x14ac:dyDescent="0.2">
      <c r="B7" s="63" t="s">
        <v>12</v>
      </c>
    </row>
    <row r="8" spans="1:3" x14ac:dyDescent="0.2">
      <c r="C8" s="64" t="s">
        <v>547</v>
      </c>
    </row>
    <row r="10" spans="1:3" x14ac:dyDescent="0.2">
      <c r="C10" s="64" t="s">
        <v>548</v>
      </c>
    </row>
    <row r="12" spans="1:3" x14ac:dyDescent="0.2">
      <c r="C12" s="64" t="s">
        <v>550</v>
      </c>
    </row>
    <row r="14" spans="1:3" x14ac:dyDescent="0.2">
      <c r="C14" s="64" t="s">
        <v>551</v>
      </c>
    </row>
  </sheetData>
  <hyperlinks>
    <hyperlink ref="A1" location="Main!A1" display="Main" xr:uid="{CCECE9F5-8155-4A84-B02D-9E9F8C3BB9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F600B-2292-4B54-9B9B-0627F8C06A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5789ED-663B-4F9D-83B8-310EE7A32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317B7F-B4C1-44E7-BEEE-569C53B5B0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Model</vt:lpstr>
      <vt:lpstr>Jakafi</vt:lpstr>
      <vt:lpstr>NEJM letter</vt:lpstr>
      <vt:lpstr>Opzelura</vt:lpstr>
      <vt:lpstr>Olumiant</vt:lpstr>
      <vt:lpstr>Minjuvi</vt:lpstr>
      <vt:lpstr>Tabrecta</vt:lpstr>
      <vt:lpstr>Pemazyre</vt:lpstr>
      <vt:lpstr>retifanlimab</vt:lpstr>
      <vt:lpstr>parsaclisib</vt:lpstr>
      <vt:lpstr>INCB57643</vt:lpstr>
      <vt:lpstr>CK0804</vt:lpstr>
      <vt:lpstr>INCB00928</vt:lpstr>
      <vt:lpstr>axatilimab</vt:lpstr>
      <vt:lpstr>INCB7839</vt:lpstr>
      <vt:lpstr>INCB24360</vt:lpstr>
      <vt:lpstr>INCB 7839</vt:lpstr>
      <vt:lpstr>INCB 8696</vt:lpstr>
      <vt:lpstr>Dexelvucitabine</vt:lpstr>
      <vt:lpstr>INCB 13739</vt:lpstr>
      <vt:lpstr>INCB 15050</vt:lpstr>
      <vt:lpstr>Old Model</vt:lpstr>
      <vt:lpstr>JAK field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2006-06-28T07:17:05Z</dcterms:created>
  <dcterms:modified xsi:type="dcterms:W3CDTF">2024-09-03T00:28:34Z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