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3EF0684-AFBE-4C9F-971D-991832769A4E}" xr6:coauthVersionLast="47" xr6:coauthVersionMax="47" xr10:uidLastSave="{00000000-0000-0000-0000-000000000000}"/>
  <bookViews>
    <workbookView xWindow="-44535" yWindow="1005" windowWidth="26295" windowHeight="19575" activeTab="1" xr2:uid="{F911F33E-D266-41EC-86F2-46FCC30D23BB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93" i="2" l="1"/>
  <c r="AC94" i="2" s="1"/>
  <c r="AB93" i="2"/>
  <c r="AB94" i="2" s="1"/>
  <c r="AB38" i="2"/>
  <c r="AB37" i="2"/>
  <c r="AC35" i="2"/>
  <c r="AB28" i="2"/>
  <c r="AB21" i="2"/>
  <c r="AB26" i="2"/>
  <c r="AB20" i="2"/>
  <c r="AD35" i="2"/>
  <c r="AC38" i="2"/>
  <c r="AC37" i="2"/>
  <c r="AC28" i="2"/>
  <c r="AC21" i="2"/>
  <c r="AC26" i="2"/>
  <c r="AC20" i="2"/>
  <c r="AC22" i="2" s="1"/>
  <c r="AD93" i="2"/>
  <c r="AD28" i="2"/>
  <c r="AD21" i="2"/>
  <c r="AD26" i="2"/>
  <c r="AD20" i="2"/>
  <c r="AD22" i="2" s="1"/>
  <c r="AD37" i="2" s="1"/>
  <c r="AF93" i="2"/>
  <c r="AF94" i="2" s="1"/>
  <c r="AE93" i="2"/>
  <c r="AE28" i="2"/>
  <c r="AE21" i="2"/>
  <c r="AE20" i="2"/>
  <c r="AF35" i="2" s="1"/>
  <c r="AE26" i="2"/>
  <c r="AE22" i="2"/>
  <c r="AE37" i="2" s="1"/>
  <c r="AF28" i="2"/>
  <c r="AF26" i="2"/>
  <c r="AF21" i="2"/>
  <c r="AF22" i="2" s="1"/>
  <c r="AF37" i="2" s="1"/>
  <c r="AI93" i="2"/>
  <c r="AH93" i="2"/>
  <c r="AG93" i="2"/>
  <c r="AJ93" i="2"/>
  <c r="V86" i="2"/>
  <c r="V80" i="2"/>
  <c r="V12" i="2"/>
  <c r="V11" i="2"/>
  <c r="V10" i="2"/>
  <c r="V8" i="2"/>
  <c r="V7" i="2"/>
  <c r="V6" i="2"/>
  <c r="V5" i="2"/>
  <c r="T20" i="2"/>
  <c r="U70" i="2"/>
  <c r="V70" i="2" s="1"/>
  <c r="U55" i="2"/>
  <c r="U62" i="2" s="1"/>
  <c r="U41" i="2"/>
  <c r="U43" i="2"/>
  <c r="U49" i="2"/>
  <c r="U48" i="2"/>
  <c r="U40" i="2"/>
  <c r="T90" i="2"/>
  <c r="U90" i="2" s="1"/>
  <c r="V90" i="2" s="1"/>
  <c r="T88" i="2"/>
  <c r="U88" i="2" s="1"/>
  <c r="V88" i="2" s="1"/>
  <c r="T87" i="2"/>
  <c r="U87" i="2" s="1"/>
  <c r="V87" i="2" s="1"/>
  <c r="T86" i="2"/>
  <c r="U86" i="2" s="1"/>
  <c r="T85" i="2"/>
  <c r="U85" i="2" s="1"/>
  <c r="V85" i="2" s="1"/>
  <c r="T79" i="2"/>
  <c r="U79" i="2" s="1"/>
  <c r="V79" i="2" s="1"/>
  <c r="T78" i="2"/>
  <c r="U78" i="2" s="1"/>
  <c r="V78" i="2" s="1"/>
  <c r="T77" i="2"/>
  <c r="U77" i="2" s="1"/>
  <c r="U81" i="2" s="1"/>
  <c r="T74" i="2"/>
  <c r="U74" i="2" s="1"/>
  <c r="V74" i="2" s="1"/>
  <c r="T73" i="2"/>
  <c r="U73" i="2" s="1"/>
  <c r="V73" i="2" s="1"/>
  <c r="T72" i="2"/>
  <c r="U72" i="2" s="1"/>
  <c r="V72" i="2" s="1"/>
  <c r="T71" i="2"/>
  <c r="U71" i="2" s="1"/>
  <c r="V71" i="2" s="1"/>
  <c r="T70" i="2"/>
  <c r="T69" i="2"/>
  <c r="U69" i="2" s="1"/>
  <c r="V69" i="2" s="1"/>
  <c r="T68" i="2"/>
  <c r="U68" i="2" s="1"/>
  <c r="V68" i="2" s="1"/>
  <c r="T67" i="2"/>
  <c r="U67" i="2" s="1"/>
  <c r="V67" i="2" s="1"/>
  <c r="T66" i="2"/>
  <c r="U66" i="2" s="1"/>
  <c r="V66" i="2" s="1"/>
  <c r="T65" i="2"/>
  <c r="U65" i="2" s="1"/>
  <c r="T55" i="2"/>
  <c r="T62" i="2" s="1"/>
  <c r="T49" i="2"/>
  <c r="T41" i="2"/>
  <c r="T40" i="2"/>
  <c r="T43" i="2"/>
  <c r="T48" i="2"/>
  <c r="T50" i="2" s="1"/>
  <c r="S84" i="2"/>
  <c r="T84" i="2" s="1"/>
  <c r="U84" i="2" s="1"/>
  <c r="V84" i="2" s="1"/>
  <c r="S83" i="2"/>
  <c r="S77" i="2"/>
  <c r="S81" i="2" s="1"/>
  <c r="S55" i="2"/>
  <c r="S62" i="2"/>
  <c r="S43" i="2"/>
  <c r="S49" i="2"/>
  <c r="S41" i="2"/>
  <c r="S48" i="2"/>
  <c r="S75" i="2"/>
  <c r="S93" i="2" s="1"/>
  <c r="U4" i="2"/>
  <c r="T4" i="2"/>
  <c r="S4" i="2"/>
  <c r="R4" i="2"/>
  <c r="V58" i="2"/>
  <c r="V62" i="2" s="1"/>
  <c r="V43" i="2"/>
  <c r="V48" i="2"/>
  <c r="V41" i="2"/>
  <c r="V49" i="2"/>
  <c r="AI19" i="2"/>
  <c r="AI18" i="2"/>
  <c r="AJ19" i="2"/>
  <c r="AJ18" i="2"/>
  <c r="P28" i="2"/>
  <c r="P21" i="2"/>
  <c r="T28" i="2"/>
  <c r="T21" i="2"/>
  <c r="O28" i="2"/>
  <c r="O26" i="2"/>
  <c r="O21" i="2"/>
  <c r="O20" i="2"/>
  <c r="O22" i="2" s="1"/>
  <c r="S28" i="2"/>
  <c r="S26" i="2"/>
  <c r="S21" i="2"/>
  <c r="S20" i="2"/>
  <c r="P20" i="2"/>
  <c r="Q28" i="2"/>
  <c r="Q21" i="2"/>
  <c r="Q20" i="2"/>
  <c r="U28" i="2"/>
  <c r="U21" i="2"/>
  <c r="U20" i="2"/>
  <c r="U22" i="2" s="1"/>
  <c r="U37" i="2" s="1"/>
  <c r="V28" i="2"/>
  <c r="V20" i="2"/>
  <c r="V21" i="2"/>
  <c r="V26" i="2"/>
  <c r="U26" i="2"/>
  <c r="T26" i="2"/>
  <c r="R21" i="2"/>
  <c r="R20" i="2"/>
  <c r="R22" i="2" s="1"/>
  <c r="AH30" i="2"/>
  <c r="O2" i="2"/>
  <c r="P2" i="2" s="1"/>
  <c r="Q2" i="2" s="1"/>
  <c r="R2" i="2" s="1"/>
  <c r="V2" i="2" s="1"/>
  <c r="AJ2" i="2" s="1"/>
  <c r="AK2" i="2" s="1"/>
  <c r="AI24" i="2"/>
  <c r="AJ24" i="2" s="1"/>
  <c r="AK24" i="2" s="1"/>
  <c r="J12" i="2"/>
  <c r="J11" i="2"/>
  <c r="J8" i="2"/>
  <c r="J7" i="2"/>
  <c r="J6" i="2"/>
  <c r="J5" i="2"/>
  <c r="G4" i="2"/>
  <c r="N12" i="2"/>
  <c r="N11" i="2"/>
  <c r="N8" i="2"/>
  <c r="N7" i="2"/>
  <c r="N6" i="2"/>
  <c r="N5" i="2"/>
  <c r="K4" i="2"/>
  <c r="H4" i="2"/>
  <c r="L4" i="2"/>
  <c r="I4" i="2"/>
  <c r="M4" i="2"/>
  <c r="AH4" i="2"/>
  <c r="AG4" i="2"/>
  <c r="AF4" i="2"/>
  <c r="AI23" i="2"/>
  <c r="AJ23" i="2" s="1"/>
  <c r="AK23" i="2" s="1"/>
  <c r="AL23" i="2" s="1"/>
  <c r="AH18" i="2"/>
  <c r="AG33" i="2"/>
  <c r="AG30" i="2"/>
  <c r="AG25" i="2"/>
  <c r="AG24" i="2"/>
  <c r="AG23" i="2"/>
  <c r="AG19" i="2"/>
  <c r="AG18" i="2"/>
  <c r="N58" i="2"/>
  <c r="N43" i="2"/>
  <c r="N48" i="2"/>
  <c r="N41" i="2"/>
  <c r="N28" i="2"/>
  <c r="N26" i="2"/>
  <c r="N21" i="2"/>
  <c r="N20" i="2"/>
  <c r="F28" i="2"/>
  <c r="F21" i="2"/>
  <c r="F26" i="2"/>
  <c r="J28" i="2"/>
  <c r="J21" i="2"/>
  <c r="F20" i="2"/>
  <c r="G28" i="2"/>
  <c r="G21" i="2"/>
  <c r="K28" i="2"/>
  <c r="K21" i="2"/>
  <c r="AH33" i="2"/>
  <c r="AH25" i="2"/>
  <c r="AH24" i="2"/>
  <c r="AH23" i="2"/>
  <c r="AH19" i="2"/>
  <c r="H28" i="2"/>
  <c r="L28" i="2"/>
  <c r="L26" i="2"/>
  <c r="K26" i="2"/>
  <c r="J26" i="2"/>
  <c r="I26" i="2"/>
  <c r="H26" i="2"/>
  <c r="G26" i="2"/>
  <c r="L20" i="2"/>
  <c r="L22" i="2" s="1"/>
  <c r="L37" i="2" s="1"/>
  <c r="K20" i="2"/>
  <c r="J20" i="2"/>
  <c r="I20" i="2"/>
  <c r="H20" i="2"/>
  <c r="H22" i="2" s="1"/>
  <c r="G20" i="2"/>
  <c r="L4" i="1"/>
  <c r="L7" i="1" s="1"/>
  <c r="M55" i="2"/>
  <c r="M62" i="2" s="1"/>
  <c r="M43" i="2"/>
  <c r="M48" i="2"/>
  <c r="M41" i="2"/>
  <c r="I28" i="2"/>
  <c r="M26" i="2"/>
  <c r="M21" i="2"/>
  <c r="I21" i="2"/>
  <c r="M20" i="2"/>
  <c r="AB22" i="2" l="1"/>
  <c r="AB27" i="2" s="1"/>
  <c r="AB29" i="2" s="1"/>
  <c r="AB31" i="2" s="1"/>
  <c r="AB32" i="2" s="1"/>
  <c r="AC27" i="2"/>
  <c r="AC29" i="2" s="1"/>
  <c r="AC31" i="2" s="1"/>
  <c r="AC32" i="2" s="1"/>
  <c r="AD94" i="2"/>
  <c r="U50" i="2"/>
  <c r="V40" i="2"/>
  <c r="AE35" i="2"/>
  <c r="AD27" i="2"/>
  <c r="AH94" i="2"/>
  <c r="AE94" i="2"/>
  <c r="AE27" i="2"/>
  <c r="AJ20" i="2"/>
  <c r="AJ94" i="2" s="1"/>
  <c r="AF27" i="2"/>
  <c r="J4" i="2"/>
  <c r="T22" i="2"/>
  <c r="T37" i="2" s="1"/>
  <c r="S50" i="2"/>
  <c r="J35" i="2"/>
  <c r="S89" i="2"/>
  <c r="S91" i="2" s="1"/>
  <c r="T81" i="2"/>
  <c r="AI2" i="2"/>
  <c r="Q22" i="2"/>
  <c r="T35" i="2"/>
  <c r="U75" i="2"/>
  <c r="U93" i="2" s="1"/>
  <c r="P22" i="2"/>
  <c r="S22" i="2"/>
  <c r="S27" i="2" s="1"/>
  <c r="S29" i="2" s="1"/>
  <c r="S31" i="2" s="1"/>
  <c r="S32" i="2" s="1"/>
  <c r="V77" i="2"/>
  <c r="V81" i="2" s="1"/>
  <c r="T75" i="2"/>
  <c r="T93" i="2" s="1"/>
  <c r="T83" i="2"/>
  <c r="U35" i="2"/>
  <c r="V22" i="2"/>
  <c r="V37" i="2" s="1"/>
  <c r="V65" i="2"/>
  <c r="V75" i="2" s="1"/>
  <c r="V93" i="2" s="1"/>
  <c r="V50" i="2"/>
  <c r="S35" i="2"/>
  <c r="V35" i="2"/>
  <c r="V4" i="2"/>
  <c r="S40" i="2"/>
  <c r="O27" i="2"/>
  <c r="O29" i="2" s="1"/>
  <c r="O31" i="2" s="1"/>
  <c r="O32" i="2" s="1"/>
  <c r="U27" i="2"/>
  <c r="AI10" i="2"/>
  <c r="AJ10" i="2" s="1"/>
  <c r="AK10" i="2" s="1"/>
  <c r="AL10" i="2" s="1"/>
  <c r="S2" i="2"/>
  <c r="T2" i="2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U2" i="2"/>
  <c r="AI12" i="2"/>
  <c r="AJ12" i="2" s="1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Q26" i="2"/>
  <c r="P26" i="2"/>
  <c r="R26" i="2"/>
  <c r="R35" i="2"/>
  <c r="AI5" i="2"/>
  <c r="AI8" i="2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P4" i="2"/>
  <c r="Q4" i="2"/>
  <c r="O4" i="2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N50" i="2"/>
  <c r="AM23" i="2"/>
  <c r="AL24" i="2"/>
  <c r="AM24" i="2" s="1"/>
  <c r="AN24" i="2" s="1"/>
  <c r="AO24" i="2" s="1"/>
  <c r="AP24" i="2" s="1"/>
  <c r="AQ24" i="2" s="1"/>
  <c r="AR24" i="2" s="1"/>
  <c r="AS24" i="2" s="1"/>
  <c r="AT24" i="2" s="1"/>
  <c r="AU24" i="2" s="1"/>
  <c r="N4" i="2"/>
  <c r="AG26" i="2"/>
  <c r="AG21" i="2"/>
  <c r="AG20" i="2"/>
  <c r="AG35" i="2" s="1"/>
  <c r="F22" i="2"/>
  <c r="F27" i="2" s="1"/>
  <c r="F29" i="2" s="1"/>
  <c r="F31" i="2" s="1"/>
  <c r="F32" i="2" s="1"/>
  <c r="N35" i="2"/>
  <c r="M35" i="2"/>
  <c r="K35" i="2"/>
  <c r="AG28" i="2"/>
  <c r="N40" i="2"/>
  <c r="N62" i="2"/>
  <c r="N22" i="2"/>
  <c r="L35" i="2"/>
  <c r="J22" i="2"/>
  <c r="J37" i="2" s="1"/>
  <c r="AH28" i="2"/>
  <c r="AH21" i="2"/>
  <c r="M50" i="2"/>
  <c r="G22" i="2"/>
  <c r="G37" i="2" s="1"/>
  <c r="AH26" i="2"/>
  <c r="K22" i="2"/>
  <c r="K37" i="2" s="1"/>
  <c r="AH20" i="2"/>
  <c r="I22" i="2"/>
  <c r="I37" i="2" s="1"/>
  <c r="M22" i="2"/>
  <c r="M27" i="2" s="1"/>
  <c r="M29" i="2" s="1"/>
  <c r="M31" i="2" s="1"/>
  <c r="M32" i="2" s="1"/>
  <c r="M40" i="2"/>
  <c r="L27" i="2"/>
  <c r="H27" i="2"/>
  <c r="H29" i="2" s="1"/>
  <c r="H31" i="2" s="1"/>
  <c r="H32" i="2" s="1"/>
  <c r="H37" i="2"/>
  <c r="AD29" i="2" l="1"/>
  <c r="AD31" i="2" s="1"/>
  <c r="AD32" i="2" s="1"/>
  <c r="AD38" i="2"/>
  <c r="AG94" i="2"/>
  <c r="AE29" i="2"/>
  <c r="AE31" i="2" s="1"/>
  <c r="AE32" i="2" s="1"/>
  <c r="AE38" i="2"/>
  <c r="AI4" i="2"/>
  <c r="AI20" i="2" s="1"/>
  <c r="AI94" i="2" s="1"/>
  <c r="T27" i="2"/>
  <c r="AF29" i="2"/>
  <c r="AF31" i="2" s="1"/>
  <c r="AF32" i="2" s="1"/>
  <c r="AF38" i="2"/>
  <c r="S64" i="2"/>
  <c r="S38" i="2"/>
  <c r="V27" i="2"/>
  <c r="S37" i="2"/>
  <c r="V38" i="2"/>
  <c r="V29" i="2"/>
  <c r="V31" i="2" s="1"/>
  <c r="U38" i="2"/>
  <c r="U29" i="2"/>
  <c r="U31" i="2" s="1"/>
  <c r="U83" i="2"/>
  <c r="T89" i="2"/>
  <c r="T91" i="2" s="1"/>
  <c r="T38" i="2"/>
  <c r="T29" i="2"/>
  <c r="T31" i="2" s="1"/>
  <c r="AI26" i="2"/>
  <c r="AJ26" i="2"/>
  <c r="AK26" i="2"/>
  <c r="Q37" i="2"/>
  <c r="Q27" i="2"/>
  <c r="Q38" i="2" s="1"/>
  <c r="O37" i="2"/>
  <c r="O38" i="2"/>
  <c r="AJ5" i="2"/>
  <c r="AJ4" i="2" s="1"/>
  <c r="Q35" i="2"/>
  <c r="O35" i="2"/>
  <c r="AM10" i="2"/>
  <c r="AK12" i="2"/>
  <c r="AN23" i="2"/>
  <c r="AM26" i="2"/>
  <c r="AL26" i="2"/>
  <c r="P37" i="2"/>
  <c r="P27" i="2"/>
  <c r="P38" i="2" s="1"/>
  <c r="P35" i="2"/>
  <c r="AG22" i="2"/>
  <c r="AG27" i="2" s="1"/>
  <c r="J27" i="2"/>
  <c r="N27" i="2"/>
  <c r="N37" i="2"/>
  <c r="J29" i="2"/>
  <c r="J31" i="2" s="1"/>
  <c r="J32" i="2" s="1"/>
  <c r="J38" i="2"/>
  <c r="AH22" i="2"/>
  <c r="AH37" i="2" s="1"/>
  <c r="AH35" i="2"/>
  <c r="G27" i="2"/>
  <c r="G38" i="2" s="1"/>
  <c r="M38" i="2"/>
  <c r="M37" i="2"/>
  <c r="K27" i="2"/>
  <c r="K29" i="2" s="1"/>
  <c r="K31" i="2" s="1"/>
  <c r="K32" i="2" s="1"/>
  <c r="I27" i="2"/>
  <c r="I29" i="2" s="1"/>
  <c r="I31" i="2" s="1"/>
  <c r="I32" i="2" s="1"/>
  <c r="H38" i="2"/>
  <c r="L29" i="2"/>
  <c r="L31" i="2" s="1"/>
  <c r="L32" i="2" s="1"/>
  <c r="L38" i="2"/>
  <c r="AG37" i="2" l="1"/>
  <c r="U89" i="2"/>
  <c r="U91" i="2" s="1"/>
  <c r="V83" i="2"/>
  <c r="V89" i="2" s="1"/>
  <c r="V91" i="2" s="1"/>
  <c r="V32" i="2"/>
  <c r="V64" i="2"/>
  <c r="T32" i="2"/>
  <c r="T64" i="2"/>
  <c r="U64" i="2"/>
  <c r="U32" i="2"/>
  <c r="AI35" i="2"/>
  <c r="AJ35" i="2"/>
  <c r="Q29" i="2"/>
  <c r="Q31" i="2" s="1"/>
  <c r="Q32" i="2" s="1"/>
  <c r="AG38" i="2"/>
  <c r="AG29" i="2"/>
  <c r="AG31" i="2" s="1"/>
  <c r="AG32" i="2" s="1"/>
  <c r="AK5" i="2"/>
  <c r="AL12" i="2"/>
  <c r="AN10" i="2"/>
  <c r="R37" i="2"/>
  <c r="R27" i="2"/>
  <c r="AI21" i="2"/>
  <c r="AI22" i="2" s="1"/>
  <c r="R28" i="2"/>
  <c r="AI28" i="2" s="1"/>
  <c r="P29" i="2"/>
  <c r="P31" i="2" s="1"/>
  <c r="P32" i="2" s="1"/>
  <c r="AO23" i="2"/>
  <c r="AN26" i="2"/>
  <c r="AH27" i="2"/>
  <c r="AH38" i="2" s="1"/>
  <c r="K38" i="2"/>
  <c r="N29" i="2"/>
  <c r="N31" i="2" s="1"/>
  <c r="N32" i="2" s="1"/>
  <c r="N38" i="2"/>
  <c r="G29" i="2"/>
  <c r="G31" i="2" s="1"/>
  <c r="G32" i="2" s="1"/>
  <c r="I38" i="2"/>
  <c r="AI27" i="2" l="1"/>
  <c r="AI38" i="2" s="1"/>
  <c r="AI37" i="2"/>
  <c r="R38" i="2"/>
  <c r="R29" i="2"/>
  <c r="R30" i="2" s="1"/>
  <c r="R31" i="2" s="1"/>
  <c r="R32" i="2" s="1"/>
  <c r="AO10" i="2"/>
  <c r="AH29" i="2"/>
  <c r="AH31" i="2" s="1"/>
  <c r="AH32" i="2" s="1"/>
  <c r="AM12" i="2"/>
  <c r="AJ22" i="2"/>
  <c r="AJ21" i="2"/>
  <c r="AL5" i="2"/>
  <c r="AK4" i="2"/>
  <c r="AK20" i="2" s="1"/>
  <c r="AK35" i="2" s="1"/>
  <c r="AP23" i="2"/>
  <c r="AO26" i="2"/>
  <c r="AI33" i="2"/>
  <c r="AJ27" i="2" l="1"/>
  <c r="AJ37" i="2"/>
  <c r="AI29" i="2"/>
  <c r="AN12" i="2"/>
  <c r="AJ33" i="2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K22" i="2"/>
  <c r="AK27" i="2" s="1"/>
  <c r="AK29" i="2" s="1"/>
  <c r="AM5" i="2"/>
  <c r="AL4" i="2"/>
  <c r="AL20" i="2" s="1"/>
  <c r="AP10" i="2"/>
  <c r="AI30" i="2"/>
  <c r="AI31" i="2" s="1"/>
  <c r="AI32" i="2" s="1"/>
  <c r="AQ23" i="2"/>
  <c r="AP26" i="2"/>
  <c r="AJ29" i="2" l="1"/>
  <c r="AJ30" i="2" s="1"/>
  <c r="AJ31" i="2" s="1"/>
  <c r="AJ38" i="2"/>
  <c r="AK21" i="2"/>
  <c r="AJ32" i="2"/>
  <c r="AL22" i="2"/>
  <c r="AL27" i="2" s="1"/>
  <c r="AL29" i="2" s="1"/>
  <c r="AK30" i="2"/>
  <c r="AK31" i="2" s="1"/>
  <c r="AK32" i="2" s="1"/>
  <c r="AQ10" i="2"/>
  <c r="AN5" i="2"/>
  <c r="AM4" i="2"/>
  <c r="AM20" i="2" s="1"/>
  <c r="AO12" i="2"/>
  <c r="AQ26" i="2"/>
  <c r="AR23" i="2"/>
  <c r="AL21" i="2" l="1"/>
  <c r="AP12" i="2"/>
  <c r="AO5" i="2"/>
  <c r="AN4" i="2"/>
  <c r="AN20" i="2" s="1"/>
  <c r="AM22" i="2"/>
  <c r="AM27" i="2" s="1"/>
  <c r="AM29" i="2" s="1"/>
  <c r="AR10" i="2"/>
  <c r="AL30" i="2"/>
  <c r="AL31" i="2" s="1"/>
  <c r="AL32" i="2" s="1"/>
  <c r="AS23" i="2"/>
  <c r="AR26" i="2"/>
  <c r="AM21" i="2" l="1"/>
  <c r="AS10" i="2"/>
  <c r="AM30" i="2"/>
  <c r="AM31" i="2" s="1"/>
  <c r="AM32" i="2" s="1"/>
  <c r="AN22" i="2"/>
  <c r="AN27" i="2" s="1"/>
  <c r="AN29" i="2" s="1"/>
  <c r="AP5" i="2"/>
  <c r="AO4" i="2"/>
  <c r="AO20" i="2" s="1"/>
  <c r="AQ12" i="2"/>
  <c r="AS26" i="2"/>
  <c r="AT23" i="2"/>
  <c r="AR12" i="2" l="1"/>
  <c r="AQ5" i="2"/>
  <c r="AP4" i="2"/>
  <c r="AP20" i="2" s="1"/>
  <c r="AO22" i="2"/>
  <c r="AO27" i="2" s="1"/>
  <c r="AO29" i="2" s="1"/>
  <c r="AN30" i="2"/>
  <c r="AN31" i="2" s="1"/>
  <c r="AN32" i="2" s="1"/>
  <c r="AN21" i="2"/>
  <c r="AT10" i="2"/>
  <c r="AU23" i="2"/>
  <c r="AU26" i="2" s="1"/>
  <c r="AT26" i="2"/>
  <c r="AU10" i="2" l="1"/>
  <c r="AO30" i="2"/>
  <c r="AO31" i="2" s="1"/>
  <c r="AO32" i="2" s="1"/>
  <c r="AO21" i="2"/>
  <c r="AP22" i="2"/>
  <c r="AP27" i="2" s="1"/>
  <c r="AP29" i="2" s="1"/>
  <c r="AR5" i="2"/>
  <c r="AQ4" i="2"/>
  <c r="AQ20" i="2" s="1"/>
  <c r="AS12" i="2"/>
  <c r="AT12" i="2" l="1"/>
  <c r="AQ22" i="2"/>
  <c r="AQ27" i="2" s="1"/>
  <c r="AQ29" i="2" s="1"/>
  <c r="AS5" i="2"/>
  <c r="AR4" i="2"/>
  <c r="AR20" i="2" s="1"/>
  <c r="AP21" i="2"/>
  <c r="AP30" i="2"/>
  <c r="AP31" i="2" s="1"/>
  <c r="AP32" i="2" s="1"/>
  <c r="AT5" i="2" l="1"/>
  <c r="AS4" i="2"/>
  <c r="AS20" i="2" s="1"/>
  <c r="AR22" i="2"/>
  <c r="AR27" i="2" s="1"/>
  <c r="AR29" i="2" s="1"/>
  <c r="AQ30" i="2"/>
  <c r="AQ31" i="2" s="1"/>
  <c r="AQ32" i="2" s="1"/>
  <c r="AQ21" i="2"/>
  <c r="AU12" i="2"/>
  <c r="AR30" i="2" l="1"/>
  <c r="AR31" i="2" s="1"/>
  <c r="AR32" i="2" s="1"/>
  <c r="AR21" i="2"/>
  <c r="AS22" i="2"/>
  <c r="AS27" i="2" s="1"/>
  <c r="AS29" i="2" s="1"/>
  <c r="AU5" i="2"/>
  <c r="AU4" i="2" s="1"/>
  <c r="AU20" i="2" s="1"/>
  <c r="AT4" i="2"/>
  <c r="AT20" i="2" s="1"/>
  <c r="AU22" i="2" l="1"/>
  <c r="AU27" i="2" s="1"/>
  <c r="AU29" i="2" s="1"/>
  <c r="AT22" i="2"/>
  <c r="AT27" i="2" s="1"/>
  <c r="AT29" i="2" s="1"/>
  <c r="AS30" i="2"/>
  <c r="AS31" i="2" s="1"/>
  <c r="AS32" i="2" s="1"/>
  <c r="AS21" i="2"/>
  <c r="AT30" i="2" l="1"/>
  <c r="AT31" i="2" s="1"/>
  <c r="AT32" i="2" s="1"/>
  <c r="AT21" i="2"/>
  <c r="AU30" i="2"/>
  <c r="AU31" i="2" s="1"/>
  <c r="AU32" i="2" s="1"/>
  <c r="AU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tc={B380F975-4FA7-483C-921D-1DFE73D05678}</author>
    <author>tc={833B3E48-D6B7-4F4E-BA46-042963E4E036}</author>
    <author>tc={706C9F39-7589-416F-AFB2-5F4F692434F0}</author>
  </authors>
  <commentList>
    <comment ref="M20" authorId="0" shapeId="0" xr:uid="{B380F975-4FA7-483C-921D-1DFE73D05678}">
      <text>
        <t>[Threaded comment]
Your version of Excel allows you to read this threaded comment; however, any edits to it will get removed if the file is opened in a newer version of Excel. Learn more: https://go.microsoft.com/fwlink/?linkid=870924
Comment:
    Earlier tax filing deadline</t>
      </text>
    </comment>
    <comment ref="AH20" authorId="1" shapeId="0" xr:uid="{833B3E48-D6B7-4F4E-BA46-042963E4E036}">
      <text>
        <t>[Threaded comment]
Your version of Excel allows you to read this threaded comment; however, any edits to it will get removed if the file is opened in a newer version of Excel. Learn more: https://go.microsoft.com/fwlink/?linkid=870924
Comment:
    12.165-12.300B guidance FQ222 PR</t>
      </text>
    </comment>
    <comment ref="AI20" authorId="2" shapeId="0" xr:uid="{706C9F39-7589-416F-AFB2-5F4F692434F0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14.485-14.700B</t>
      </text>
    </comment>
  </commentList>
</comments>
</file>

<file path=xl/sharedStrings.xml><?xml version="1.0" encoding="utf-8"?>
<sst xmlns="http://schemas.openxmlformats.org/spreadsheetml/2006/main" count="150" uniqueCount="135">
  <si>
    <t>Price</t>
  </si>
  <si>
    <t>Shares</t>
  </si>
  <si>
    <t>MC</t>
  </si>
  <si>
    <t>Cash</t>
  </si>
  <si>
    <t>Debt</t>
  </si>
  <si>
    <t>EV</t>
  </si>
  <si>
    <t>5/24/22: FYQ322 results</t>
  </si>
  <si>
    <t>Mint</t>
  </si>
  <si>
    <t>Credit Karma</t>
  </si>
  <si>
    <t>MailChimp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</si>
  <si>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</si>
  <si>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</si>
  <si>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</si>
  <si>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</si>
  <si>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</si>
  <si>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</si>
  <si>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</si>
  <si>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</si>
  <si>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</si>
  <si>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</si>
  <si>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</si>
  <si>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</si>
  <si>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COGS</t>
  </si>
  <si>
    <t>Gross Margin</t>
  </si>
  <si>
    <t>OpEx</t>
  </si>
  <si>
    <t>OpInc</t>
  </si>
  <si>
    <t>S&amp;M</t>
  </si>
  <si>
    <t>R&amp;D</t>
  </si>
  <si>
    <t>G&amp;A</t>
  </si>
  <si>
    <t>Interest</t>
  </si>
  <si>
    <t>Pretax</t>
  </si>
  <si>
    <t>Taxes</t>
  </si>
  <si>
    <t>Net Income</t>
  </si>
  <si>
    <t>EPS</t>
  </si>
  <si>
    <t>AR</t>
  </si>
  <si>
    <t>Prepaids</t>
  </si>
  <si>
    <t>Customers</t>
  </si>
  <si>
    <t>PPE</t>
  </si>
  <si>
    <t>Operating Margin</t>
  </si>
  <si>
    <t>Goodwill</t>
  </si>
  <si>
    <t>Lease</t>
  </si>
  <si>
    <t>Other</t>
  </si>
  <si>
    <t>Assets</t>
  </si>
  <si>
    <t>AP</t>
  </si>
  <si>
    <t>Compensation</t>
  </si>
  <si>
    <t>DR</t>
  </si>
  <si>
    <t>OCL</t>
  </si>
  <si>
    <t>Customer</t>
  </si>
  <si>
    <t>OLTL</t>
  </si>
  <si>
    <t>SE</t>
  </si>
  <si>
    <t>L+SE</t>
  </si>
  <si>
    <t>Net Cash</t>
  </si>
  <si>
    <t>CEO: Sasan Goodarzi</t>
  </si>
  <si>
    <t>Organic</t>
  </si>
  <si>
    <t>Online Services</t>
  </si>
  <si>
    <t>Consumer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</si>
  <si>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</si>
  <si>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</si>
  <si>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</si>
  <si>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</si>
  <si>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</si>
  <si>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</si>
  <si>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</si>
  <si>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</si>
  <si>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</si>
  <si>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</si>
  <si>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</si>
  <si>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</si>
  <si>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</si>
  <si>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</si>
  <si>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</si>
  <si>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</si>
  <si>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</si>
  <si>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</si>
  <si>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</si>
  <si>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</si>
  <si>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FQ120</t>
  </si>
  <si>
    <t>FQ220</t>
  </si>
  <si>
    <t>FQ320</t>
  </si>
  <si>
    <t>FQ420</t>
  </si>
  <si>
    <t>Revenue y/y</t>
  </si>
  <si>
    <t>FQ123</t>
  </si>
  <si>
    <t>FQ223</t>
  </si>
  <si>
    <t>FQ323</t>
  </si>
  <si>
    <t>FQ423</t>
  </si>
  <si>
    <t>FY19</t>
  </si>
  <si>
    <t>Small Business</t>
  </si>
  <si>
    <t>QuickBooks Online</t>
  </si>
  <si>
    <t>QuickBooks Desktop</t>
  </si>
  <si>
    <t>Desktop Services</t>
  </si>
  <si>
    <t>ProConnect</t>
  </si>
  <si>
    <t>MailChimp (closed 11/1/2021) - 12.0B</t>
  </si>
  <si>
    <t>Credit Karma - 8.1B</t>
  </si>
  <si>
    <t>Q224</t>
  </si>
  <si>
    <t>Q125</t>
  </si>
  <si>
    <t>Q225</t>
  </si>
  <si>
    <t>Q325</t>
  </si>
  <si>
    <t>Q425</t>
  </si>
  <si>
    <t>https://cs.stanford.edu/people/eroberts/cs181/projects/corporate-monopolies/dangers_quicken.html</t>
  </si>
  <si>
    <t>MSFT 2.8B offer for Intuit in 1994.</t>
  </si>
  <si>
    <t>Founder: Scott Cook</t>
  </si>
  <si>
    <t>Model NI</t>
  </si>
  <si>
    <t>Reported NI</t>
  </si>
  <si>
    <t>CFFO</t>
  </si>
  <si>
    <t>Depreciation</t>
  </si>
  <si>
    <t>Amortization</t>
  </si>
  <si>
    <t>SBC</t>
  </si>
  <si>
    <t>DT</t>
  </si>
  <si>
    <t>Origination</t>
  </si>
  <si>
    <t>Sale of Loans</t>
  </si>
  <si>
    <t>WC</t>
  </si>
  <si>
    <t>CFFI</t>
  </si>
  <si>
    <t>Investments</t>
  </si>
  <si>
    <t>CapEx</t>
  </si>
  <si>
    <t>CFFF</t>
  </si>
  <si>
    <t>ESOP</t>
  </si>
  <si>
    <t>Buybacks</t>
  </si>
  <si>
    <t>Dividend</t>
  </si>
  <si>
    <t>Customer Funds</t>
  </si>
  <si>
    <t>CIC</t>
  </si>
  <si>
    <t>FX</t>
  </si>
  <si>
    <t>Consumer: TurboTax</t>
  </si>
  <si>
    <t>Small Business &amp; Self-Employed QuickBooks, MailChimp</t>
  </si>
  <si>
    <t>FQ124</t>
  </si>
  <si>
    <t>FQ224</t>
  </si>
  <si>
    <t>FQ324</t>
  </si>
  <si>
    <t>FQ424</t>
  </si>
  <si>
    <t>Employees</t>
  </si>
  <si>
    <t>Acquisitions</t>
  </si>
  <si>
    <t>FCF</t>
  </si>
  <si>
    <t>12/3/20: acquired CreditKarma</t>
  </si>
  <si>
    <t xml:space="preserve">  % of revenue</t>
  </si>
  <si>
    <t>FY18</t>
  </si>
  <si>
    <t>FY17</t>
  </si>
  <si>
    <t>FY16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</si>
</sst>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BE2E7EB-F78F-4DA4-B7D2-B51353EB68B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37098</xdr:colOff>
      <xdr:row>0</xdr:row>
      <xdr:rowOff>45119</xdr:rowOff>
    </xdr:from>
    <xdr:to>
      <xdr:col>36</xdr:col>
      <xdr:colOff>37098</xdr:colOff>
      <xdr:row>107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47FE851-D7E5-FCF3-E7D2-D0A0B8E0AED3}"/>
            </a:ext>
          </a:extLst>
        </xdr:cNvPr>
        <xdr:cNvCxnSpPr/>
      </xdr:nvCxnSpPr>
      <xdr:spPr>
        <a:xfrm>
          <a:off x="20656216" y="45119"/>
          <a:ext cx="0" cy="167339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43615</xdr:colOff>
      <xdr:row>0</xdr:row>
      <xdr:rowOff>0</xdr:rowOff>
    </xdr:from>
    <xdr:to>
      <xdr:col>22</xdr:col>
      <xdr:colOff>43615</xdr:colOff>
      <xdr:row>98</xdr:row>
      <xdr:rowOff>92243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92C005-6253-47DA-85A5-8FDD58098858}"/>
            </a:ext>
          </a:extLst>
        </xdr:cNvPr>
        <xdr:cNvCxnSpPr/>
      </xdr:nvCxnSpPr>
      <xdr:spPr>
        <a:xfrm>
          <a:off x="13483891" y="0"/>
          <a:ext cx="0" cy="153322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F1D3EAA-D855-4993-8BA5-672068DCE45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0" dT="2022-09-26T02:35:42.18" personId="{6F1D3EAA-D855-4993-8BA5-672068DCE453}" id="{B380F975-4FA7-483C-921D-1DFE73D05678}">
    <text>Earlier tax filing deadline</text>
  </threadedComment>
  <threadedComment ref="AH20" dT="2022-07-18T13:17:32.64" personId="{6F1D3EAA-D855-4993-8BA5-672068DCE453}" id="{833B3E48-D6B7-4F4E-BA46-042963E4E036}">
    <text>12.165-12.300B guidance FQ222 PR</text>
  </threadedComment>
  <threadedComment ref="AI20" dT="2022-09-26T03:05:09.65" personId="{6F1D3EAA-D855-4993-8BA5-672068DCE453}" id="{706C9F39-7589-416F-AFB2-5F4F692434F0}">
    <text>Q422 guidance: 14.485-14.700B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1851-E36A-4E12-9896-01ED9C75784D}">
  <dimension ref="B2:M15"/>
  <sheetViews>
    <sheetView zoomScale="175" zoomScaleNormal="175" workbookViewId="0">
      <selection activeCell="B14" sqref="B14"/>
    </sheetView>
  </sheetViews>
  <sheetFormatPr defaultRowHeight="12.75" x14ac:dyDescent="0.2"/>
  <sheetData>
    <row r="2" spans="2:13" x14ac:dyDescent="0.2">
      <c r="B2" t="s">
        <v>122</v>
      </c>
      <c r="K2" t="s">
        <v>0</v>
      </c>
      <c r="L2" s="11">
        <v>613</v>
      </c>
    </row>
    <row r="3" spans="2:13" x14ac:dyDescent="0.2">
      <c r="B3" t="s">
        <v>121</v>
      </c>
      <c r="K3" t="s">
        <v>1</v>
      </c>
      <c r="L3" s="2">
        <v>280</v>
      </c>
      <c r="M3" s="1" t="s">
        <v>93</v>
      </c>
    </row>
    <row r="4" spans="2:13" x14ac:dyDescent="0.2">
      <c r="K4" t="s">
        <v>2</v>
      </c>
      <c r="L4" s="2">
        <f>L2*L3</f>
        <v>171640</v>
      </c>
    </row>
    <row r="5" spans="2:13" x14ac:dyDescent="0.2">
      <c r="B5" t="s">
        <v>92</v>
      </c>
      <c r="K5" t="s">
        <v>3</v>
      </c>
      <c r="L5" s="2">
        <v>4205</v>
      </c>
      <c r="M5" s="1" t="s">
        <v>93</v>
      </c>
    </row>
    <row r="6" spans="2:13" x14ac:dyDescent="0.2">
      <c r="K6" t="s">
        <v>4</v>
      </c>
      <c r="L6" s="2">
        <v>6038</v>
      </c>
      <c r="M6" s="1" t="s">
        <v>93</v>
      </c>
    </row>
    <row r="7" spans="2:13" x14ac:dyDescent="0.2">
      <c r="K7" t="s">
        <v>5</v>
      </c>
      <c r="L7" s="2">
        <f>L4-L5+L6</f>
        <v>173473</v>
      </c>
    </row>
    <row r="8" spans="2:13" x14ac:dyDescent="0.2">
      <c r="B8" t="s">
        <v>7</v>
      </c>
    </row>
    <row r="9" spans="2:13" x14ac:dyDescent="0.2">
      <c r="B9" t="s">
        <v>91</v>
      </c>
    </row>
    <row r="10" spans="2:13" x14ac:dyDescent="0.2">
      <c r="K10" t="s">
        <v>52</v>
      </c>
    </row>
    <row r="11" spans="2:13" x14ac:dyDescent="0.2">
      <c r="K11" t="s">
        <v>100</v>
      </c>
    </row>
    <row r="12" spans="2:13" x14ac:dyDescent="0.2">
      <c r="B12" t="s">
        <v>6</v>
      </c>
    </row>
    <row r="13" spans="2:13" x14ac:dyDescent="0.2">
      <c r="B13" t="s">
        <v>130</v>
      </c>
    </row>
    <row r="14" spans="2:13" x14ac:dyDescent="0.2">
      <c r="K14" t="s">
        <v>99</v>
      </c>
    </row>
    <row r="15" spans="2:13" x14ac:dyDescent="0.2">
      <c r="K15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21E4-F7EC-48A6-9D04-C6C2933ADBCA}">
  <dimension ref="A1:AY96"/>
  <sheetViews>
    <sheetView tabSelected="1" zoomScale="190" zoomScaleNormal="190" workbookViewId="0">
      <pane xSplit="2" ySplit="3" topLeftCell="Z75" activePane="bottomRight" state="frozen"/>
      <selection pane="topRight" activeCell="C1" sqref="C1"/>
      <selection pane="bottomLeft" activeCell="A4" sqref="A4"/>
      <selection pane="bottomRight" activeCell="AD91" sqref="AD91"/>
    </sheetView>
  </sheetViews>
  <sheetFormatPr defaultRowHeight="12.75" x14ac:dyDescent="0.2"/>
  <cols>
    <col min="1" max="1" width="5" bestFit="1" customWidth="1"/>
    <col min="2" max="2" width="19.28515625" customWidth="1"/>
    <col min="3" max="9" width="9.42578125" style="1" customWidth="1"/>
    <col min="10" max="14" width="8.5703125" style="1" customWidth="1"/>
    <col min="15" max="26" width="8.5703125" customWidth="1"/>
    <col min="32" max="35" width="9.140625" style="1"/>
  </cols>
  <sheetData>
    <row r="1" spans="1:51" x14ac:dyDescent="0.2">
      <c r="A1" s="4" t="s">
        <v>10</v>
      </c>
    </row>
    <row r="2" spans="1:51" s="9" customFormat="1" x14ac:dyDescent="0.2">
      <c r="C2" s="10"/>
      <c r="D2" s="10"/>
      <c r="E2" s="10"/>
      <c r="F2" s="10">
        <v>44043</v>
      </c>
      <c r="G2" s="10">
        <v>44135</v>
      </c>
      <c r="H2" s="10">
        <v>44227</v>
      </c>
      <c r="I2" s="10">
        <v>44316</v>
      </c>
      <c r="J2" s="10">
        <v>44408</v>
      </c>
      <c r="K2" s="10">
        <v>44500</v>
      </c>
      <c r="L2" s="10">
        <v>44592</v>
      </c>
      <c r="M2" s="10">
        <v>44681</v>
      </c>
      <c r="N2" s="10">
        <v>44773</v>
      </c>
      <c r="O2" s="9">
        <f>+N2+92</f>
        <v>44865</v>
      </c>
      <c r="P2" s="9">
        <f>+O2+92</f>
        <v>44957</v>
      </c>
      <c r="Q2" s="9">
        <f>+P2+89</f>
        <v>45046</v>
      </c>
      <c r="R2" s="9">
        <f>+Q2+92</f>
        <v>45138</v>
      </c>
      <c r="S2" s="9">
        <f>+O2+365</f>
        <v>45230</v>
      </c>
      <c r="T2" s="9">
        <f>+P2+365</f>
        <v>45322</v>
      </c>
      <c r="U2" s="9">
        <f>+Q2+365</f>
        <v>45411</v>
      </c>
      <c r="V2" s="9">
        <f>+R2+365</f>
        <v>45503</v>
      </c>
      <c r="AF2" s="10"/>
      <c r="AG2" s="10"/>
      <c r="AH2" s="10"/>
      <c r="AI2" s="10">
        <f>+R2</f>
        <v>45138</v>
      </c>
      <c r="AJ2" s="9">
        <f>+V2</f>
        <v>45503</v>
      </c>
      <c r="AK2" s="9">
        <f>+AJ2+365</f>
        <v>45868</v>
      </c>
    </row>
    <row r="3" spans="1:51" x14ac:dyDescent="0.2">
      <c r="C3" s="1" t="s">
        <v>76</v>
      </c>
      <c r="D3" s="1" t="s">
        <v>77</v>
      </c>
      <c r="E3" s="1" t="s">
        <v>78</v>
      </c>
      <c r="F3" s="1" t="s">
        <v>79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81</v>
      </c>
      <c r="P3" s="1" t="s">
        <v>82</v>
      </c>
      <c r="Q3" s="1" t="s">
        <v>83</v>
      </c>
      <c r="R3" s="1" t="s">
        <v>84</v>
      </c>
      <c r="S3" s="1" t="s">
        <v>123</v>
      </c>
      <c r="T3" s="1" t="s">
        <v>124</v>
      </c>
      <c r="U3" s="1" t="s">
        <v>125</v>
      </c>
      <c r="V3" s="1" t="s">
        <v>126</v>
      </c>
      <c r="W3" s="1" t="s">
        <v>94</v>
      </c>
      <c r="X3" s="1" t="s">
        <v>95</v>
      </c>
      <c r="Y3" s="1" t="s">
        <v>96</v>
      </c>
      <c r="Z3" s="1" t="s">
        <v>97</v>
      </c>
      <c r="AB3" s="1" t="s">
        <v>134</v>
      </c>
      <c r="AC3" s="1" t="s">
        <v>133</v>
      </c>
      <c r="AD3" s="1" t="s">
        <v>132</v>
      </c>
      <c r="AE3" s="1" t="s">
        <v>85</v>
      </c>
      <c r="AF3" s="1" t="s">
        <v>56</v>
      </c>
      <c r="AG3" s="1" t="s">
        <v>57</v>
      </c>
      <c r="AH3" s="1" t="s">
        <v>58</v>
      </c>
      <c r="AI3" s="1" t="s">
        <v>59</v>
      </c>
      <c r="AJ3" s="1" t="s">
        <v>60</v>
      </c>
      <c r="AK3" s="1" t="s">
        <v>61</v>
      </c>
      <c r="AL3" s="1" t="s">
        <v>62</v>
      </c>
      <c r="AM3" s="1" t="s">
        <v>63</v>
      </c>
      <c r="AN3" s="1" t="s">
        <v>64</v>
      </c>
      <c r="AO3" s="1" t="s">
        <v>65</v>
      </c>
      <c r="AP3" s="1" t="s">
        <v>66</v>
      </c>
      <c r="AQ3" s="1" t="s">
        <v>67</v>
      </c>
      <c r="AR3" s="1" t="s">
        <v>68</v>
      </c>
      <c r="AS3" s="1" t="s">
        <v>69</v>
      </c>
      <c r="AT3" s="1" t="s">
        <v>70</v>
      </c>
      <c r="AU3" s="1" t="s">
        <v>71</v>
      </c>
      <c r="AV3" s="1" t="s">
        <v>72</v>
      </c>
      <c r="AW3" s="1" t="s">
        <v>73</v>
      </c>
      <c r="AX3" s="1" t="s">
        <v>74</v>
      </c>
      <c r="AY3" s="1" t="s">
        <v>75</v>
      </c>
    </row>
    <row r="4" spans="1:51" s="5" customFormat="1" x14ac:dyDescent="0.2">
      <c r="B4" s="5" t="s">
        <v>86</v>
      </c>
      <c r="C4" s="6"/>
      <c r="D4" s="6"/>
      <c r="E4" s="6"/>
      <c r="F4" s="6"/>
      <c r="G4" s="6">
        <f t="shared" ref="G4:R4" si="0">SUM(G5:G8)</f>
        <v>1181</v>
      </c>
      <c r="H4" s="6">
        <f t="shared" si="0"/>
        <v>1078</v>
      </c>
      <c r="I4" s="6">
        <f t="shared" si="0"/>
        <v>1177</v>
      </c>
      <c r="J4" s="6">
        <f t="shared" si="0"/>
        <v>1252</v>
      </c>
      <c r="K4" s="6">
        <f t="shared" si="0"/>
        <v>1443</v>
      </c>
      <c r="L4" s="6">
        <f t="shared" si="0"/>
        <v>1581</v>
      </c>
      <c r="M4" s="6">
        <f t="shared" si="0"/>
        <v>1667</v>
      </c>
      <c r="N4" s="6">
        <f t="shared" si="0"/>
        <v>1769</v>
      </c>
      <c r="O4" s="6">
        <f t="shared" si="0"/>
        <v>1988</v>
      </c>
      <c r="P4" s="6">
        <f t="shared" si="0"/>
        <v>1897</v>
      </c>
      <c r="Q4" s="6">
        <f t="shared" si="0"/>
        <v>2021</v>
      </c>
      <c r="R4" s="6">
        <f>SUM(R5:R8)</f>
        <v>1988</v>
      </c>
      <c r="S4" s="6">
        <f>SUM(S5:S8)</f>
        <v>2344</v>
      </c>
      <c r="T4" s="6">
        <f>SUM(T5:T8)</f>
        <v>2245</v>
      </c>
      <c r="U4" s="6">
        <f>SUM(U5:U8)</f>
        <v>2387</v>
      </c>
      <c r="V4" s="6">
        <f>SUM(V5:V8)</f>
        <v>2557</v>
      </c>
      <c r="W4" s="6"/>
      <c r="X4" s="6"/>
      <c r="Y4" s="6"/>
      <c r="Z4" s="6"/>
      <c r="AE4" s="6"/>
      <c r="AF4" s="6">
        <f>SUM(AF5:AF8)</f>
        <v>4050</v>
      </c>
      <c r="AG4" s="6">
        <f t="shared" ref="AG4:AH4" si="1">SUM(AG5:AG8)</f>
        <v>4688</v>
      </c>
      <c r="AH4" s="6">
        <f t="shared" si="1"/>
        <v>6460</v>
      </c>
      <c r="AI4" s="6">
        <f>SUM(AI5:AI8)</f>
        <v>7894</v>
      </c>
      <c r="AJ4" s="6">
        <f>SUM(AJ5:AJ8)</f>
        <v>8288.7000000000007</v>
      </c>
      <c r="AK4" s="6">
        <f t="shared" ref="AK4" si="2">SUM(AK5:AK8)</f>
        <v>8703.135000000002</v>
      </c>
      <c r="AL4" s="6">
        <f t="shared" ref="AL4" si="3">SUM(AL5:AL8)</f>
        <v>9138.2917500000021</v>
      </c>
      <c r="AM4" s="6">
        <f t="shared" ref="AM4" si="4">SUM(AM5:AM8)</f>
        <v>9595.2063375000016</v>
      </c>
      <c r="AN4" s="6">
        <f t="shared" ref="AN4" si="5">SUM(AN5:AN8)</f>
        <v>10074.966654375003</v>
      </c>
      <c r="AO4" s="6">
        <f t="shared" ref="AO4" si="6">SUM(AO5:AO8)</f>
        <v>10578.714987093754</v>
      </c>
      <c r="AP4" s="6">
        <f t="shared" ref="AP4" si="7">SUM(AP5:AP8)</f>
        <v>11107.650736448441</v>
      </c>
      <c r="AQ4" s="6">
        <f t="shared" ref="AQ4" si="8">SUM(AQ5:AQ8)</f>
        <v>11663.033273270863</v>
      </c>
      <c r="AR4" s="6">
        <f t="shared" ref="AR4" si="9">SUM(AR5:AR8)</f>
        <v>12246.184936934405</v>
      </c>
      <c r="AS4" s="6">
        <f t="shared" ref="AS4" si="10">SUM(AS5:AS8)</f>
        <v>12858.494183781126</v>
      </c>
      <c r="AT4" s="6">
        <f t="shared" ref="AT4" si="11">SUM(AT5:AT8)</f>
        <v>13501.418892970183</v>
      </c>
      <c r="AU4" s="6">
        <f t="shared" ref="AU4" si="12">SUM(AU5:AU8)</f>
        <v>14176.489837618694</v>
      </c>
      <c r="AV4" s="6"/>
      <c r="AW4" s="6"/>
      <c r="AX4" s="6"/>
      <c r="AY4" s="6"/>
    </row>
    <row r="5" spans="1:51" s="2" customFormat="1" x14ac:dyDescent="0.2">
      <c r="B5" s="2" t="s">
        <v>87</v>
      </c>
      <c r="C5" s="3"/>
      <c r="D5" s="3"/>
      <c r="E5" s="3"/>
      <c r="F5" s="3"/>
      <c r="G5" s="3">
        <v>392</v>
      </c>
      <c r="H5" s="3">
        <v>404</v>
      </c>
      <c r="I5" s="3">
        <v>437</v>
      </c>
      <c r="J5" s="3">
        <f>AG5-I5-H5-G5</f>
        <v>466</v>
      </c>
      <c r="K5" s="3">
        <v>519</v>
      </c>
      <c r="L5" s="3">
        <v>547</v>
      </c>
      <c r="M5" s="3">
        <v>578</v>
      </c>
      <c r="N5" s="3">
        <f>+AH5-M5-L5-K5</f>
        <v>623</v>
      </c>
      <c r="O5" s="3">
        <v>668</v>
      </c>
      <c r="P5" s="3">
        <v>696</v>
      </c>
      <c r="Q5" s="3">
        <v>723</v>
      </c>
      <c r="R5" s="3">
        <v>668</v>
      </c>
      <c r="S5" s="3">
        <v>798</v>
      </c>
      <c r="T5" s="3">
        <v>826</v>
      </c>
      <c r="U5" s="3">
        <v>860</v>
      </c>
      <c r="V5" s="3">
        <f>3379-U5-T5-S5</f>
        <v>895</v>
      </c>
      <c r="W5" s="3"/>
      <c r="X5" s="3"/>
      <c r="Y5" s="3"/>
      <c r="Z5" s="3"/>
      <c r="AE5" s="3"/>
      <c r="AF5" s="3">
        <v>1354</v>
      </c>
      <c r="AG5" s="3">
        <v>1699</v>
      </c>
      <c r="AH5" s="3">
        <v>2267</v>
      </c>
      <c r="AI5" s="3">
        <f>SUM(O5:R5)</f>
        <v>2755</v>
      </c>
      <c r="AJ5" s="3">
        <f>+AI5*1.05</f>
        <v>2892.75</v>
      </c>
      <c r="AK5" s="3">
        <f t="shared" ref="AK5:AU5" si="13">+AJ5*1.05</f>
        <v>3037.3875000000003</v>
      </c>
      <c r="AL5" s="3">
        <f t="shared" si="13"/>
        <v>3189.2568750000005</v>
      </c>
      <c r="AM5" s="3">
        <f t="shared" si="13"/>
        <v>3348.7197187500005</v>
      </c>
      <c r="AN5" s="3">
        <f t="shared" si="13"/>
        <v>3516.1557046875009</v>
      </c>
      <c r="AO5" s="3">
        <f t="shared" si="13"/>
        <v>3691.9634899218763</v>
      </c>
      <c r="AP5" s="3">
        <f t="shared" si="13"/>
        <v>3876.5616644179704</v>
      </c>
      <c r="AQ5" s="3">
        <f t="shared" si="13"/>
        <v>4070.3897476388693</v>
      </c>
      <c r="AR5" s="3">
        <f t="shared" si="13"/>
        <v>4273.909235020813</v>
      </c>
      <c r="AS5" s="3">
        <f t="shared" si="13"/>
        <v>4487.6046967718539</v>
      </c>
      <c r="AT5" s="3">
        <f t="shared" si="13"/>
        <v>4711.9849316104464</v>
      </c>
      <c r="AU5" s="3">
        <f t="shared" si="13"/>
        <v>4947.5841781909694</v>
      </c>
      <c r="AV5" s="3"/>
      <c r="AW5" s="3"/>
      <c r="AX5" s="3"/>
      <c r="AY5" s="3"/>
    </row>
    <row r="6" spans="1:51" s="2" customFormat="1" x14ac:dyDescent="0.2">
      <c r="B6" s="2" t="s">
        <v>54</v>
      </c>
      <c r="C6" s="3"/>
      <c r="D6" s="3"/>
      <c r="E6" s="3"/>
      <c r="F6" s="3"/>
      <c r="G6" s="3">
        <v>229</v>
      </c>
      <c r="H6" s="3">
        <v>240</v>
      </c>
      <c r="I6" s="3">
        <v>278</v>
      </c>
      <c r="J6" s="3">
        <f t="shared" ref="J6:J8" si="14">AG6-I6-H6-G6</f>
        <v>304</v>
      </c>
      <c r="K6" s="3">
        <v>326</v>
      </c>
      <c r="L6" s="3">
        <v>574</v>
      </c>
      <c r="M6" s="3">
        <v>614</v>
      </c>
      <c r="N6" s="3">
        <f t="shared" ref="N6:N8" si="15">+AH6-M6-L6-K6</f>
        <v>657</v>
      </c>
      <c r="O6" s="3">
        <v>681</v>
      </c>
      <c r="P6" s="3">
        <v>695</v>
      </c>
      <c r="Q6" s="3">
        <v>745</v>
      </c>
      <c r="R6" s="3">
        <v>681</v>
      </c>
      <c r="S6" s="3">
        <v>820</v>
      </c>
      <c r="T6" s="3">
        <v>862</v>
      </c>
      <c r="U6" s="3">
        <v>894</v>
      </c>
      <c r="V6" s="3">
        <f>3513-U6-T6-S6</f>
        <v>937</v>
      </c>
      <c r="W6" s="3"/>
      <c r="X6" s="3"/>
      <c r="Y6" s="3"/>
      <c r="Z6" s="3"/>
      <c r="AE6" s="3"/>
      <c r="AF6" s="3">
        <v>828</v>
      </c>
      <c r="AG6" s="3">
        <v>1051</v>
      </c>
      <c r="AH6" s="3">
        <v>2171</v>
      </c>
      <c r="AI6" s="3">
        <f t="shared" ref="AI6:AI12" si="16">SUM(O6:R6)</f>
        <v>2802</v>
      </c>
      <c r="AJ6" s="3">
        <f t="shared" ref="AJ6:AU10" si="17">+AI6*1.05</f>
        <v>2942.1</v>
      </c>
      <c r="AK6" s="3">
        <f t="shared" si="17"/>
        <v>3089.2049999999999</v>
      </c>
      <c r="AL6" s="3">
        <f t="shared" si="17"/>
        <v>3243.66525</v>
      </c>
      <c r="AM6" s="3">
        <f t="shared" si="17"/>
        <v>3405.8485125000002</v>
      </c>
      <c r="AN6" s="3">
        <f t="shared" si="17"/>
        <v>3576.1409381250005</v>
      </c>
      <c r="AO6" s="3">
        <f t="shared" si="17"/>
        <v>3754.9479850312505</v>
      </c>
      <c r="AP6" s="3">
        <f t="shared" si="17"/>
        <v>3942.6953842828134</v>
      </c>
      <c r="AQ6" s="3">
        <f t="shared" si="17"/>
        <v>4139.8301534969542</v>
      </c>
      <c r="AR6" s="3">
        <f t="shared" si="17"/>
        <v>4346.8216611718017</v>
      </c>
      <c r="AS6" s="3">
        <f t="shared" si="17"/>
        <v>4564.1627442303916</v>
      </c>
      <c r="AT6" s="3">
        <f t="shared" si="17"/>
        <v>4792.3708814419115</v>
      </c>
      <c r="AU6" s="3">
        <f t="shared" si="17"/>
        <v>5031.9894255140071</v>
      </c>
      <c r="AV6" s="3"/>
      <c r="AW6" s="3"/>
      <c r="AX6" s="3"/>
      <c r="AY6" s="3"/>
    </row>
    <row r="7" spans="1:51" s="2" customFormat="1" x14ac:dyDescent="0.2">
      <c r="B7" s="2" t="s">
        <v>88</v>
      </c>
      <c r="C7" s="3"/>
      <c r="D7" s="3"/>
      <c r="E7" s="3"/>
      <c r="F7" s="3"/>
      <c r="G7" s="3">
        <v>241</v>
      </c>
      <c r="H7" s="3">
        <v>160</v>
      </c>
      <c r="I7" s="3">
        <v>193</v>
      </c>
      <c r="J7" s="3">
        <f t="shared" si="14"/>
        <v>195</v>
      </c>
      <c r="K7" s="3">
        <v>267</v>
      </c>
      <c r="L7" s="3">
        <v>169</v>
      </c>
      <c r="M7" s="3">
        <v>201</v>
      </c>
      <c r="N7" s="3">
        <f t="shared" si="15"/>
        <v>214</v>
      </c>
      <c r="O7" s="3">
        <v>312</v>
      </c>
      <c r="P7" s="3">
        <v>215</v>
      </c>
      <c r="Q7" s="3">
        <v>280</v>
      </c>
      <c r="R7" s="3">
        <v>312</v>
      </c>
      <c r="S7" s="3">
        <v>376</v>
      </c>
      <c r="T7" s="3">
        <v>256</v>
      </c>
      <c r="U7" s="3">
        <v>337</v>
      </c>
      <c r="V7" s="3">
        <f>1389-U7-T7-S7</f>
        <v>420</v>
      </c>
      <c r="W7" s="3"/>
      <c r="X7" s="3"/>
      <c r="Y7" s="3"/>
      <c r="Z7" s="3"/>
      <c r="AE7" s="3"/>
      <c r="AF7" s="3">
        <v>755</v>
      </c>
      <c r="AG7" s="3">
        <v>789</v>
      </c>
      <c r="AH7" s="3">
        <v>851</v>
      </c>
      <c r="AI7" s="3">
        <f t="shared" si="16"/>
        <v>1119</v>
      </c>
      <c r="AJ7" s="3">
        <f t="shared" si="17"/>
        <v>1174.95</v>
      </c>
      <c r="AK7" s="3">
        <f t="shared" si="17"/>
        <v>1233.6975</v>
      </c>
      <c r="AL7" s="3">
        <f t="shared" si="17"/>
        <v>1295.3823750000001</v>
      </c>
      <c r="AM7" s="3">
        <f t="shared" si="17"/>
        <v>1360.1514937500001</v>
      </c>
      <c r="AN7" s="3">
        <f t="shared" si="17"/>
        <v>1428.1590684375001</v>
      </c>
      <c r="AO7" s="3">
        <f t="shared" si="17"/>
        <v>1499.5670218593752</v>
      </c>
      <c r="AP7" s="3">
        <f t="shared" si="17"/>
        <v>1574.545372952344</v>
      </c>
      <c r="AQ7" s="3">
        <f t="shared" si="17"/>
        <v>1653.2726415999612</v>
      </c>
      <c r="AR7" s="3">
        <f t="shared" si="17"/>
        <v>1735.9362736799592</v>
      </c>
      <c r="AS7" s="3">
        <f t="shared" si="17"/>
        <v>1822.7330873639571</v>
      </c>
      <c r="AT7" s="3">
        <f t="shared" si="17"/>
        <v>1913.869741732155</v>
      </c>
      <c r="AU7" s="3">
        <f t="shared" si="17"/>
        <v>2009.5632288187628</v>
      </c>
      <c r="AV7" s="3"/>
      <c r="AW7" s="3"/>
      <c r="AX7" s="3"/>
      <c r="AY7" s="3"/>
    </row>
    <row r="8" spans="1:51" s="2" customFormat="1" x14ac:dyDescent="0.2">
      <c r="B8" s="2" t="s">
        <v>89</v>
      </c>
      <c r="C8" s="3"/>
      <c r="D8" s="3"/>
      <c r="E8" s="3"/>
      <c r="F8" s="3"/>
      <c r="G8" s="3">
        <v>319</v>
      </c>
      <c r="H8" s="3">
        <v>274</v>
      </c>
      <c r="I8" s="3">
        <v>269</v>
      </c>
      <c r="J8" s="3">
        <f t="shared" si="14"/>
        <v>287</v>
      </c>
      <c r="K8" s="3">
        <v>331</v>
      </c>
      <c r="L8" s="3">
        <v>291</v>
      </c>
      <c r="M8" s="3">
        <v>274</v>
      </c>
      <c r="N8" s="3">
        <f t="shared" si="15"/>
        <v>275</v>
      </c>
      <c r="O8" s="3">
        <v>327</v>
      </c>
      <c r="P8" s="3">
        <v>291</v>
      </c>
      <c r="Q8" s="3">
        <v>273</v>
      </c>
      <c r="R8" s="3">
        <v>327</v>
      </c>
      <c r="S8" s="3">
        <v>350</v>
      </c>
      <c r="T8" s="3">
        <v>301</v>
      </c>
      <c r="U8" s="3">
        <v>296</v>
      </c>
      <c r="V8" s="3">
        <f>1252-U8-T8-S8</f>
        <v>305</v>
      </c>
      <c r="W8" s="3"/>
      <c r="X8" s="3"/>
      <c r="Y8" s="3"/>
      <c r="Z8" s="3"/>
      <c r="AE8" s="3"/>
      <c r="AF8" s="3">
        <v>1113</v>
      </c>
      <c r="AG8" s="3">
        <v>1149</v>
      </c>
      <c r="AH8" s="3">
        <v>1171</v>
      </c>
      <c r="AI8" s="3">
        <f t="shared" si="16"/>
        <v>1218</v>
      </c>
      <c r="AJ8" s="3">
        <f t="shared" si="17"/>
        <v>1278.9000000000001</v>
      </c>
      <c r="AK8" s="3">
        <f t="shared" si="17"/>
        <v>1342.8450000000003</v>
      </c>
      <c r="AL8" s="3">
        <f t="shared" si="17"/>
        <v>1409.9872500000004</v>
      </c>
      <c r="AM8" s="3">
        <f t="shared" si="17"/>
        <v>1480.4866125000005</v>
      </c>
      <c r="AN8" s="3">
        <f t="shared" si="17"/>
        <v>1554.5109431250007</v>
      </c>
      <c r="AO8" s="3">
        <f t="shared" si="17"/>
        <v>1632.2364902812508</v>
      </c>
      <c r="AP8" s="3">
        <f t="shared" si="17"/>
        <v>1713.8483147953134</v>
      </c>
      <c r="AQ8" s="3">
        <f t="shared" si="17"/>
        <v>1799.5407305350791</v>
      </c>
      <c r="AR8" s="3">
        <f t="shared" si="17"/>
        <v>1889.5177670618332</v>
      </c>
      <c r="AS8" s="3">
        <f t="shared" si="17"/>
        <v>1983.9936554149249</v>
      </c>
      <c r="AT8" s="3">
        <f t="shared" si="17"/>
        <v>2083.1933381856711</v>
      </c>
      <c r="AU8" s="3">
        <f t="shared" si="17"/>
        <v>2187.3530050949548</v>
      </c>
      <c r="AV8" s="3"/>
      <c r="AW8" s="3"/>
      <c r="AX8" s="3"/>
      <c r="AY8" s="3"/>
    </row>
    <row r="9" spans="1:51" x14ac:dyDescent="0.2"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E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s="2" customFormat="1" x14ac:dyDescent="0.2">
      <c r="B10" s="2" t="s">
        <v>55</v>
      </c>
      <c r="C10" s="3"/>
      <c r="D10" s="3"/>
      <c r="E10" s="3"/>
      <c r="F10" s="3"/>
      <c r="G10" s="3">
        <v>119</v>
      </c>
      <c r="H10" s="3">
        <v>147</v>
      </c>
      <c r="I10" s="3">
        <v>2445</v>
      </c>
      <c r="J10" s="3">
        <v>852</v>
      </c>
      <c r="K10" s="3">
        <v>120</v>
      </c>
      <c r="L10" s="3">
        <v>411</v>
      </c>
      <c r="M10" s="3">
        <v>3239</v>
      </c>
      <c r="N10" s="3">
        <v>145</v>
      </c>
      <c r="O10" s="3">
        <v>150</v>
      </c>
      <c r="P10" s="3">
        <v>516</v>
      </c>
      <c r="Q10" s="3">
        <v>3341</v>
      </c>
      <c r="R10" s="3">
        <v>150</v>
      </c>
      <c r="S10" s="3">
        <v>187</v>
      </c>
      <c r="T10" s="3">
        <v>492</v>
      </c>
      <c r="U10" s="3">
        <v>3653</v>
      </c>
      <c r="V10" s="3">
        <f>4445-U10-T10-S10</f>
        <v>113</v>
      </c>
      <c r="W10" s="3"/>
      <c r="X10" s="3"/>
      <c r="Y10" s="3"/>
      <c r="Z10" s="3"/>
      <c r="AE10" s="3"/>
      <c r="AF10" s="3">
        <v>3136</v>
      </c>
      <c r="AG10" s="3">
        <v>3563</v>
      </c>
      <c r="AH10" s="3">
        <v>3915</v>
      </c>
      <c r="AI10" s="3">
        <f t="shared" si="16"/>
        <v>4157</v>
      </c>
      <c r="AJ10" s="3">
        <f t="shared" si="17"/>
        <v>4364.8500000000004</v>
      </c>
      <c r="AK10" s="3">
        <f t="shared" si="17"/>
        <v>4583.0925000000007</v>
      </c>
      <c r="AL10" s="3">
        <f t="shared" si="17"/>
        <v>4812.2471250000008</v>
      </c>
      <c r="AM10" s="3">
        <f t="shared" si="17"/>
        <v>5052.8594812500014</v>
      </c>
      <c r="AN10" s="3">
        <f t="shared" si="17"/>
        <v>5305.5024553125013</v>
      </c>
      <c r="AO10" s="3">
        <f t="shared" si="17"/>
        <v>5570.7775780781267</v>
      </c>
      <c r="AP10" s="3">
        <f t="shared" si="17"/>
        <v>5849.3164569820328</v>
      </c>
      <c r="AQ10" s="3">
        <f t="shared" si="17"/>
        <v>6141.7822798311345</v>
      </c>
      <c r="AR10" s="3">
        <f t="shared" si="17"/>
        <v>6448.8713938226911</v>
      </c>
      <c r="AS10" s="3">
        <f t="shared" si="17"/>
        <v>6771.3149635138261</v>
      </c>
      <c r="AT10" s="3">
        <f t="shared" si="17"/>
        <v>7109.8807116895177</v>
      </c>
      <c r="AU10" s="3">
        <f t="shared" si="17"/>
        <v>7465.3747472739942</v>
      </c>
      <c r="AV10" s="3"/>
      <c r="AW10" s="3"/>
      <c r="AX10" s="3"/>
      <c r="AY10" s="3"/>
    </row>
    <row r="11" spans="1:51" s="2" customFormat="1" x14ac:dyDescent="0.2">
      <c r="B11" s="2" t="s">
        <v>8</v>
      </c>
      <c r="C11" s="3"/>
      <c r="D11" s="3"/>
      <c r="E11" s="3"/>
      <c r="F11" s="3"/>
      <c r="G11" s="3">
        <v>0</v>
      </c>
      <c r="H11" s="3">
        <v>144</v>
      </c>
      <c r="I11" s="3">
        <v>316</v>
      </c>
      <c r="J11" s="3">
        <f t="shared" ref="J11:J12" si="18">AG11-I11-H11-G11</f>
        <v>405</v>
      </c>
      <c r="K11" s="3">
        <v>418</v>
      </c>
      <c r="L11" s="3">
        <v>444</v>
      </c>
      <c r="M11" s="3">
        <v>468</v>
      </c>
      <c r="N11" s="3">
        <f t="shared" ref="N11:N12" si="19">+AH11-M11-L11-K11</f>
        <v>475</v>
      </c>
      <c r="O11" s="3">
        <v>425</v>
      </c>
      <c r="P11" s="3">
        <v>375</v>
      </c>
      <c r="Q11" s="3">
        <v>410</v>
      </c>
      <c r="R11" s="3">
        <v>425</v>
      </c>
      <c r="S11" s="3">
        <v>405</v>
      </c>
      <c r="T11" s="3">
        <v>375</v>
      </c>
      <c r="U11" s="3">
        <v>443</v>
      </c>
      <c r="V11" s="3">
        <f>1708-U11-T11-S11</f>
        <v>485</v>
      </c>
      <c r="W11" s="3"/>
      <c r="X11" s="3"/>
      <c r="Y11" s="3"/>
      <c r="Z11" s="3"/>
      <c r="AF11" s="3"/>
      <c r="AG11" s="3">
        <v>865</v>
      </c>
      <c r="AH11" s="3">
        <v>1805</v>
      </c>
      <c r="AI11" s="3">
        <f t="shared" si="16"/>
        <v>1635</v>
      </c>
      <c r="AJ11" s="3">
        <f t="shared" ref="AJ11:AU11" si="20">+AI11*1.05</f>
        <v>1716.75</v>
      </c>
      <c r="AK11" s="3">
        <f t="shared" si="20"/>
        <v>1802.5875000000001</v>
      </c>
      <c r="AL11" s="3">
        <f t="shared" si="20"/>
        <v>1892.7168750000001</v>
      </c>
      <c r="AM11" s="3">
        <f t="shared" si="20"/>
        <v>1987.3527187500001</v>
      </c>
      <c r="AN11" s="3">
        <f t="shared" si="20"/>
        <v>2086.7203546875003</v>
      </c>
      <c r="AO11" s="3">
        <f t="shared" si="20"/>
        <v>2191.0563724218755</v>
      </c>
      <c r="AP11" s="3">
        <f t="shared" si="20"/>
        <v>2300.6091910429695</v>
      </c>
      <c r="AQ11" s="3">
        <f t="shared" si="20"/>
        <v>2415.6396505951179</v>
      </c>
      <c r="AR11" s="3">
        <f t="shared" si="20"/>
        <v>2536.421633124874</v>
      </c>
      <c r="AS11" s="3">
        <f t="shared" si="20"/>
        <v>2663.2427147811177</v>
      </c>
      <c r="AT11" s="3">
        <f t="shared" si="20"/>
        <v>2796.4048505201736</v>
      </c>
      <c r="AU11" s="3">
        <f t="shared" si="20"/>
        <v>2936.2250930461823</v>
      </c>
    </row>
    <row r="12" spans="1:51" s="2" customFormat="1" x14ac:dyDescent="0.2">
      <c r="B12" s="2" t="s">
        <v>90</v>
      </c>
      <c r="C12" s="3"/>
      <c r="D12" s="3"/>
      <c r="E12" s="3"/>
      <c r="F12" s="3"/>
      <c r="G12" s="3">
        <v>23</v>
      </c>
      <c r="H12" s="3">
        <v>207</v>
      </c>
      <c r="I12" s="3">
        <v>235</v>
      </c>
      <c r="J12" s="3">
        <f t="shared" si="18"/>
        <v>52</v>
      </c>
      <c r="K12" s="3">
        <v>26</v>
      </c>
      <c r="L12" s="3">
        <v>237</v>
      </c>
      <c r="M12" s="3">
        <v>258</v>
      </c>
      <c r="N12" s="3">
        <f t="shared" si="19"/>
        <v>25</v>
      </c>
      <c r="O12" s="3">
        <v>34</v>
      </c>
      <c r="P12" s="3">
        <v>253</v>
      </c>
      <c r="Q12" s="3">
        <v>246</v>
      </c>
      <c r="R12" s="3">
        <v>34</v>
      </c>
      <c r="S12" s="3">
        <v>42</v>
      </c>
      <c r="T12" s="3">
        <v>274</v>
      </c>
      <c r="U12" s="3">
        <v>254</v>
      </c>
      <c r="V12" s="3">
        <f>599-U12-T12-S12</f>
        <v>29</v>
      </c>
      <c r="W12" s="3"/>
      <c r="X12" s="3"/>
      <c r="Y12" s="3"/>
      <c r="Z12" s="3"/>
      <c r="AF12" s="3">
        <v>493</v>
      </c>
      <c r="AG12" s="3">
        <v>517</v>
      </c>
      <c r="AH12" s="3">
        <v>546</v>
      </c>
      <c r="AI12" s="3">
        <f t="shared" si="16"/>
        <v>567</v>
      </c>
      <c r="AJ12" s="3">
        <f t="shared" ref="AJ12:AU12" si="21">+AI12*1.05</f>
        <v>595.35</v>
      </c>
      <c r="AK12" s="3">
        <f>+AJ12*1.05</f>
        <v>625.11750000000006</v>
      </c>
      <c r="AL12" s="3">
        <f>+AK12*1.05</f>
        <v>656.37337500000012</v>
      </c>
      <c r="AM12" s="3">
        <f t="shared" si="21"/>
        <v>689.19204375000015</v>
      </c>
      <c r="AN12" s="3">
        <f t="shared" si="21"/>
        <v>723.65164593750023</v>
      </c>
      <c r="AO12" s="3">
        <f t="shared" si="21"/>
        <v>759.83422823437525</v>
      </c>
      <c r="AP12" s="3">
        <f t="shared" si="21"/>
        <v>797.82593964609407</v>
      </c>
      <c r="AQ12" s="3">
        <f t="shared" si="21"/>
        <v>837.71723662839884</v>
      </c>
      <c r="AR12" s="3">
        <f t="shared" si="21"/>
        <v>879.60309845981885</v>
      </c>
      <c r="AS12" s="3">
        <f t="shared" si="21"/>
        <v>923.58325338280986</v>
      </c>
      <c r="AT12" s="3">
        <f t="shared" si="21"/>
        <v>969.76241605195037</v>
      </c>
      <c r="AU12" s="3">
        <f t="shared" si="21"/>
        <v>1018.2505368545479</v>
      </c>
    </row>
    <row r="13" spans="1:51" s="2" customFormat="1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AF13" s="3"/>
      <c r="AG13" s="3"/>
      <c r="AH13" s="3"/>
      <c r="AI13" s="3"/>
    </row>
    <row r="14" spans="1:51" s="2" customFormat="1" x14ac:dyDescent="0.2">
      <c r="B14" s="2" t="s">
        <v>9</v>
      </c>
      <c r="C14" s="3"/>
      <c r="D14" s="3"/>
      <c r="E14" s="3"/>
      <c r="F14" s="3"/>
      <c r="G14" s="3"/>
      <c r="H14" s="3"/>
      <c r="I14" s="3"/>
      <c r="J14" s="3"/>
      <c r="K14" s="3"/>
      <c r="L14" s="3">
        <v>240</v>
      </c>
      <c r="M14" s="3"/>
      <c r="N14" s="3">
        <v>265</v>
      </c>
      <c r="AF14" s="3"/>
      <c r="AG14" s="3"/>
      <c r="AH14" s="3"/>
      <c r="AI14" s="3"/>
    </row>
    <row r="15" spans="1:51" s="2" customFormat="1" x14ac:dyDescent="0.2">
      <c r="B15" s="2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>
        <v>574</v>
      </c>
      <c r="M15" s="3"/>
      <c r="N15" s="3"/>
      <c r="AF15" s="3"/>
      <c r="AG15" s="3"/>
      <c r="AH15" s="3"/>
      <c r="AI15" s="3"/>
    </row>
    <row r="16" spans="1:51" s="2" customFormat="1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AF16" s="3"/>
      <c r="AG16" s="3"/>
      <c r="AH16" s="3"/>
      <c r="AI16" s="3"/>
    </row>
    <row r="18" spans="2:48" s="2" customFormat="1" x14ac:dyDescent="0.2">
      <c r="B18" s="2" t="s">
        <v>20</v>
      </c>
      <c r="C18" s="3"/>
      <c r="D18" s="3"/>
      <c r="E18" s="3"/>
      <c r="F18" s="3">
        <v>294</v>
      </c>
      <c r="G18" s="3">
        <v>367</v>
      </c>
      <c r="H18" s="3">
        <v>495</v>
      </c>
      <c r="I18" s="3">
        <v>533</v>
      </c>
      <c r="J18" s="3">
        <v>303</v>
      </c>
      <c r="K18" s="3">
        <v>397</v>
      </c>
      <c r="L18" s="3">
        <v>525</v>
      </c>
      <c r="M18" s="3">
        <v>554</v>
      </c>
      <c r="N18" s="3">
        <v>271</v>
      </c>
      <c r="O18" s="2">
        <v>2155</v>
      </c>
      <c r="P18" s="2">
        <v>2418</v>
      </c>
      <c r="Q18" s="2">
        <v>5404</v>
      </c>
      <c r="R18" s="2">
        <v>2340</v>
      </c>
      <c r="S18" s="2">
        <v>2450</v>
      </c>
      <c r="T18" s="2">
        <v>2693</v>
      </c>
      <c r="U18" s="2">
        <v>6048</v>
      </c>
      <c r="V18" s="2">
        <v>2670</v>
      </c>
      <c r="AB18" s="2">
        <v>1289</v>
      </c>
      <c r="AC18" s="2">
        <v>1376</v>
      </c>
      <c r="AD18" s="2">
        <v>1624</v>
      </c>
      <c r="AE18" s="2">
        <v>1623</v>
      </c>
      <c r="AF18" s="3"/>
      <c r="AG18" s="3">
        <f>SUM(G18:J18)</f>
        <v>1698</v>
      </c>
      <c r="AH18" s="3">
        <f>SUM(K18:N18)</f>
        <v>1747</v>
      </c>
      <c r="AI18" s="3">
        <f>SUM(O18:R18)</f>
        <v>12317</v>
      </c>
      <c r="AJ18" s="2">
        <f>SUM(S18:V18)</f>
        <v>13861</v>
      </c>
    </row>
    <row r="19" spans="2:48" s="2" customFormat="1" x14ac:dyDescent="0.2">
      <c r="B19" s="2" t="s">
        <v>21</v>
      </c>
      <c r="C19" s="3"/>
      <c r="D19" s="3"/>
      <c r="E19" s="3"/>
      <c r="F19" s="3">
        <v>1522</v>
      </c>
      <c r="G19" s="3">
        <v>956</v>
      </c>
      <c r="H19" s="3">
        <v>1081</v>
      </c>
      <c r="I19" s="3">
        <v>3640</v>
      </c>
      <c r="J19" s="3">
        <v>2258</v>
      </c>
      <c r="K19" s="3">
        <v>1610</v>
      </c>
      <c r="L19" s="3">
        <v>2148</v>
      </c>
      <c r="M19" s="3">
        <v>5078</v>
      </c>
      <c r="N19" s="3">
        <v>2143</v>
      </c>
      <c r="O19" s="2">
        <v>442</v>
      </c>
      <c r="P19" s="2">
        <v>623</v>
      </c>
      <c r="Q19" s="2">
        <v>614</v>
      </c>
      <c r="R19" s="2">
        <v>372</v>
      </c>
      <c r="S19" s="2">
        <v>528</v>
      </c>
      <c r="T19" s="2">
        <v>693</v>
      </c>
      <c r="U19" s="2">
        <v>689</v>
      </c>
      <c r="V19" s="2">
        <v>514</v>
      </c>
      <c r="AB19" s="2">
        <v>3405</v>
      </c>
      <c r="AC19" s="2">
        <v>3801</v>
      </c>
      <c r="AD19" s="2">
        <v>4401</v>
      </c>
      <c r="AE19" s="2">
        <v>5161</v>
      </c>
      <c r="AF19" s="3"/>
      <c r="AG19" s="3">
        <f>SUM(G19:J19)</f>
        <v>7935</v>
      </c>
      <c r="AH19" s="3">
        <f>SUM(K19:N19)</f>
        <v>10979</v>
      </c>
      <c r="AI19" s="3">
        <f>SUM(O19:R19)</f>
        <v>2051</v>
      </c>
      <c r="AJ19" s="2">
        <f>SUM(S19:V19)</f>
        <v>2424</v>
      </c>
    </row>
    <row r="20" spans="2:48" s="5" customFormat="1" x14ac:dyDescent="0.2">
      <c r="B20" s="5" t="s">
        <v>11</v>
      </c>
      <c r="C20" s="6"/>
      <c r="D20" s="6"/>
      <c r="E20" s="6"/>
      <c r="F20" s="6">
        <f t="shared" ref="F20:L20" si="22">F18+F19</f>
        <v>1816</v>
      </c>
      <c r="G20" s="6">
        <f t="shared" si="22"/>
        <v>1323</v>
      </c>
      <c r="H20" s="6">
        <f t="shared" si="22"/>
        <v>1576</v>
      </c>
      <c r="I20" s="6">
        <f t="shared" si="22"/>
        <v>4173</v>
      </c>
      <c r="J20" s="6">
        <f t="shared" si="22"/>
        <v>2561</v>
      </c>
      <c r="K20" s="6">
        <f t="shared" si="22"/>
        <v>2007</v>
      </c>
      <c r="L20" s="6">
        <f t="shared" si="22"/>
        <v>2673</v>
      </c>
      <c r="M20" s="6">
        <f>M18+M19</f>
        <v>5632</v>
      </c>
      <c r="N20" s="6">
        <f>N18+N19</f>
        <v>2414</v>
      </c>
      <c r="O20" s="6">
        <f>+O18+O19</f>
        <v>2597</v>
      </c>
      <c r="P20" s="6">
        <f>+P18+P19</f>
        <v>3041</v>
      </c>
      <c r="Q20" s="6">
        <f>+Q18+Q19</f>
        <v>6018</v>
      </c>
      <c r="R20" s="6">
        <f>+R18+R19</f>
        <v>2712</v>
      </c>
      <c r="S20" s="6">
        <f>+S19+S18</f>
        <v>2978</v>
      </c>
      <c r="T20" s="6">
        <f>+T19+T18</f>
        <v>3386</v>
      </c>
      <c r="U20" s="6">
        <f>+U19+U18</f>
        <v>6737</v>
      </c>
      <c r="V20" s="6">
        <f>+V19+V18</f>
        <v>3184</v>
      </c>
      <c r="W20" s="6"/>
      <c r="X20" s="6"/>
      <c r="Y20" s="6"/>
      <c r="Z20" s="6"/>
      <c r="AB20" s="6">
        <f t="shared" ref="AB20:AC20" si="23">+AB18+AB19</f>
        <v>4694</v>
      </c>
      <c r="AC20" s="6">
        <f t="shared" si="23"/>
        <v>5177</v>
      </c>
      <c r="AD20" s="6">
        <f>+AD18+AD19</f>
        <v>6025</v>
      </c>
      <c r="AE20" s="6">
        <f>+AE18+AE19</f>
        <v>6784</v>
      </c>
      <c r="AF20" s="6">
        <v>7679</v>
      </c>
      <c r="AG20" s="6">
        <f>+AG18+AG19</f>
        <v>9633</v>
      </c>
      <c r="AH20" s="6">
        <f>AH18+AH19</f>
        <v>12726</v>
      </c>
      <c r="AI20" s="6">
        <f>+AI12+AI11+AI10+AI4</f>
        <v>14253</v>
      </c>
      <c r="AJ20" s="6">
        <f>+AJ18+AJ19</f>
        <v>16285</v>
      </c>
      <c r="AK20" s="6">
        <f t="shared" ref="AK20:AU20" si="24">+AK10+AK11+AK12+AK4</f>
        <v>15713.932500000003</v>
      </c>
      <c r="AL20" s="6">
        <f t="shared" si="24"/>
        <v>16499.629125000003</v>
      </c>
      <c r="AM20" s="6">
        <f t="shared" si="24"/>
        <v>17324.610581250003</v>
      </c>
      <c r="AN20" s="6">
        <f t="shared" si="24"/>
        <v>18190.841110312504</v>
      </c>
      <c r="AO20" s="6">
        <f t="shared" si="24"/>
        <v>19100.383165828131</v>
      </c>
      <c r="AP20" s="6">
        <f t="shared" si="24"/>
        <v>20055.402324119539</v>
      </c>
      <c r="AQ20" s="6">
        <f t="shared" si="24"/>
        <v>21058.172440325514</v>
      </c>
      <c r="AR20" s="6">
        <f t="shared" si="24"/>
        <v>22111.081062341789</v>
      </c>
      <c r="AS20" s="6">
        <f t="shared" si="24"/>
        <v>23216.635115458877</v>
      </c>
      <c r="AT20" s="6">
        <f t="shared" si="24"/>
        <v>24377.466871231823</v>
      </c>
      <c r="AU20" s="6">
        <f t="shared" si="24"/>
        <v>25596.340214793418</v>
      </c>
    </row>
    <row r="21" spans="2:48" x14ac:dyDescent="0.2">
      <c r="B21" t="s">
        <v>22</v>
      </c>
      <c r="F21" s="1">
        <f>317</f>
        <v>317</v>
      </c>
      <c r="G21" s="1">
        <f>15+234</f>
        <v>249</v>
      </c>
      <c r="H21" s="1">
        <v>353</v>
      </c>
      <c r="I21" s="1">
        <f>16+565</f>
        <v>581</v>
      </c>
      <c r="J21" s="1">
        <f>16+434</f>
        <v>450</v>
      </c>
      <c r="K21" s="1">
        <f>15+387</f>
        <v>402</v>
      </c>
      <c r="L21" s="1">
        <v>523</v>
      </c>
      <c r="M21" s="1">
        <f>18+764</f>
        <v>782</v>
      </c>
      <c r="N21" s="1">
        <f>16+543</f>
        <v>559</v>
      </c>
      <c r="O21" s="2">
        <f>620+15</f>
        <v>635</v>
      </c>
      <c r="P21" s="2">
        <f>708+24</f>
        <v>732</v>
      </c>
      <c r="Q21" s="2">
        <f>924+17</f>
        <v>941</v>
      </c>
      <c r="R21" s="2">
        <f>656+16</f>
        <v>672</v>
      </c>
      <c r="S21" s="2">
        <f>707+15</f>
        <v>722</v>
      </c>
      <c r="T21" s="2">
        <f>796+23</f>
        <v>819</v>
      </c>
      <c r="U21" s="2">
        <f>1014+17</f>
        <v>1031</v>
      </c>
      <c r="V21" s="2">
        <f>733+14</f>
        <v>747</v>
      </c>
      <c r="W21" s="2"/>
      <c r="X21" s="2"/>
      <c r="Y21" s="2"/>
      <c r="Z21" s="2"/>
      <c r="AB21" s="3">
        <f>131+599</f>
        <v>730</v>
      </c>
      <c r="AC21" s="3">
        <f>120+677</f>
        <v>797</v>
      </c>
      <c r="AD21" s="3">
        <f>82+881</f>
        <v>963</v>
      </c>
      <c r="AE21" s="3">
        <f>77+1070+20</f>
        <v>1167</v>
      </c>
      <c r="AF21" s="3">
        <f>1284+22</f>
        <v>1306</v>
      </c>
      <c r="AG21" s="3">
        <f>SUM(G21:J21)</f>
        <v>1633</v>
      </c>
      <c r="AH21" s="3">
        <f>SUM(K21:N21)</f>
        <v>2266</v>
      </c>
      <c r="AI21" s="3">
        <f>SUM(O21:R21)</f>
        <v>2980</v>
      </c>
      <c r="AJ21" s="2">
        <f>+AJ20-AJ22</f>
        <v>2768.4500000000007</v>
      </c>
      <c r="AK21" s="2">
        <f t="shared" ref="AK21:AU21" si="25">+AK20-AK22</f>
        <v>2671.3685250000017</v>
      </c>
      <c r="AL21" s="2">
        <f t="shared" si="25"/>
        <v>2804.9369512500016</v>
      </c>
      <c r="AM21" s="2">
        <f t="shared" si="25"/>
        <v>2945.1837988125008</v>
      </c>
      <c r="AN21" s="2">
        <f t="shared" si="25"/>
        <v>3092.442988753126</v>
      </c>
      <c r="AO21" s="2">
        <f t="shared" si="25"/>
        <v>3247.0651381907828</v>
      </c>
      <c r="AP21" s="2">
        <f t="shared" si="25"/>
        <v>3409.4183951003215</v>
      </c>
      <c r="AQ21" s="2">
        <f t="shared" si="25"/>
        <v>3579.8893148553398</v>
      </c>
      <c r="AR21" s="2">
        <f t="shared" si="25"/>
        <v>3758.8837805981057</v>
      </c>
      <c r="AS21" s="2">
        <f t="shared" si="25"/>
        <v>3946.8279696280115</v>
      </c>
      <c r="AT21" s="2">
        <f t="shared" si="25"/>
        <v>4144.1693681094112</v>
      </c>
      <c r="AU21" s="2">
        <f t="shared" si="25"/>
        <v>4351.3778365148828</v>
      </c>
    </row>
    <row r="22" spans="2:48" x14ac:dyDescent="0.2">
      <c r="B22" t="s">
        <v>23</v>
      </c>
      <c r="C22" s="3"/>
      <c r="D22" s="3"/>
      <c r="E22" s="3"/>
      <c r="F22" s="3">
        <f>F20-F21</f>
        <v>1499</v>
      </c>
      <c r="G22" s="3">
        <f>G20-G21</f>
        <v>1074</v>
      </c>
      <c r="H22" s="3">
        <f>H20-H21</f>
        <v>1223</v>
      </c>
      <c r="I22" s="3">
        <f>I20-I21</f>
        <v>3592</v>
      </c>
      <c r="J22" s="3">
        <f t="shared" ref="J22:M22" si="26">J20-J21</f>
        <v>2111</v>
      </c>
      <c r="K22" s="3">
        <f t="shared" si="26"/>
        <v>1605</v>
      </c>
      <c r="L22" s="3">
        <f t="shared" si="26"/>
        <v>2150</v>
      </c>
      <c r="M22" s="3">
        <f t="shared" si="26"/>
        <v>4850</v>
      </c>
      <c r="N22" s="3">
        <f>+N20-N21</f>
        <v>1855</v>
      </c>
      <c r="O22" s="3">
        <f>+O20-O21</f>
        <v>1962</v>
      </c>
      <c r="P22" s="3">
        <f>+P20-P21</f>
        <v>2309</v>
      </c>
      <c r="Q22" s="3">
        <f>+Q20-Q21</f>
        <v>5077</v>
      </c>
      <c r="R22" s="3">
        <f>+R20-R21</f>
        <v>2040</v>
      </c>
      <c r="S22" s="3">
        <f t="shared" ref="S22:V22" si="27">+S20-S21</f>
        <v>2256</v>
      </c>
      <c r="T22" s="3">
        <f t="shared" si="27"/>
        <v>2567</v>
      </c>
      <c r="U22" s="3">
        <f t="shared" si="27"/>
        <v>5706</v>
      </c>
      <c r="V22" s="3">
        <f t="shared" si="27"/>
        <v>2437</v>
      </c>
      <c r="W22" s="3"/>
      <c r="X22" s="3"/>
      <c r="Y22" s="3"/>
      <c r="Z22" s="3"/>
      <c r="AB22" s="3">
        <f t="shared" ref="AB22:AC22" si="28">+AB20-AB21</f>
        <v>3964</v>
      </c>
      <c r="AC22" s="3">
        <f t="shared" si="28"/>
        <v>4380</v>
      </c>
      <c r="AD22" s="3">
        <f>+AD20-AD21</f>
        <v>5062</v>
      </c>
      <c r="AE22" s="3">
        <f>+AE20-AE21</f>
        <v>5617</v>
      </c>
      <c r="AF22" s="3">
        <f>+AF20-AF21</f>
        <v>6373</v>
      </c>
      <c r="AG22" s="3">
        <f>+AG20-AG21</f>
        <v>8000</v>
      </c>
      <c r="AH22" s="3">
        <f>AH20-AH21</f>
        <v>10460</v>
      </c>
      <c r="AI22" s="3">
        <f>+AI20-AI21</f>
        <v>11273</v>
      </c>
      <c r="AJ22" s="2">
        <f>+AJ20*0.83</f>
        <v>13516.55</v>
      </c>
      <c r="AK22" s="2">
        <f t="shared" ref="AK22:AU22" si="29">+AK20*0.83</f>
        <v>13042.563975000001</v>
      </c>
      <c r="AL22" s="2">
        <f t="shared" si="29"/>
        <v>13694.692173750002</v>
      </c>
      <c r="AM22" s="2">
        <f t="shared" si="29"/>
        <v>14379.426782437502</v>
      </c>
      <c r="AN22" s="2">
        <f t="shared" si="29"/>
        <v>15098.398121559378</v>
      </c>
      <c r="AO22" s="2">
        <f t="shared" si="29"/>
        <v>15853.318027637348</v>
      </c>
      <c r="AP22" s="2">
        <f t="shared" si="29"/>
        <v>16645.983929019218</v>
      </c>
      <c r="AQ22" s="2">
        <f t="shared" si="29"/>
        <v>17478.283125470174</v>
      </c>
      <c r="AR22" s="2">
        <f t="shared" si="29"/>
        <v>18352.197281743684</v>
      </c>
      <c r="AS22" s="2">
        <f t="shared" si="29"/>
        <v>19269.807145830866</v>
      </c>
      <c r="AT22" s="2">
        <f t="shared" si="29"/>
        <v>20233.297503122412</v>
      </c>
      <c r="AU22" s="2">
        <f t="shared" si="29"/>
        <v>21244.962378278535</v>
      </c>
      <c r="AV22" s="2"/>
    </row>
    <row r="23" spans="2:48" s="2" customFormat="1" x14ac:dyDescent="0.2">
      <c r="B23" s="2" t="s">
        <v>26</v>
      </c>
      <c r="C23" s="3"/>
      <c r="D23" s="3"/>
      <c r="E23" s="3"/>
      <c r="F23" s="3">
        <v>424</v>
      </c>
      <c r="G23" s="3">
        <v>362</v>
      </c>
      <c r="H23" s="3">
        <v>580</v>
      </c>
      <c r="I23" s="3">
        <v>857</v>
      </c>
      <c r="J23" s="3">
        <v>845</v>
      </c>
      <c r="K23" s="3">
        <v>550</v>
      </c>
      <c r="L23" s="3">
        <v>942</v>
      </c>
      <c r="M23" s="3">
        <v>1227</v>
      </c>
      <c r="N23" s="3">
        <v>807</v>
      </c>
      <c r="O23" s="2">
        <v>795</v>
      </c>
      <c r="P23" s="2">
        <v>924</v>
      </c>
      <c r="Q23" s="2">
        <v>1203</v>
      </c>
      <c r="R23" s="2">
        <v>840</v>
      </c>
      <c r="S23" s="2">
        <v>769</v>
      </c>
      <c r="T23" s="2">
        <v>1020</v>
      </c>
      <c r="U23" s="2">
        <v>1419</v>
      </c>
      <c r="V23" s="2">
        <v>1104</v>
      </c>
      <c r="AB23" s="3">
        <v>1289</v>
      </c>
      <c r="AC23" s="3">
        <v>1420</v>
      </c>
      <c r="AD23" s="3">
        <v>1631</v>
      </c>
      <c r="AE23" s="3">
        <v>1927</v>
      </c>
      <c r="AF23" s="3">
        <v>2048</v>
      </c>
      <c r="AG23" s="3">
        <f>SUM(G23:J23)</f>
        <v>2644</v>
      </c>
      <c r="AH23" s="3">
        <f t="shared" ref="AH23:AH25" si="30">SUM(K23:N23)</f>
        <v>3526</v>
      </c>
      <c r="AI23" s="3">
        <f t="shared" ref="AI23:AI25" si="31">SUM(O23:R23)</f>
        <v>3762</v>
      </c>
      <c r="AJ23" s="2">
        <f>+AI23*1.01</f>
        <v>3799.62</v>
      </c>
      <c r="AK23" s="2">
        <f t="shared" ref="AK23:AU23" si="32">+AJ23*1.01</f>
        <v>3837.6161999999999</v>
      </c>
      <c r="AL23" s="2">
        <f t="shared" si="32"/>
        <v>3875.992362</v>
      </c>
      <c r="AM23" s="2">
        <f t="shared" si="32"/>
        <v>3914.7522856199998</v>
      </c>
      <c r="AN23" s="2">
        <f t="shared" si="32"/>
        <v>3953.8998084761997</v>
      </c>
      <c r="AO23" s="2">
        <f t="shared" si="32"/>
        <v>3993.4388065609619</v>
      </c>
      <c r="AP23" s="2">
        <f t="shared" si="32"/>
        <v>4033.3731946265716</v>
      </c>
      <c r="AQ23" s="2">
        <f t="shared" si="32"/>
        <v>4073.7069265728373</v>
      </c>
      <c r="AR23" s="2">
        <f t="shared" si="32"/>
        <v>4114.4439958385656</v>
      </c>
      <c r="AS23" s="2">
        <f t="shared" si="32"/>
        <v>4155.5884357969517</v>
      </c>
      <c r="AT23" s="2">
        <f t="shared" si="32"/>
        <v>4197.1443201549209</v>
      </c>
      <c r="AU23" s="2">
        <f t="shared" si="32"/>
        <v>4239.1157633564699</v>
      </c>
    </row>
    <row r="24" spans="2:48" s="2" customFormat="1" x14ac:dyDescent="0.2">
      <c r="B24" s="2" t="s">
        <v>27</v>
      </c>
      <c r="C24" s="3"/>
      <c r="D24" s="3"/>
      <c r="E24" s="3"/>
      <c r="F24" s="3">
        <v>393</v>
      </c>
      <c r="G24" s="3">
        <v>325</v>
      </c>
      <c r="H24" s="3">
        <v>368</v>
      </c>
      <c r="I24" s="3">
        <v>464</v>
      </c>
      <c r="J24" s="3">
        <v>521</v>
      </c>
      <c r="K24" s="3">
        <v>530</v>
      </c>
      <c r="L24" s="3">
        <v>590</v>
      </c>
      <c r="M24" s="3">
        <v>600</v>
      </c>
      <c r="N24" s="3">
        <v>627</v>
      </c>
      <c r="O24" s="2">
        <v>625</v>
      </c>
      <c r="P24" s="2">
        <v>630</v>
      </c>
      <c r="Q24" s="2">
        <v>604</v>
      </c>
      <c r="R24" s="2">
        <v>680</v>
      </c>
      <c r="S24" s="2">
        <v>680</v>
      </c>
      <c r="T24" s="2">
        <v>678</v>
      </c>
      <c r="U24" s="2">
        <v>671</v>
      </c>
      <c r="V24" s="2">
        <v>725</v>
      </c>
      <c r="AB24" s="3">
        <v>881</v>
      </c>
      <c r="AC24" s="3">
        <v>998</v>
      </c>
      <c r="AD24" s="3">
        <v>1186</v>
      </c>
      <c r="AE24" s="3">
        <v>1233</v>
      </c>
      <c r="AF24" s="3">
        <v>1392</v>
      </c>
      <c r="AG24" s="3">
        <f>SUM(G24:J24)</f>
        <v>1678</v>
      </c>
      <c r="AH24" s="3">
        <f t="shared" si="30"/>
        <v>2347</v>
      </c>
      <c r="AI24" s="3">
        <f t="shared" si="31"/>
        <v>2539</v>
      </c>
      <c r="AJ24" s="2">
        <f t="shared" ref="AJ24:AU24" si="33">+AI24*1.01</f>
        <v>2564.39</v>
      </c>
      <c r="AK24" s="2">
        <f t="shared" si="33"/>
        <v>2590.0338999999999</v>
      </c>
      <c r="AL24" s="2">
        <f t="shared" si="33"/>
        <v>2615.9342389999997</v>
      </c>
      <c r="AM24" s="2">
        <f t="shared" si="33"/>
        <v>2642.0935813899996</v>
      </c>
      <c r="AN24" s="2">
        <f t="shared" si="33"/>
        <v>2668.5145172038997</v>
      </c>
      <c r="AO24" s="2">
        <f t="shared" si="33"/>
        <v>2695.1996623759387</v>
      </c>
      <c r="AP24" s="2">
        <f t="shared" si="33"/>
        <v>2722.1516589996982</v>
      </c>
      <c r="AQ24" s="2">
        <f t="shared" si="33"/>
        <v>2749.3731755896952</v>
      </c>
      <c r="AR24" s="2">
        <f t="shared" si="33"/>
        <v>2776.8669073455922</v>
      </c>
      <c r="AS24" s="2">
        <f t="shared" si="33"/>
        <v>2804.635576419048</v>
      </c>
      <c r="AT24" s="2">
        <f t="shared" si="33"/>
        <v>2832.6819321832386</v>
      </c>
      <c r="AU24" s="2">
        <f t="shared" si="33"/>
        <v>2861.0087515050709</v>
      </c>
    </row>
    <row r="25" spans="2:48" s="2" customFormat="1" x14ac:dyDescent="0.2">
      <c r="B25" s="2" t="s">
        <v>28</v>
      </c>
      <c r="C25" s="3"/>
      <c r="D25" s="3"/>
      <c r="E25" s="3"/>
      <c r="F25" s="3">
        <v>193</v>
      </c>
      <c r="G25" s="3">
        <v>169</v>
      </c>
      <c r="H25" s="3">
        <v>250</v>
      </c>
      <c r="I25" s="3">
        <v>289</v>
      </c>
      <c r="J25" s="3">
        <v>274</v>
      </c>
      <c r="K25" s="3">
        <v>262</v>
      </c>
      <c r="L25" s="3">
        <v>399</v>
      </c>
      <c r="M25" s="3">
        <v>465</v>
      </c>
      <c r="N25" s="3">
        <v>334</v>
      </c>
      <c r="O25" s="2">
        <v>304</v>
      </c>
      <c r="P25" s="2">
        <v>323</v>
      </c>
      <c r="Q25" s="2">
        <v>332</v>
      </c>
      <c r="R25" s="2">
        <v>341</v>
      </c>
      <c r="S25" s="2">
        <v>342</v>
      </c>
      <c r="T25" s="2">
        <v>344</v>
      </c>
      <c r="U25" s="2">
        <v>355</v>
      </c>
      <c r="V25" s="2">
        <v>377</v>
      </c>
      <c r="AB25" s="3">
        <v>518</v>
      </c>
      <c r="AC25" s="3">
        <v>553</v>
      </c>
      <c r="AD25" s="3">
        <v>664</v>
      </c>
      <c r="AE25" s="3">
        <v>597</v>
      </c>
      <c r="AF25" s="3">
        <v>679</v>
      </c>
      <c r="AG25" s="3">
        <f>SUM(G25:J25)</f>
        <v>982</v>
      </c>
      <c r="AH25" s="3">
        <f t="shared" si="30"/>
        <v>1460</v>
      </c>
      <c r="AI25" s="3">
        <f t="shared" si="31"/>
        <v>1300</v>
      </c>
      <c r="AJ25" s="2">
        <f t="shared" ref="AJ25:AU25" si="34">+AI25*1.01</f>
        <v>1313</v>
      </c>
      <c r="AK25" s="2">
        <f t="shared" si="34"/>
        <v>1326.13</v>
      </c>
      <c r="AL25" s="2">
        <f t="shared" si="34"/>
        <v>1339.3913000000002</v>
      </c>
      <c r="AM25" s="2">
        <f t="shared" si="34"/>
        <v>1352.7852130000003</v>
      </c>
      <c r="AN25" s="2">
        <f t="shared" si="34"/>
        <v>1366.3130651300003</v>
      </c>
      <c r="AO25" s="2">
        <f t="shared" si="34"/>
        <v>1379.9761957813002</v>
      </c>
      <c r="AP25" s="2">
        <f t="shared" si="34"/>
        <v>1393.7759577391132</v>
      </c>
      <c r="AQ25" s="2">
        <f t="shared" si="34"/>
        <v>1407.7137173165042</v>
      </c>
      <c r="AR25" s="2">
        <f t="shared" si="34"/>
        <v>1421.7908544896693</v>
      </c>
      <c r="AS25" s="2">
        <f t="shared" si="34"/>
        <v>1436.0087630345661</v>
      </c>
      <c r="AT25" s="2">
        <f t="shared" si="34"/>
        <v>1450.3688506649116</v>
      </c>
      <c r="AU25" s="2">
        <f t="shared" si="34"/>
        <v>1464.8725391715607</v>
      </c>
    </row>
    <row r="26" spans="2:48" s="2" customFormat="1" x14ac:dyDescent="0.2">
      <c r="B26" s="2" t="s">
        <v>24</v>
      </c>
      <c r="C26" s="3"/>
      <c r="D26" s="3"/>
      <c r="E26" s="3"/>
      <c r="F26" s="3">
        <f t="shared" ref="F26:L26" si="35">SUM(F23:F25)</f>
        <v>1010</v>
      </c>
      <c r="G26" s="3">
        <f t="shared" si="35"/>
        <v>856</v>
      </c>
      <c r="H26" s="3">
        <f t="shared" si="35"/>
        <v>1198</v>
      </c>
      <c r="I26" s="3">
        <f t="shared" si="35"/>
        <v>1610</v>
      </c>
      <c r="J26" s="3">
        <f t="shared" si="35"/>
        <v>1640</v>
      </c>
      <c r="K26" s="3">
        <f t="shared" si="35"/>
        <v>1342</v>
      </c>
      <c r="L26" s="3">
        <f t="shared" si="35"/>
        <v>1931</v>
      </c>
      <c r="M26" s="3">
        <f>SUM(M23:M25)</f>
        <v>2292</v>
      </c>
      <c r="N26" s="3">
        <f>SUM(N23:N25)</f>
        <v>1768</v>
      </c>
      <c r="O26" s="3">
        <f t="shared" ref="O26" si="36">SUM(O23:O25)</f>
        <v>1724</v>
      </c>
      <c r="P26" s="3">
        <f t="shared" ref="P26:S26" si="37">SUM(P23:P25)</f>
        <v>1877</v>
      </c>
      <c r="Q26" s="3">
        <f t="shared" si="37"/>
        <v>2139</v>
      </c>
      <c r="R26" s="3">
        <f t="shared" si="37"/>
        <v>1861</v>
      </c>
      <c r="S26" s="3">
        <f t="shared" si="37"/>
        <v>1791</v>
      </c>
      <c r="T26" s="3">
        <f t="shared" ref="T26:V26" si="38">SUM(T23:T25)</f>
        <v>2042</v>
      </c>
      <c r="U26" s="3">
        <f t="shared" si="38"/>
        <v>2445</v>
      </c>
      <c r="V26" s="3">
        <f t="shared" si="38"/>
        <v>2206</v>
      </c>
      <c r="W26" s="3"/>
      <c r="X26" s="3"/>
      <c r="Y26" s="3"/>
      <c r="Z26" s="3"/>
      <c r="AB26" s="3">
        <f t="shared" ref="AB26:AC26" si="39">SUM(AB23:AB25)</f>
        <v>2688</v>
      </c>
      <c r="AC26" s="3">
        <f t="shared" si="39"/>
        <v>2971</v>
      </c>
      <c r="AD26" s="3">
        <f>SUM(AD23:AD25)</f>
        <v>3481</v>
      </c>
      <c r="AE26" s="3">
        <f>SUM(AE23:AE25)</f>
        <v>3757</v>
      </c>
      <c r="AF26" s="3">
        <f>SUM(AF23:AF25)</f>
        <v>4119</v>
      </c>
      <c r="AG26" s="3">
        <f>SUM(AG23:AG25)</f>
        <v>5304</v>
      </c>
      <c r="AH26" s="3">
        <f>SUM(AH23:AH25)</f>
        <v>7333</v>
      </c>
      <c r="AI26" s="3">
        <f>SUM(AI23:AI25)</f>
        <v>7601</v>
      </c>
      <c r="AJ26" s="3">
        <f t="shared" ref="AJ26:AU26" si="40">SUM(AJ23:AJ25)</f>
        <v>7677.01</v>
      </c>
      <c r="AK26" s="3">
        <f t="shared" si="40"/>
        <v>7753.7800999999999</v>
      </c>
      <c r="AL26" s="3">
        <f t="shared" si="40"/>
        <v>7831.3179009999994</v>
      </c>
      <c r="AM26" s="3">
        <f t="shared" si="40"/>
        <v>7909.6310800099991</v>
      </c>
      <c r="AN26" s="3">
        <f t="shared" si="40"/>
        <v>7988.7273908100997</v>
      </c>
      <c r="AO26" s="3">
        <f t="shared" si="40"/>
        <v>8068.6146647182013</v>
      </c>
      <c r="AP26" s="3">
        <f t="shared" si="40"/>
        <v>8149.3008113653832</v>
      </c>
      <c r="AQ26" s="3">
        <f t="shared" si="40"/>
        <v>8230.7938194790368</v>
      </c>
      <c r="AR26" s="3">
        <f t="shared" si="40"/>
        <v>8313.1017576738268</v>
      </c>
      <c r="AS26" s="3">
        <f t="shared" si="40"/>
        <v>8396.2327752505662</v>
      </c>
      <c r="AT26" s="3">
        <f t="shared" si="40"/>
        <v>8480.1951030030723</v>
      </c>
      <c r="AU26" s="3">
        <f t="shared" si="40"/>
        <v>8564.9970540331014</v>
      </c>
    </row>
    <row r="27" spans="2:48" s="2" customFormat="1" x14ac:dyDescent="0.2">
      <c r="B27" s="2" t="s">
        <v>25</v>
      </c>
      <c r="C27" s="3"/>
      <c r="D27" s="3"/>
      <c r="E27" s="3"/>
      <c r="F27" s="3">
        <f t="shared" ref="F27:L27" si="41">F22-F26</f>
        <v>489</v>
      </c>
      <c r="G27" s="3">
        <f t="shared" si="41"/>
        <v>218</v>
      </c>
      <c r="H27" s="3">
        <f t="shared" si="41"/>
        <v>25</v>
      </c>
      <c r="I27" s="3">
        <f t="shared" si="41"/>
        <v>1982</v>
      </c>
      <c r="J27" s="3">
        <f t="shared" si="41"/>
        <v>471</v>
      </c>
      <c r="K27" s="3">
        <f t="shared" si="41"/>
        <v>263</v>
      </c>
      <c r="L27" s="3">
        <f t="shared" si="41"/>
        <v>219</v>
      </c>
      <c r="M27" s="3">
        <f>M22-M26</f>
        <v>2558</v>
      </c>
      <c r="N27" s="3">
        <f>N22-N26</f>
        <v>87</v>
      </c>
      <c r="O27" s="3">
        <f t="shared" ref="O27" si="42">O22-O26</f>
        <v>238</v>
      </c>
      <c r="P27" s="3">
        <f t="shared" ref="P27:S27" si="43">P22-P26</f>
        <v>432</v>
      </c>
      <c r="Q27" s="3">
        <f t="shared" si="43"/>
        <v>2938</v>
      </c>
      <c r="R27" s="3">
        <f t="shared" si="43"/>
        <v>179</v>
      </c>
      <c r="S27" s="3">
        <f t="shared" si="43"/>
        <v>465</v>
      </c>
      <c r="T27" s="3">
        <f t="shared" ref="T27:V27" si="44">T22-T26</f>
        <v>525</v>
      </c>
      <c r="U27" s="3">
        <f t="shared" si="44"/>
        <v>3261</v>
      </c>
      <c r="V27" s="3">
        <f t="shared" si="44"/>
        <v>231</v>
      </c>
      <c r="W27" s="3"/>
      <c r="X27" s="3"/>
      <c r="Y27" s="3"/>
      <c r="Z27" s="3"/>
      <c r="AB27" s="3">
        <f t="shared" ref="AB27:AC27" si="45">AB22-AB26</f>
        <v>1276</v>
      </c>
      <c r="AC27" s="3">
        <f t="shared" si="45"/>
        <v>1409</v>
      </c>
      <c r="AD27" s="3">
        <f>AD22-AD26</f>
        <v>1581</v>
      </c>
      <c r="AE27" s="3">
        <f>AE22-AE26</f>
        <v>1860</v>
      </c>
      <c r="AF27" s="3">
        <f>AF22-AF26</f>
        <v>2254</v>
      </c>
      <c r="AG27" s="3">
        <f>AG22-AG26</f>
        <v>2696</v>
      </c>
      <c r="AH27" s="3">
        <f>AH22-AH26</f>
        <v>3127</v>
      </c>
      <c r="AI27" s="3">
        <f t="shared" ref="AI27" si="46">AI22-AI26</f>
        <v>3672</v>
      </c>
      <c r="AJ27" s="3">
        <f t="shared" ref="AJ27" si="47">AJ22-AJ26</f>
        <v>5839.5399999999991</v>
      </c>
      <c r="AK27" s="3">
        <f t="shared" ref="AK27" si="48">AK22-AK26</f>
        <v>5288.783875000001</v>
      </c>
      <c r="AL27" s="3">
        <f t="shared" ref="AL27" si="49">AL22-AL26</f>
        <v>5863.3742727500021</v>
      </c>
      <c r="AM27" s="3">
        <f t="shared" ref="AM27" si="50">AM22-AM26</f>
        <v>6469.7957024275029</v>
      </c>
      <c r="AN27" s="3">
        <f t="shared" ref="AN27" si="51">AN22-AN26</f>
        <v>7109.6707307492779</v>
      </c>
      <c r="AO27" s="3">
        <f t="shared" ref="AO27" si="52">AO22-AO26</f>
        <v>7784.7033629191465</v>
      </c>
      <c r="AP27" s="3">
        <f t="shared" ref="AP27" si="53">AP22-AP26</f>
        <v>8496.6831176538344</v>
      </c>
      <c r="AQ27" s="3">
        <f t="shared" ref="AQ27" si="54">AQ22-AQ26</f>
        <v>9247.4893059911374</v>
      </c>
      <c r="AR27" s="3">
        <f t="shared" ref="AR27" si="55">AR22-AR26</f>
        <v>10039.095524069857</v>
      </c>
      <c r="AS27" s="3">
        <f t="shared" ref="AS27" si="56">AS22-AS26</f>
        <v>10873.5743705803</v>
      </c>
      <c r="AT27" s="3">
        <f t="shared" ref="AT27" si="57">AT22-AT26</f>
        <v>11753.10240011934</v>
      </c>
      <c r="AU27" s="3">
        <f t="shared" ref="AU27" si="58">AU22-AU26</f>
        <v>12679.965324245433</v>
      </c>
    </row>
    <row r="28" spans="2:48" x14ac:dyDescent="0.2">
      <c r="B28" s="2" t="s">
        <v>29</v>
      </c>
      <c r="F28" s="1">
        <f>-7+10</f>
        <v>3</v>
      </c>
      <c r="G28" s="1">
        <f>-8+9</f>
        <v>1</v>
      </c>
      <c r="H28" s="1">
        <f>-7+54</f>
        <v>47</v>
      </c>
      <c r="I28" s="1">
        <f>-7+14</f>
        <v>7</v>
      </c>
      <c r="J28" s="1">
        <f>-7+8</f>
        <v>1</v>
      </c>
      <c r="K28" s="1">
        <f>-7+50</f>
        <v>43</v>
      </c>
      <c r="L28" s="1">
        <f>-21-5</f>
        <v>-26</v>
      </c>
      <c r="M28" s="1">
        <v>-22</v>
      </c>
      <c r="N28" s="1">
        <f>-32+8</f>
        <v>-24</v>
      </c>
      <c r="O28" s="2">
        <f>-49+5</f>
        <v>-44</v>
      </c>
      <c r="P28" s="2">
        <f>-65+23</f>
        <v>-42</v>
      </c>
      <c r="Q28" s="2">
        <f>-66+22</f>
        <v>-44</v>
      </c>
      <c r="R28" s="2">
        <f t="shared" ref="R28" si="59">AVERAGE(N28:Q28)</f>
        <v>-38.5</v>
      </c>
      <c r="S28" s="2">
        <f>-65+22</f>
        <v>-43</v>
      </c>
      <c r="T28" s="2">
        <f>-57+42</f>
        <v>-15</v>
      </c>
      <c r="U28" s="2">
        <f>-60+27</f>
        <v>-33</v>
      </c>
      <c r="V28" s="2">
        <f>-60+71</f>
        <v>11</v>
      </c>
      <c r="W28" s="2"/>
      <c r="X28" s="2"/>
      <c r="Y28" s="2"/>
      <c r="Z28" s="2"/>
      <c r="AB28" s="3">
        <f>-35-4</f>
        <v>-39</v>
      </c>
      <c r="AC28" s="3">
        <f>-31+3</f>
        <v>-28</v>
      </c>
      <c r="AD28" s="3">
        <f>-20+26</f>
        <v>6</v>
      </c>
      <c r="AE28" s="3">
        <f>-15+42</f>
        <v>27</v>
      </c>
      <c r="AF28" s="3">
        <f>-14+36</f>
        <v>22</v>
      </c>
      <c r="AG28" s="3">
        <f>SUM(G28:J28)</f>
        <v>56</v>
      </c>
      <c r="AH28" s="3">
        <f t="shared" ref="AH28" si="60">SUM(K28:N28)</f>
        <v>-29</v>
      </c>
      <c r="AI28" s="3">
        <f t="shared" ref="AI28" si="61">SUM(O28:R28)</f>
        <v>-168.5</v>
      </c>
    </row>
    <row r="29" spans="2:48" x14ac:dyDescent="0.2">
      <c r="B29" s="2" t="s">
        <v>30</v>
      </c>
      <c r="C29" s="3"/>
      <c r="D29" s="3"/>
      <c r="E29" s="3"/>
      <c r="F29" s="3">
        <f t="shared" ref="F29:L29" si="62">F27+F28</f>
        <v>492</v>
      </c>
      <c r="G29" s="3">
        <f t="shared" si="62"/>
        <v>219</v>
      </c>
      <c r="H29" s="3">
        <f t="shared" si="62"/>
        <v>72</v>
      </c>
      <c r="I29" s="3">
        <f t="shared" si="62"/>
        <v>1989</v>
      </c>
      <c r="J29" s="3">
        <f t="shared" si="62"/>
        <v>472</v>
      </c>
      <c r="K29" s="3">
        <f t="shared" si="62"/>
        <v>306</v>
      </c>
      <c r="L29" s="3">
        <f t="shared" si="62"/>
        <v>193</v>
      </c>
      <c r="M29" s="3">
        <f t="shared" ref="M29:R29" si="63">M27+M28</f>
        <v>2536</v>
      </c>
      <c r="N29" s="3">
        <f t="shared" si="63"/>
        <v>63</v>
      </c>
      <c r="O29" s="3">
        <f t="shared" si="63"/>
        <v>194</v>
      </c>
      <c r="P29" s="3">
        <f t="shared" si="63"/>
        <v>390</v>
      </c>
      <c r="Q29" s="3">
        <f t="shared" si="63"/>
        <v>2894</v>
      </c>
      <c r="R29" s="3">
        <f t="shared" si="63"/>
        <v>140.5</v>
      </c>
      <c r="S29" s="3">
        <f>+S27+S28</f>
        <v>422</v>
      </c>
      <c r="T29" s="3">
        <f>+T27+T28</f>
        <v>510</v>
      </c>
      <c r="U29" s="3">
        <f>+U27+U28</f>
        <v>3228</v>
      </c>
      <c r="V29" s="3">
        <f>+V27+V28</f>
        <v>242</v>
      </c>
      <c r="W29" s="3"/>
      <c r="X29" s="3"/>
      <c r="Y29" s="3"/>
      <c r="Z29" s="3"/>
      <c r="AB29" s="3">
        <f t="shared" ref="AB29:AC29" si="64">AB27+AB28</f>
        <v>1237</v>
      </c>
      <c r="AC29" s="3">
        <f t="shared" si="64"/>
        <v>1381</v>
      </c>
      <c r="AD29" s="3">
        <f>AD27+AD28</f>
        <v>1587</v>
      </c>
      <c r="AE29" s="3">
        <f>AE27+AE28</f>
        <v>1887</v>
      </c>
      <c r="AF29" s="3">
        <f>AF27+AF28</f>
        <v>2276</v>
      </c>
      <c r="AG29" s="3">
        <f>AG27+AG28</f>
        <v>2752</v>
      </c>
      <c r="AH29" s="3">
        <f>AH27+AH28</f>
        <v>3098</v>
      </c>
      <c r="AI29" s="3">
        <f>AI27+AI28</f>
        <v>3503.5</v>
      </c>
      <c r="AJ29" s="3">
        <f t="shared" ref="AJ29:AU29" si="65">AJ27+AJ28</f>
        <v>5839.5399999999991</v>
      </c>
      <c r="AK29" s="3">
        <f t="shared" si="65"/>
        <v>5288.783875000001</v>
      </c>
      <c r="AL29" s="3">
        <f t="shared" si="65"/>
        <v>5863.3742727500021</v>
      </c>
      <c r="AM29" s="3">
        <f t="shared" si="65"/>
        <v>6469.7957024275029</v>
      </c>
      <c r="AN29" s="3">
        <f t="shared" si="65"/>
        <v>7109.6707307492779</v>
      </c>
      <c r="AO29" s="3">
        <f t="shared" si="65"/>
        <v>7784.7033629191465</v>
      </c>
      <c r="AP29" s="3">
        <f t="shared" si="65"/>
        <v>8496.6831176538344</v>
      </c>
      <c r="AQ29" s="3">
        <f t="shared" si="65"/>
        <v>9247.4893059911374</v>
      </c>
      <c r="AR29" s="3">
        <f t="shared" si="65"/>
        <v>10039.095524069857</v>
      </c>
      <c r="AS29" s="3">
        <f t="shared" si="65"/>
        <v>10873.5743705803</v>
      </c>
      <c r="AT29" s="3">
        <f t="shared" si="65"/>
        <v>11753.10240011934</v>
      </c>
      <c r="AU29" s="3">
        <f t="shared" si="65"/>
        <v>12679.965324245433</v>
      </c>
    </row>
    <row r="30" spans="2:48" x14ac:dyDescent="0.2">
      <c r="B30" s="2" t="s">
        <v>31</v>
      </c>
      <c r="F30" s="1">
        <v>41</v>
      </c>
      <c r="G30" s="1">
        <v>12</v>
      </c>
      <c r="H30" s="1">
        <v>2</v>
      </c>
      <c r="I30" s="1">
        <v>457</v>
      </c>
      <c r="J30" s="1">
        <v>23</v>
      </c>
      <c r="K30" s="1">
        <v>10</v>
      </c>
      <c r="L30" s="1">
        <v>-70</v>
      </c>
      <c r="M30" s="1">
        <v>579</v>
      </c>
      <c r="N30" s="1">
        <v>-43</v>
      </c>
      <c r="O30" s="2">
        <v>0</v>
      </c>
      <c r="P30" s="2">
        <v>60</v>
      </c>
      <c r="Q30" s="2">
        <v>647</v>
      </c>
      <c r="R30" s="2">
        <f t="shared" ref="R30" si="66">+R29*0.15</f>
        <v>21.074999999999999</v>
      </c>
      <c r="S30" s="2">
        <v>23</v>
      </c>
      <c r="T30" s="2">
        <v>1</v>
      </c>
      <c r="U30" s="2">
        <v>683</v>
      </c>
      <c r="V30" s="2">
        <v>0</v>
      </c>
      <c r="W30" s="2"/>
      <c r="X30" s="2"/>
      <c r="Y30" s="2"/>
      <c r="Z30" s="2"/>
      <c r="AB30" s="3">
        <v>397</v>
      </c>
      <c r="AC30" s="3">
        <v>396</v>
      </c>
      <c r="AD30" s="3">
        <v>237</v>
      </c>
      <c r="AE30" s="3">
        <v>324</v>
      </c>
      <c r="AF30" s="3">
        <v>372</v>
      </c>
      <c r="AG30" s="3">
        <f>SUM(G30:J30)</f>
        <v>494</v>
      </c>
      <c r="AH30" s="3">
        <f>SUM(K30:N30)</f>
        <v>476</v>
      </c>
      <c r="AI30" s="3">
        <f>+AI29*0.15</f>
        <v>525.52499999999998</v>
      </c>
      <c r="AJ30" s="2">
        <f>+AJ29*0.15</f>
        <v>875.93099999999981</v>
      </c>
      <c r="AK30" s="2">
        <f t="shared" ref="AK30:AU30" si="67">+AK29*0.15</f>
        <v>793.3175812500001</v>
      </c>
      <c r="AL30" s="2">
        <f t="shared" si="67"/>
        <v>879.50614091250031</v>
      </c>
      <c r="AM30" s="2">
        <f t="shared" si="67"/>
        <v>970.46935536412536</v>
      </c>
      <c r="AN30" s="2">
        <f t="shared" si="67"/>
        <v>1066.4506096123916</v>
      </c>
      <c r="AO30" s="2">
        <f t="shared" si="67"/>
        <v>1167.7055044378719</v>
      </c>
      <c r="AP30" s="2">
        <f t="shared" si="67"/>
        <v>1274.502467648075</v>
      </c>
      <c r="AQ30" s="2">
        <f t="shared" si="67"/>
        <v>1387.1233958986707</v>
      </c>
      <c r="AR30" s="2">
        <f t="shared" si="67"/>
        <v>1505.8643286104784</v>
      </c>
      <c r="AS30" s="2">
        <f t="shared" si="67"/>
        <v>1631.036155587045</v>
      </c>
      <c r="AT30" s="2">
        <f t="shared" si="67"/>
        <v>1762.965360017901</v>
      </c>
      <c r="AU30" s="2">
        <f t="shared" si="67"/>
        <v>1901.9947986368149</v>
      </c>
    </row>
    <row r="31" spans="2:48" x14ac:dyDescent="0.2">
      <c r="B31" s="2" t="s">
        <v>32</v>
      </c>
      <c r="C31" s="3"/>
      <c r="D31" s="3"/>
      <c r="E31" s="3"/>
      <c r="F31" s="3">
        <f t="shared" ref="F31:L31" si="68">F29-F30</f>
        <v>451</v>
      </c>
      <c r="G31" s="3">
        <f t="shared" si="68"/>
        <v>207</v>
      </c>
      <c r="H31" s="3">
        <f t="shared" si="68"/>
        <v>70</v>
      </c>
      <c r="I31" s="3">
        <f t="shared" si="68"/>
        <v>1532</v>
      </c>
      <c r="J31" s="3">
        <f t="shared" si="68"/>
        <v>449</v>
      </c>
      <c r="K31" s="3">
        <f t="shared" si="68"/>
        <v>296</v>
      </c>
      <c r="L31" s="3">
        <f t="shared" si="68"/>
        <v>263</v>
      </c>
      <c r="M31" s="3">
        <f>M29-M30</f>
        <v>1957</v>
      </c>
      <c r="N31" s="3">
        <f>N29-N30</f>
        <v>106</v>
      </c>
      <c r="O31" s="3">
        <f t="shared" ref="O31" si="69">O29-O30</f>
        <v>194</v>
      </c>
      <c r="P31" s="3">
        <f t="shared" ref="P31:R31" si="70">P29-P30</f>
        <v>330</v>
      </c>
      <c r="Q31" s="3">
        <f t="shared" si="70"/>
        <v>2247</v>
      </c>
      <c r="R31" s="3">
        <f t="shared" si="70"/>
        <v>119.425</v>
      </c>
      <c r="S31" s="3">
        <f>+S29-S30</f>
        <v>399</v>
      </c>
      <c r="T31" s="3">
        <f>+T29-T30</f>
        <v>509</v>
      </c>
      <c r="U31" s="3">
        <f>+U29-U30</f>
        <v>2545</v>
      </c>
      <c r="V31" s="3">
        <f>+V29-V30</f>
        <v>242</v>
      </c>
      <c r="W31" s="3"/>
      <c r="X31" s="3"/>
      <c r="Y31" s="3"/>
      <c r="Z31" s="3"/>
      <c r="AB31" s="3">
        <f t="shared" ref="AB31:AC31" si="71">AB29-AB30</f>
        <v>840</v>
      </c>
      <c r="AC31" s="3">
        <f t="shared" si="71"/>
        <v>985</v>
      </c>
      <c r="AD31" s="3">
        <f>AD29-AD30</f>
        <v>1350</v>
      </c>
      <c r="AE31" s="3">
        <f>AE29-AE30</f>
        <v>1563</v>
      </c>
      <c r="AF31" s="3">
        <f>AF29-AF30</f>
        <v>1904</v>
      </c>
      <c r="AG31" s="3">
        <f>AG29-AG30</f>
        <v>2258</v>
      </c>
      <c r="AH31" s="3">
        <f>AH29-AH30</f>
        <v>2622</v>
      </c>
      <c r="AI31" s="3">
        <f>AI29-AI30</f>
        <v>2977.9749999999999</v>
      </c>
      <c r="AJ31" s="3">
        <f t="shared" ref="AJ31:AU31" si="72">AJ29-AJ30</f>
        <v>4963.6089999999995</v>
      </c>
      <c r="AK31" s="3">
        <f t="shared" si="72"/>
        <v>4495.4662937500007</v>
      </c>
      <c r="AL31" s="3">
        <f t="shared" si="72"/>
        <v>4983.868131837502</v>
      </c>
      <c r="AM31" s="3">
        <f t="shared" si="72"/>
        <v>5499.3263470633774</v>
      </c>
      <c r="AN31" s="3">
        <f t="shared" si="72"/>
        <v>6043.2201211368865</v>
      </c>
      <c r="AO31" s="3">
        <f t="shared" si="72"/>
        <v>6616.9978584812743</v>
      </c>
      <c r="AP31" s="3">
        <f t="shared" si="72"/>
        <v>7222.1806500057592</v>
      </c>
      <c r="AQ31" s="3">
        <f t="shared" si="72"/>
        <v>7860.3659100924669</v>
      </c>
      <c r="AR31" s="3">
        <f t="shared" si="72"/>
        <v>8533.2311954593788</v>
      </c>
      <c r="AS31" s="3">
        <f t="shared" si="72"/>
        <v>9242.5382149932557</v>
      </c>
      <c r="AT31" s="3">
        <f t="shared" si="72"/>
        <v>9990.1370401014392</v>
      </c>
      <c r="AU31" s="3">
        <f t="shared" si="72"/>
        <v>10777.970525608618</v>
      </c>
    </row>
    <row r="32" spans="2:48" x14ac:dyDescent="0.2">
      <c r="B32" s="2" t="s">
        <v>33</v>
      </c>
      <c r="C32" s="7"/>
      <c r="D32" s="7"/>
      <c r="E32" s="7"/>
      <c r="F32" s="7">
        <f t="shared" ref="F32:N32" si="73">F31/F33</f>
        <v>1.7083333333333333</v>
      </c>
      <c r="G32" s="7">
        <f t="shared" si="73"/>
        <v>0.78113207547169816</v>
      </c>
      <c r="H32" s="7">
        <f t="shared" si="73"/>
        <v>0.25641025641025639</v>
      </c>
      <c r="I32" s="7">
        <f t="shared" si="73"/>
        <v>5.5507246376811592</v>
      </c>
      <c r="J32" s="7">
        <f t="shared" si="73"/>
        <v>1.6209386281588447</v>
      </c>
      <c r="K32" s="7">
        <f t="shared" si="73"/>
        <v>1.0685920577617329</v>
      </c>
      <c r="L32" s="7">
        <f t="shared" si="73"/>
        <v>0.91637630662020908</v>
      </c>
      <c r="M32" s="7">
        <f t="shared" si="73"/>
        <v>6.8426573426573425</v>
      </c>
      <c r="N32" s="7">
        <f t="shared" si="73"/>
        <v>0.37588652482269502</v>
      </c>
      <c r="O32" s="7">
        <f t="shared" ref="O32:P32" si="74">O31/O33</f>
        <v>0.68309859154929575</v>
      </c>
      <c r="P32" s="7">
        <f t="shared" si="74"/>
        <v>1.1702127659574468</v>
      </c>
      <c r="Q32" s="7">
        <f t="shared" ref="Q32" si="75">Q31/Q33</f>
        <v>7.9399293286219077</v>
      </c>
      <c r="R32" s="7">
        <f t="shared" ref="R32" si="76">R31/R33</f>
        <v>0.4219964664310954</v>
      </c>
      <c r="S32" s="7">
        <f t="shared" ref="S32:T32" si="77">S31/S33</f>
        <v>1.4098939929328622</v>
      </c>
      <c r="T32" s="7">
        <f t="shared" si="77"/>
        <v>1.7922535211267605</v>
      </c>
      <c r="U32" s="7">
        <f t="shared" ref="U32:V32" si="78">U31/U33</f>
        <v>8.9612676056338021</v>
      </c>
      <c r="V32" s="7">
        <f t="shared" si="78"/>
        <v>0.86428571428571432</v>
      </c>
      <c r="W32" s="7"/>
      <c r="X32" s="7"/>
      <c r="Y32" s="7"/>
      <c r="Z32" s="7"/>
      <c r="AB32" s="7">
        <f t="shared" ref="AB32:AC32" si="79">AB31/AB33</f>
        <v>3.1698113207547172</v>
      </c>
      <c r="AC32" s="7">
        <f t="shared" si="79"/>
        <v>3.7739463601532566</v>
      </c>
      <c r="AD32" s="7">
        <f>AD31/AD33</f>
        <v>5.1724137931034484</v>
      </c>
      <c r="AE32" s="7">
        <f>AE31/AE33</f>
        <v>5.9204545454545459</v>
      </c>
      <c r="AF32" s="7">
        <f>AF31/AF33</f>
        <v>7.2121212121212119</v>
      </c>
      <c r="AG32" s="7">
        <f>AG31/AG33</f>
        <v>8.2786434463794691</v>
      </c>
      <c r="AH32" s="7">
        <f>AH31/AH33</f>
        <v>9.2650176678445231</v>
      </c>
      <c r="AI32" s="7">
        <f>AI31/AI33</f>
        <v>10.522879858657243</v>
      </c>
      <c r="AJ32" s="7">
        <f t="shared" ref="AJ32:AU32" si="80">AJ31/AJ33</f>
        <v>17.539254416961128</v>
      </c>
      <c r="AK32" s="7">
        <f t="shared" si="80"/>
        <v>15.885039907243819</v>
      </c>
      <c r="AL32" s="7">
        <f t="shared" si="80"/>
        <v>17.610841455256192</v>
      </c>
      <c r="AM32" s="7">
        <f t="shared" si="80"/>
        <v>19.432248576195679</v>
      </c>
      <c r="AN32" s="7">
        <f t="shared" si="80"/>
        <v>21.35413470366391</v>
      </c>
      <c r="AO32" s="7">
        <f t="shared" si="80"/>
        <v>23.381617874492136</v>
      </c>
      <c r="AP32" s="7">
        <f t="shared" si="80"/>
        <v>25.52007296821823</v>
      </c>
      <c r="AQ32" s="7">
        <f t="shared" si="80"/>
        <v>27.775144558630625</v>
      </c>
      <c r="AR32" s="7">
        <f t="shared" si="80"/>
        <v>30.152760407983671</v>
      </c>
      <c r="AS32" s="7">
        <f t="shared" si="80"/>
        <v>32.659145636018572</v>
      </c>
      <c r="AT32" s="7">
        <f t="shared" si="80"/>
        <v>35.30083759753159</v>
      </c>
      <c r="AU32" s="7">
        <f t="shared" si="80"/>
        <v>38.08470150391738</v>
      </c>
    </row>
    <row r="33" spans="2:47" x14ac:dyDescent="0.2">
      <c r="B33" s="2" t="s">
        <v>1</v>
      </c>
      <c r="F33" s="1">
        <v>264</v>
      </c>
      <c r="G33" s="1">
        <v>265</v>
      </c>
      <c r="H33" s="1">
        <v>273</v>
      </c>
      <c r="I33" s="1">
        <v>276</v>
      </c>
      <c r="J33" s="1">
        <v>277</v>
      </c>
      <c r="K33" s="1">
        <v>277</v>
      </c>
      <c r="L33" s="1">
        <v>287</v>
      </c>
      <c r="M33" s="1">
        <v>286</v>
      </c>
      <c r="N33" s="1">
        <v>282</v>
      </c>
      <c r="O33">
        <v>284</v>
      </c>
      <c r="P33">
        <v>282</v>
      </c>
      <c r="Q33">
        <v>283</v>
      </c>
      <c r="R33">
        <v>283</v>
      </c>
      <c r="S33">
        <v>283</v>
      </c>
      <c r="T33">
        <v>284</v>
      </c>
      <c r="U33">
        <v>284</v>
      </c>
      <c r="V33">
        <v>280</v>
      </c>
      <c r="AB33" s="3">
        <v>265</v>
      </c>
      <c r="AC33" s="3">
        <v>261</v>
      </c>
      <c r="AD33" s="3">
        <v>261</v>
      </c>
      <c r="AE33" s="3">
        <v>264</v>
      </c>
      <c r="AF33" s="3">
        <v>264</v>
      </c>
      <c r="AG33" s="3">
        <f>AVERAGE(G33:J33)</f>
        <v>272.75</v>
      </c>
      <c r="AH33" s="3">
        <f>AVERAGE(K33:N33)</f>
        <v>283</v>
      </c>
      <c r="AI33" s="1">
        <f>AVERAGE(O33:R33)</f>
        <v>283</v>
      </c>
      <c r="AJ33">
        <f>+AI33</f>
        <v>283</v>
      </c>
      <c r="AK33">
        <f t="shared" ref="AK33:AU33" si="81">+AJ33</f>
        <v>283</v>
      </c>
      <c r="AL33">
        <f t="shared" si="81"/>
        <v>283</v>
      </c>
      <c r="AM33">
        <f t="shared" si="81"/>
        <v>283</v>
      </c>
      <c r="AN33">
        <f t="shared" si="81"/>
        <v>283</v>
      </c>
      <c r="AO33">
        <f t="shared" si="81"/>
        <v>283</v>
      </c>
      <c r="AP33">
        <f t="shared" si="81"/>
        <v>283</v>
      </c>
      <c r="AQ33">
        <f t="shared" si="81"/>
        <v>283</v>
      </c>
      <c r="AR33">
        <f t="shared" si="81"/>
        <v>283</v>
      </c>
      <c r="AS33">
        <f t="shared" si="81"/>
        <v>283</v>
      </c>
      <c r="AT33">
        <f t="shared" si="81"/>
        <v>283</v>
      </c>
      <c r="AU33">
        <f t="shared" si="81"/>
        <v>283</v>
      </c>
    </row>
    <row r="35" spans="2:47" x14ac:dyDescent="0.2">
      <c r="B35" s="2" t="s">
        <v>80</v>
      </c>
      <c r="J35" s="8">
        <f>J20/F20-1</f>
        <v>0.41024229074889873</v>
      </c>
      <c r="K35" s="8">
        <f>K20/G20-1</f>
        <v>0.51700680272108834</v>
      </c>
      <c r="L35" s="8">
        <f>L20/H20-1</f>
        <v>0.69606598984771573</v>
      </c>
      <c r="M35" s="8">
        <f>M20/I20-1</f>
        <v>0.34962856458183555</v>
      </c>
      <c r="N35" s="8">
        <f>N20/J20-1</f>
        <v>-5.7399453338539685E-2</v>
      </c>
      <c r="O35" s="8">
        <f t="shared" ref="O35:S35" si="82">O20/K20-1</f>
        <v>0.29397110114598912</v>
      </c>
      <c r="P35" s="8">
        <f t="shared" si="82"/>
        <v>0.13767302656191549</v>
      </c>
      <c r="Q35" s="8">
        <f t="shared" si="82"/>
        <v>6.8536931818181879E-2</v>
      </c>
      <c r="R35" s="8">
        <f t="shared" si="82"/>
        <v>0.12344656172328095</v>
      </c>
      <c r="S35" s="8">
        <f t="shared" si="82"/>
        <v>0.14670773969965345</v>
      </c>
      <c r="T35" s="8">
        <f t="shared" ref="T35:V35" si="83">T20/P20-1</f>
        <v>0.11344952318316337</v>
      </c>
      <c r="U35" s="8">
        <f t="shared" si="83"/>
        <v>0.11947490860751087</v>
      </c>
      <c r="V35" s="8">
        <f t="shared" si="83"/>
        <v>0.17404129793510315</v>
      </c>
      <c r="W35" s="8"/>
      <c r="X35" s="8"/>
      <c r="Y35" s="8"/>
      <c r="Z35" s="8"/>
      <c r="AC35" s="8">
        <f>+AC20/AB20-1</f>
        <v>0.10289731572219862</v>
      </c>
      <c r="AD35" s="8">
        <f>+AD20/AC20-1</f>
        <v>0.16380142939926601</v>
      </c>
      <c r="AE35" s="8">
        <f>+AE20/AD20-1</f>
        <v>0.12597510373443987</v>
      </c>
      <c r="AF35" s="8">
        <f>+AF20/AE20-1</f>
        <v>0.13192806603773577</v>
      </c>
      <c r="AG35" s="8">
        <f>+AG20/AF20-1</f>
        <v>0.25446021617398107</v>
      </c>
      <c r="AH35" s="8">
        <f>+AH20/AG20-1</f>
        <v>0.32108377452507009</v>
      </c>
      <c r="AI35" s="8">
        <f>+AI20/AH20-1</f>
        <v>0.1199905704856199</v>
      </c>
      <c r="AJ35" s="8">
        <f>+AJ20/AI20-1</f>
        <v>0.1425664772328632</v>
      </c>
      <c r="AK35" s="8">
        <f>+AK20/AJ20-1</f>
        <v>-3.5067086275713644E-2</v>
      </c>
    </row>
    <row r="36" spans="2:47" x14ac:dyDescent="0.2">
      <c r="B36" s="2" t="s">
        <v>53</v>
      </c>
      <c r="L36" s="8"/>
      <c r="M36" s="8"/>
    </row>
    <row r="37" spans="2:47" x14ac:dyDescent="0.2">
      <c r="B37" s="2" t="s">
        <v>23</v>
      </c>
      <c r="C37" s="8"/>
      <c r="D37" s="8"/>
      <c r="E37" s="8"/>
      <c r="F37" s="8"/>
      <c r="G37" s="8">
        <f t="shared" ref="G37:N37" si="84">G22/G20</f>
        <v>0.8117913832199547</v>
      </c>
      <c r="H37" s="8">
        <f t="shared" si="84"/>
        <v>0.77601522842639592</v>
      </c>
      <c r="I37" s="8">
        <f t="shared" si="84"/>
        <v>0.86077162712676736</v>
      </c>
      <c r="J37" s="8">
        <f t="shared" si="84"/>
        <v>0.82428738773916443</v>
      </c>
      <c r="K37" s="8">
        <f t="shared" si="84"/>
        <v>0.79970104633781769</v>
      </c>
      <c r="L37" s="8">
        <f t="shared" si="84"/>
        <v>0.80433969322858212</v>
      </c>
      <c r="M37" s="8">
        <f t="shared" si="84"/>
        <v>0.86115056818181823</v>
      </c>
      <c r="N37" s="8">
        <f t="shared" si="84"/>
        <v>0.76843413421706708</v>
      </c>
      <c r="O37" s="8">
        <f t="shared" ref="O37:S37" si="85">O22/O20</f>
        <v>0.75548710050057755</v>
      </c>
      <c r="P37" s="8">
        <f t="shared" si="85"/>
        <v>0.75928970733311407</v>
      </c>
      <c r="Q37" s="8">
        <f t="shared" si="85"/>
        <v>0.84363575938850122</v>
      </c>
      <c r="R37" s="8">
        <f t="shared" si="85"/>
        <v>0.75221238938053092</v>
      </c>
      <c r="S37" s="8">
        <f t="shared" si="85"/>
        <v>0.7575554063129617</v>
      </c>
      <c r="T37" s="8">
        <f t="shared" ref="T37" si="86">T22/T20</f>
        <v>0.75812167749557002</v>
      </c>
      <c r="U37" s="8">
        <f t="shared" ref="U37:V37" si="87">U22/U20</f>
        <v>0.8469645242689624</v>
      </c>
      <c r="V37" s="8">
        <f t="shared" si="87"/>
        <v>0.76538944723618085</v>
      </c>
      <c r="W37" s="8"/>
      <c r="X37" s="8"/>
      <c r="Y37" s="8"/>
      <c r="Z37" s="8"/>
      <c r="AB37" s="8">
        <f>AB22/AB20</f>
        <v>0.84448231785257777</v>
      </c>
      <c r="AC37" s="8">
        <f>AC22/AC20</f>
        <v>0.84604983581224646</v>
      </c>
      <c r="AD37" s="8">
        <f>AD22/AD20</f>
        <v>0.84016597510373447</v>
      </c>
      <c r="AE37" s="8">
        <f>AE22/AE20</f>
        <v>0.82797759433962259</v>
      </c>
      <c r="AF37" s="8">
        <f>AF22/AF20</f>
        <v>0.82992577158484182</v>
      </c>
      <c r="AG37" s="8">
        <f>AG22/AG20</f>
        <v>0.83047856327208558</v>
      </c>
      <c r="AH37" s="8">
        <f>AH22/AH20</f>
        <v>0.82193933679082198</v>
      </c>
      <c r="AI37" s="8">
        <f>AI22/AI20</f>
        <v>0.79092120956991507</v>
      </c>
      <c r="AJ37" s="8">
        <f>AJ22/AJ20</f>
        <v>0.83</v>
      </c>
    </row>
    <row r="38" spans="2:47" x14ac:dyDescent="0.2">
      <c r="B38" s="2" t="s">
        <v>38</v>
      </c>
      <c r="C38" s="8"/>
      <c r="D38" s="8"/>
      <c r="E38" s="8"/>
      <c r="F38" s="8"/>
      <c r="G38" s="8">
        <f t="shared" ref="G38:N38" si="88">G27/G20</f>
        <v>0.16477702191987906</v>
      </c>
      <c r="H38" s="8">
        <f t="shared" si="88"/>
        <v>1.5862944162436547E-2</v>
      </c>
      <c r="I38" s="8">
        <f t="shared" si="88"/>
        <v>0.47495806374311045</v>
      </c>
      <c r="J38" s="8">
        <f t="shared" si="88"/>
        <v>0.18391253416634126</v>
      </c>
      <c r="K38" s="8">
        <f t="shared" si="88"/>
        <v>0.1310413552566019</v>
      </c>
      <c r="L38" s="8">
        <f t="shared" si="88"/>
        <v>8.1930415263748599E-2</v>
      </c>
      <c r="M38" s="8">
        <f t="shared" si="88"/>
        <v>0.45419034090909088</v>
      </c>
      <c r="N38" s="8">
        <f t="shared" si="88"/>
        <v>3.6039768019884011E-2</v>
      </c>
      <c r="O38" s="8">
        <f t="shared" ref="O38:S38" si="89">O27/O20</f>
        <v>9.1644204851752023E-2</v>
      </c>
      <c r="P38" s="8">
        <f t="shared" si="89"/>
        <v>0.14205853337717855</v>
      </c>
      <c r="Q38" s="8">
        <f t="shared" si="89"/>
        <v>0.48820206048521103</v>
      </c>
      <c r="R38" s="8">
        <f t="shared" si="89"/>
        <v>6.6002949852507375E-2</v>
      </c>
      <c r="S38" s="8">
        <f t="shared" si="89"/>
        <v>0.15614506380120888</v>
      </c>
      <c r="T38" s="8">
        <f t="shared" ref="T38" si="90">T27/T20</f>
        <v>0.15505020673360898</v>
      </c>
      <c r="U38" s="8">
        <f t="shared" ref="U38:V38" si="91">U27/U20</f>
        <v>0.48404334273415467</v>
      </c>
      <c r="V38" s="8">
        <f t="shared" si="91"/>
        <v>7.2550251256281409E-2</v>
      </c>
      <c r="W38" s="8"/>
      <c r="X38" s="8"/>
      <c r="Y38" s="8"/>
      <c r="Z38" s="8"/>
      <c r="AB38" s="8">
        <f>AB27/AB20</f>
        <v>0.27183638687686407</v>
      </c>
      <c r="AC38" s="8">
        <f>AC27/AC20</f>
        <v>0.27216534672590303</v>
      </c>
      <c r="AD38" s="8">
        <f>AD27/AD20</f>
        <v>0.2624066390041494</v>
      </c>
      <c r="AE38" s="8">
        <f>AE27/AE20</f>
        <v>0.27417452830188677</v>
      </c>
      <c r="AF38" s="8">
        <f>AF27/AF20</f>
        <v>0.29352780309936188</v>
      </c>
      <c r="AG38" s="8">
        <f>AG27/AG20</f>
        <v>0.27987127582269283</v>
      </c>
      <c r="AH38" s="8">
        <f>AH27/AH20</f>
        <v>0.24571742888574571</v>
      </c>
      <c r="AI38" s="8">
        <f>AI27/AI20</f>
        <v>0.2576299726373395</v>
      </c>
      <c r="AJ38" s="8">
        <f>AJ27/AJ20</f>
        <v>0.35858397298127104</v>
      </c>
    </row>
    <row r="40" spans="2:47" x14ac:dyDescent="0.2">
      <c r="B40" s="2" t="s">
        <v>51</v>
      </c>
      <c r="M40" s="3">
        <f>M41-M58</f>
        <v>-2851</v>
      </c>
      <c r="N40" s="3">
        <f>N41-N58</f>
        <v>-3026</v>
      </c>
      <c r="S40" s="2">
        <f>+S41-S58</f>
        <v>-3501</v>
      </c>
      <c r="T40" s="2">
        <f>+T41-T58</f>
        <v>-4333</v>
      </c>
      <c r="U40" s="2">
        <f>+U41-U58</f>
        <v>-1145</v>
      </c>
      <c r="V40" s="2">
        <f>+V41-V58</f>
        <v>-1833</v>
      </c>
    </row>
    <row r="41" spans="2:47" s="2" customFormat="1" x14ac:dyDescent="0.2">
      <c r="B41" s="2" t="s">
        <v>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f>3531+373+98</f>
        <v>4002</v>
      </c>
      <c r="N41" s="3">
        <f>2796+485+509+98</f>
        <v>3888</v>
      </c>
      <c r="S41" s="2">
        <f>1734+537+107</f>
        <v>2378</v>
      </c>
      <c r="T41" s="2">
        <f>1474+15+128</f>
        <v>1617</v>
      </c>
      <c r="U41" s="2">
        <f>4215+463+129</f>
        <v>4807</v>
      </c>
      <c r="V41" s="2">
        <f>3609+465+131</f>
        <v>4205</v>
      </c>
      <c r="AF41" s="3"/>
      <c r="AG41" s="3"/>
      <c r="AH41" s="3"/>
      <c r="AI41" s="3"/>
    </row>
    <row r="42" spans="2:47" s="2" customFormat="1" x14ac:dyDescent="0.2">
      <c r="B42" s="2" t="s">
        <v>34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v>738</v>
      </c>
      <c r="N42" s="3">
        <v>446</v>
      </c>
      <c r="S42" s="2">
        <v>372</v>
      </c>
      <c r="T42" s="2">
        <v>928</v>
      </c>
      <c r="U42" s="2">
        <v>790</v>
      </c>
      <c r="V42" s="2">
        <v>457</v>
      </c>
      <c r="AF42" s="3"/>
      <c r="AG42" s="3"/>
      <c r="AH42" s="3"/>
      <c r="AI42" s="3"/>
    </row>
    <row r="43" spans="2:47" s="2" customFormat="1" x14ac:dyDescent="0.2">
      <c r="B43" s="2" t="s">
        <v>31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f>6+8</f>
        <v>14</v>
      </c>
      <c r="N43" s="3">
        <f>93+11</f>
        <v>104</v>
      </c>
      <c r="S43" s="2">
        <f>214+17</f>
        <v>231</v>
      </c>
      <c r="T43" s="2">
        <f>126+383</f>
        <v>509</v>
      </c>
      <c r="U43" s="2">
        <f>4+512</f>
        <v>516</v>
      </c>
      <c r="V43" s="2">
        <f>78+541</f>
        <v>619</v>
      </c>
      <c r="AF43" s="3"/>
      <c r="AG43" s="3"/>
      <c r="AH43" s="3"/>
      <c r="AI43" s="3"/>
    </row>
    <row r="44" spans="2:47" s="2" customFormat="1" x14ac:dyDescent="0.2">
      <c r="B44" s="2" t="s">
        <v>35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>
        <v>671</v>
      </c>
      <c r="N44" s="3">
        <v>287</v>
      </c>
      <c r="S44" s="2">
        <v>388</v>
      </c>
      <c r="T44" s="2">
        <v>345</v>
      </c>
      <c r="U44" s="2">
        <v>337</v>
      </c>
      <c r="V44" s="2">
        <v>366</v>
      </c>
      <c r="AF44" s="3"/>
      <c r="AG44" s="3"/>
      <c r="AH44" s="3"/>
      <c r="AI44" s="3"/>
    </row>
    <row r="45" spans="2:47" s="2" customFormat="1" x14ac:dyDescent="0.2">
      <c r="B45" s="2" t="s">
        <v>36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>
        <v>539</v>
      </c>
      <c r="N45" s="3">
        <v>431</v>
      </c>
      <c r="S45" s="2">
        <v>2525</v>
      </c>
      <c r="T45" s="2">
        <v>3390</v>
      </c>
      <c r="U45" s="2">
        <v>2722</v>
      </c>
      <c r="V45" s="2">
        <v>3921</v>
      </c>
      <c r="AF45" s="3"/>
      <c r="AG45" s="3"/>
      <c r="AH45" s="3"/>
      <c r="AI45" s="3"/>
    </row>
    <row r="46" spans="2:47" s="2" customFormat="1" x14ac:dyDescent="0.2">
      <c r="B46" s="2" t="s">
        <v>37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>
        <v>858</v>
      </c>
      <c r="N46" s="3">
        <v>888</v>
      </c>
      <c r="S46" s="2">
        <v>1013</v>
      </c>
      <c r="T46" s="2">
        <v>1049</v>
      </c>
      <c r="U46" s="2">
        <v>1032</v>
      </c>
      <c r="V46" s="2">
        <v>1009</v>
      </c>
      <c r="AF46" s="3"/>
      <c r="AG46" s="3"/>
      <c r="AH46" s="3"/>
      <c r="AI46" s="3"/>
    </row>
    <row r="47" spans="2:47" s="2" customFormat="1" x14ac:dyDescent="0.2">
      <c r="B47" s="2" t="s">
        <v>40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>
        <v>425</v>
      </c>
      <c r="N47" s="3">
        <v>549</v>
      </c>
      <c r="S47" s="2">
        <v>457</v>
      </c>
      <c r="T47" s="2">
        <v>444</v>
      </c>
      <c r="U47" s="2">
        <v>428</v>
      </c>
      <c r="V47" s="2">
        <v>411</v>
      </c>
      <c r="AF47" s="3"/>
      <c r="AG47" s="3"/>
      <c r="AH47" s="3"/>
      <c r="AI47" s="3"/>
    </row>
    <row r="48" spans="2:47" s="2" customFormat="1" x14ac:dyDescent="0.2">
      <c r="B48" s="2" t="s">
        <v>39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f>13731+7224</f>
        <v>20955</v>
      </c>
      <c r="N48" s="3">
        <f>13736+7061</f>
        <v>20797</v>
      </c>
      <c r="S48" s="2">
        <f>6261+13776</f>
        <v>20037</v>
      </c>
      <c r="T48" s="2">
        <f>13779+6104</f>
        <v>19883</v>
      </c>
      <c r="U48" s="2">
        <f>13778+5950</f>
        <v>19728</v>
      </c>
      <c r="V48" s="2">
        <f>13844+5820+698</f>
        <v>20362</v>
      </c>
      <c r="AF48" s="3"/>
      <c r="AG48" s="3"/>
      <c r="AH48" s="3"/>
      <c r="AI48" s="3"/>
    </row>
    <row r="49" spans="2:35" s="2" customFormat="1" x14ac:dyDescent="0.2">
      <c r="B49" s="2" t="s">
        <v>41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312</v>
      </c>
      <c r="N49" s="3">
        <v>344</v>
      </c>
      <c r="S49" s="2">
        <f>429+649+9</f>
        <v>1087</v>
      </c>
      <c r="T49" s="2">
        <f>501+1001+21</f>
        <v>1523</v>
      </c>
      <c r="U49" s="2">
        <f>495+698+7</f>
        <v>1200</v>
      </c>
      <c r="V49" s="2">
        <f>779+3</f>
        <v>782</v>
      </c>
      <c r="AF49" s="3"/>
      <c r="AG49" s="3"/>
      <c r="AH49" s="3"/>
      <c r="AI49" s="3"/>
    </row>
    <row r="50" spans="2:35" s="2" customFormat="1" x14ac:dyDescent="0.2">
      <c r="B50" s="2" t="s">
        <v>42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>
        <f>SUM(M41:M49)</f>
        <v>28514</v>
      </c>
      <c r="N50" s="3">
        <f>SUM(N41:N49)</f>
        <v>27734</v>
      </c>
      <c r="S50" s="2">
        <f>SUM(S41:S49)</f>
        <v>28488</v>
      </c>
      <c r="T50" s="2">
        <f>SUM(T41:T49)</f>
        <v>29688</v>
      </c>
      <c r="U50" s="2">
        <f>SUM(U41:U49)</f>
        <v>31560</v>
      </c>
      <c r="V50" s="2">
        <f>SUM(V41:V49)</f>
        <v>32132</v>
      </c>
      <c r="AF50" s="3"/>
      <c r="AG50" s="3"/>
      <c r="AH50" s="3"/>
      <c r="AI50" s="3"/>
    </row>
    <row r="51" spans="2:35" s="2" customForma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AF51" s="3"/>
      <c r="AG51" s="3"/>
      <c r="AH51" s="3"/>
      <c r="AI51" s="3"/>
    </row>
    <row r="52" spans="2:35" s="2" customFormat="1" x14ac:dyDescent="0.2">
      <c r="B52" s="2" t="s">
        <v>43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>
        <v>900</v>
      </c>
      <c r="N52" s="3">
        <v>737</v>
      </c>
      <c r="S52" s="2">
        <v>630</v>
      </c>
      <c r="T52" s="2">
        <v>789</v>
      </c>
      <c r="U52" s="2">
        <v>886</v>
      </c>
      <c r="V52" s="2">
        <v>721</v>
      </c>
      <c r="AF52" s="3"/>
      <c r="AG52" s="3"/>
      <c r="AH52" s="3"/>
      <c r="AI52" s="3"/>
    </row>
    <row r="53" spans="2:35" s="2" customFormat="1" x14ac:dyDescent="0.2">
      <c r="B53" s="2" t="s">
        <v>44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543</v>
      </c>
      <c r="N53" s="3">
        <v>576</v>
      </c>
      <c r="S53" s="2">
        <v>439</v>
      </c>
      <c r="T53" s="2">
        <v>547</v>
      </c>
      <c r="U53" s="2">
        <v>689</v>
      </c>
      <c r="V53" s="2">
        <v>921</v>
      </c>
      <c r="AF53" s="3"/>
      <c r="AG53" s="3"/>
      <c r="AH53" s="3"/>
      <c r="AI53" s="3"/>
    </row>
    <row r="54" spans="2:35" s="2" customFormat="1" x14ac:dyDescent="0.2">
      <c r="B54" s="2" t="s">
        <v>45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v>741</v>
      </c>
      <c r="N54" s="3">
        <v>808</v>
      </c>
      <c r="S54" s="2">
        <v>763</v>
      </c>
      <c r="T54" s="2">
        <v>887</v>
      </c>
      <c r="U54" s="2">
        <v>843</v>
      </c>
      <c r="V54" s="2">
        <v>872</v>
      </c>
      <c r="AF54" s="3"/>
      <c r="AG54" s="3"/>
      <c r="AH54" s="3"/>
      <c r="AI54" s="3"/>
    </row>
    <row r="55" spans="2:35" s="2" customFormat="1" x14ac:dyDescent="0.2">
      <c r="B55" s="2" t="s">
        <v>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>
        <f>198+608</f>
        <v>806</v>
      </c>
      <c r="N55" s="3">
        <v>619</v>
      </c>
      <c r="S55" s="2">
        <f>133+3</f>
        <v>136</v>
      </c>
      <c r="T55" s="2">
        <f>1+3</f>
        <v>4</v>
      </c>
      <c r="U55" s="2">
        <f>437+3</f>
        <v>440</v>
      </c>
      <c r="V55" s="2">
        <v>8</v>
      </c>
      <c r="AF55" s="3"/>
      <c r="AG55" s="3"/>
      <c r="AH55" s="3"/>
      <c r="AI55" s="3"/>
    </row>
    <row r="56" spans="2:35" s="2" customFormat="1" x14ac:dyDescent="0.2">
      <c r="B56" s="2" t="s">
        <v>46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>
        <v>670</v>
      </c>
      <c r="N56" s="3">
        <v>579</v>
      </c>
      <c r="S56" s="2">
        <v>506</v>
      </c>
      <c r="T56" s="2">
        <v>602</v>
      </c>
      <c r="U56" s="2">
        <v>586</v>
      </c>
      <c r="V56" s="2">
        <v>549</v>
      </c>
      <c r="AF56" s="3"/>
      <c r="AG56" s="3"/>
      <c r="AH56" s="3"/>
      <c r="AI56" s="3"/>
    </row>
    <row r="57" spans="2:35" s="2" customFormat="1" x14ac:dyDescent="0.2">
      <c r="B57" s="2" t="s">
        <v>47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>
        <v>539</v>
      </c>
      <c r="N57" s="3">
        <v>431</v>
      </c>
      <c r="S57" s="2">
        <v>2525</v>
      </c>
      <c r="T57" s="2">
        <v>3390</v>
      </c>
      <c r="U57" s="2">
        <v>2722</v>
      </c>
      <c r="V57" s="2">
        <v>3921</v>
      </c>
      <c r="AF57" s="3"/>
      <c r="AG57" s="3"/>
      <c r="AH57" s="3"/>
      <c r="AI57" s="3"/>
    </row>
    <row r="58" spans="2:35" s="2" customFormat="1" x14ac:dyDescent="0.2">
      <c r="B58" s="2" t="s">
        <v>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>
        <v>6853</v>
      </c>
      <c r="N58" s="3">
        <f>499+6415</f>
        <v>6914</v>
      </c>
      <c r="S58" s="2">
        <v>5879</v>
      </c>
      <c r="T58" s="2">
        <v>5950</v>
      </c>
      <c r="U58" s="2">
        <v>5952</v>
      </c>
      <c r="V58" s="2">
        <f>5539+499</f>
        <v>6038</v>
      </c>
      <c r="AF58" s="3"/>
      <c r="AG58" s="3"/>
      <c r="AH58" s="3"/>
      <c r="AI58" s="3"/>
    </row>
    <row r="59" spans="2:35" s="2" customFormat="1" x14ac:dyDescent="0.2">
      <c r="B59" s="2" t="s">
        <v>40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415</v>
      </c>
      <c r="N59" s="3">
        <v>542</v>
      </c>
      <c r="S59" s="2">
        <v>474</v>
      </c>
      <c r="T59" s="2">
        <v>473</v>
      </c>
      <c r="U59" s="2">
        <v>468</v>
      </c>
      <c r="V59" s="2">
        <v>458</v>
      </c>
      <c r="AF59" s="3"/>
      <c r="AG59" s="3"/>
      <c r="AH59" s="3"/>
      <c r="AI59" s="3"/>
    </row>
    <row r="60" spans="2:35" s="2" customFormat="1" x14ac:dyDescent="0.2">
      <c r="B60" s="2" t="s">
        <v>48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>
        <v>86</v>
      </c>
      <c r="N60" s="3">
        <v>87</v>
      </c>
      <c r="S60" s="2">
        <v>144</v>
      </c>
      <c r="T60" s="2">
        <v>138</v>
      </c>
      <c r="U60" s="2">
        <v>217</v>
      </c>
      <c r="V60" s="2">
        <v>208</v>
      </c>
      <c r="AF60" s="3"/>
      <c r="AG60" s="3"/>
      <c r="AH60" s="3"/>
      <c r="AI60" s="3"/>
    </row>
    <row r="61" spans="2:35" s="2" customFormat="1" x14ac:dyDescent="0.2">
      <c r="B61" s="2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>
        <v>16961</v>
      </c>
      <c r="N61" s="3">
        <v>16441</v>
      </c>
      <c r="S61" s="2">
        <v>16992</v>
      </c>
      <c r="T61" s="2">
        <v>16908</v>
      </c>
      <c r="U61" s="2">
        <v>18757</v>
      </c>
      <c r="V61" s="2">
        <v>18436</v>
      </c>
      <c r="AF61" s="3"/>
      <c r="AG61" s="3"/>
      <c r="AH61" s="3"/>
      <c r="AI61" s="3"/>
    </row>
    <row r="62" spans="2:35" s="2" customFormat="1" x14ac:dyDescent="0.2">
      <c r="B62" s="2" t="s">
        <v>50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>
        <f>SUM(M52:M61)</f>
        <v>28514</v>
      </c>
      <c r="N62" s="3">
        <f>SUM(N52:N61)</f>
        <v>27734</v>
      </c>
      <c r="S62" s="2">
        <f>SUM(S52:S61)</f>
        <v>28488</v>
      </c>
      <c r="T62" s="2">
        <f>SUM(T52:T61)</f>
        <v>29688</v>
      </c>
      <c r="U62" s="2">
        <f>SUM(U52:U61)</f>
        <v>31560</v>
      </c>
      <c r="V62" s="2">
        <f>SUM(V52:V61)</f>
        <v>32132</v>
      </c>
      <c r="AF62" s="3"/>
      <c r="AG62" s="3"/>
      <c r="AH62" s="3"/>
      <c r="AI62" s="3"/>
    </row>
    <row r="64" spans="2:35" x14ac:dyDescent="0.2">
      <c r="B64" s="2" t="s">
        <v>101</v>
      </c>
      <c r="S64" s="2">
        <f t="shared" ref="S64:V64" si="92">+S31</f>
        <v>399</v>
      </c>
      <c r="T64" s="2">
        <f t="shared" si="92"/>
        <v>509</v>
      </c>
      <c r="U64" s="2">
        <f t="shared" si="92"/>
        <v>2545</v>
      </c>
      <c r="V64" s="2">
        <f t="shared" si="92"/>
        <v>242</v>
      </c>
    </row>
    <row r="65" spans="2:36" x14ac:dyDescent="0.2">
      <c r="B65" s="2" t="s">
        <v>102</v>
      </c>
      <c r="S65" s="2">
        <v>241</v>
      </c>
      <c r="T65" s="2">
        <f>594-S65</f>
        <v>353</v>
      </c>
      <c r="U65" s="2">
        <f>2983-T65-S65</f>
        <v>2389</v>
      </c>
      <c r="V65" s="2">
        <f>2963-U65-T65-S65</f>
        <v>-20</v>
      </c>
    </row>
    <row r="66" spans="2:36" x14ac:dyDescent="0.2">
      <c r="B66" s="2" t="s">
        <v>104</v>
      </c>
      <c r="S66" s="2">
        <v>33</v>
      </c>
      <c r="T66" s="2">
        <f>69-S66</f>
        <v>36</v>
      </c>
      <c r="U66" s="2">
        <f>111-T66-S66</f>
        <v>42</v>
      </c>
      <c r="V66" s="2">
        <f>159-U66-T66-S66</f>
        <v>48</v>
      </c>
    </row>
    <row r="67" spans="2:36" x14ac:dyDescent="0.2">
      <c r="B67" s="2" t="s">
        <v>105</v>
      </c>
      <c r="S67" s="2">
        <v>158</v>
      </c>
      <c r="T67" s="2">
        <f>314-S67</f>
        <v>156</v>
      </c>
      <c r="U67" s="2">
        <f>470-T67-S67</f>
        <v>156</v>
      </c>
      <c r="V67" s="2">
        <f>630-U67-T67-S67</f>
        <v>160</v>
      </c>
    </row>
    <row r="68" spans="2:36" x14ac:dyDescent="0.2">
      <c r="B68" s="2" t="s">
        <v>40</v>
      </c>
      <c r="S68" s="2">
        <v>22</v>
      </c>
      <c r="T68" s="2">
        <f>43-S68</f>
        <v>21</v>
      </c>
      <c r="U68" s="2">
        <f>63-T68-S68</f>
        <v>20</v>
      </c>
      <c r="V68" s="2">
        <f>81-U68-T68-S68</f>
        <v>18</v>
      </c>
    </row>
    <row r="69" spans="2:36" x14ac:dyDescent="0.2">
      <c r="B69" s="2" t="s">
        <v>106</v>
      </c>
      <c r="S69" s="2">
        <v>495</v>
      </c>
      <c r="T69" s="2">
        <f>970-S69</f>
        <v>475</v>
      </c>
      <c r="U69" s="2">
        <f>1421-T69-S69</f>
        <v>451</v>
      </c>
      <c r="V69" s="2">
        <f>1940-U69-T69-S69</f>
        <v>519</v>
      </c>
    </row>
    <row r="70" spans="2:36" x14ac:dyDescent="0.2">
      <c r="B70" s="2" t="s">
        <v>107</v>
      </c>
      <c r="S70" s="2">
        <v>-126</v>
      </c>
      <c r="T70" s="2">
        <f>-310-S70</f>
        <v>-184</v>
      </c>
      <c r="U70" s="2">
        <f>-361-T70-S70</f>
        <v>-51</v>
      </c>
      <c r="V70" s="2">
        <f>-554-U70-T70-S70</f>
        <v>-193</v>
      </c>
    </row>
    <row r="71" spans="2:36" x14ac:dyDescent="0.2">
      <c r="B71" s="2" t="s">
        <v>41</v>
      </c>
      <c r="S71" s="2">
        <v>28</v>
      </c>
      <c r="T71" s="2">
        <f>55-S71</f>
        <v>27</v>
      </c>
      <c r="U71" s="2">
        <f>69-T71-S71</f>
        <v>14</v>
      </c>
      <c r="V71" s="2">
        <f>92-U71-T71-S71</f>
        <v>23</v>
      </c>
    </row>
    <row r="72" spans="2:36" x14ac:dyDescent="0.2">
      <c r="B72" s="2" t="s">
        <v>108</v>
      </c>
      <c r="S72" s="2">
        <v>-44</v>
      </c>
      <c r="T72" s="2">
        <f>-96-S72</f>
        <v>-52</v>
      </c>
      <c r="U72" s="2">
        <f>-96-T72-S72</f>
        <v>0</v>
      </c>
      <c r="V72" s="2">
        <f>-96-U72-T72-S72</f>
        <v>0</v>
      </c>
    </row>
    <row r="73" spans="2:36" x14ac:dyDescent="0.2">
      <c r="B73" s="2" t="s">
        <v>109</v>
      </c>
      <c r="S73" s="2">
        <v>35</v>
      </c>
      <c r="T73" s="2">
        <f>76-S73</f>
        <v>41</v>
      </c>
      <c r="U73" s="2">
        <f>98-T73-S73</f>
        <v>22</v>
      </c>
      <c r="V73" s="2">
        <f>98-U73-T73-S73</f>
        <v>0</v>
      </c>
    </row>
    <row r="74" spans="2:36" x14ac:dyDescent="0.2">
      <c r="B74" s="2" t="s">
        <v>110</v>
      </c>
      <c r="S74" s="2">
        <v>-939</v>
      </c>
      <c r="T74" s="2">
        <f>-1199-S74</f>
        <v>-260</v>
      </c>
      <c r="U74" s="2">
        <f>-291-T74-S74</f>
        <v>908</v>
      </c>
      <c r="V74" s="2">
        <f>-429-U74-T74-S74</f>
        <v>-138</v>
      </c>
    </row>
    <row r="75" spans="2:36" x14ac:dyDescent="0.2">
      <c r="B75" t="s">
        <v>103</v>
      </c>
      <c r="S75" s="2">
        <f t="shared" ref="S75:V75" si="93">SUM(S65:S74)</f>
        <v>-97</v>
      </c>
      <c r="T75" s="2">
        <f t="shared" si="93"/>
        <v>613</v>
      </c>
      <c r="U75" s="2">
        <f t="shared" si="93"/>
        <v>3951</v>
      </c>
      <c r="V75" s="2">
        <f t="shared" si="93"/>
        <v>417</v>
      </c>
      <c r="AB75" s="2">
        <v>1460</v>
      </c>
      <c r="AC75" s="2">
        <v>1599</v>
      </c>
      <c r="AD75" s="2">
        <v>2112</v>
      </c>
      <c r="AE75" s="2">
        <v>2324</v>
      </c>
      <c r="AF75" s="3">
        <v>2414</v>
      </c>
      <c r="AG75" s="3">
        <v>3250</v>
      </c>
      <c r="AH75" s="3">
        <v>3889</v>
      </c>
      <c r="AI75" s="3">
        <v>5046</v>
      </c>
      <c r="AJ75" s="2">
        <v>4884</v>
      </c>
    </row>
    <row r="76" spans="2:36" x14ac:dyDescent="0.2">
      <c r="AG76" s="3"/>
      <c r="AH76" s="3"/>
      <c r="AI76" s="3"/>
      <c r="AJ76" s="2"/>
    </row>
    <row r="77" spans="2:36" x14ac:dyDescent="0.2">
      <c r="B77" s="2" t="s">
        <v>112</v>
      </c>
      <c r="S77">
        <f t="shared" ref="S77:V77" si="94">-92+94+301-377+358</f>
        <v>284</v>
      </c>
      <c r="T77">
        <f>-92+490+456-S77</f>
        <v>570</v>
      </c>
      <c r="U77">
        <f>-564+491+489-1926+101+1688-T77-S77</f>
        <v>-575</v>
      </c>
      <c r="V77">
        <f>-780+526+676-2538+234+2068-U77-T77-S77</f>
        <v>-93</v>
      </c>
      <c r="AG77" s="3"/>
      <c r="AH77" s="3"/>
      <c r="AI77" s="3"/>
      <c r="AJ77" s="2"/>
    </row>
    <row r="78" spans="2:36" x14ac:dyDescent="0.2">
      <c r="B78" s="2" t="s">
        <v>113</v>
      </c>
      <c r="S78">
        <v>-84</v>
      </c>
      <c r="T78">
        <f>-147-S78</f>
        <v>-63</v>
      </c>
      <c r="U78">
        <f>-208-T78-S78</f>
        <v>-61</v>
      </c>
      <c r="V78">
        <f>-191-59-U78-T78-S78</f>
        <v>-42</v>
      </c>
      <c r="AB78">
        <v>416</v>
      </c>
      <c r="AC78">
        <v>102</v>
      </c>
      <c r="AD78">
        <v>38</v>
      </c>
      <c r="AE78">
        <v>76</v>
      </c>
      <c r="AF78" s="3">
        <v>59</v>
      </c>
      <c r="AG78" s="3">
        <v>53</v>
      </c>
      <c r="AH78" s="3">
        <v>157</v>
      </c>
      <c r="AI78" s="3">
        <v>210</v>
      </c>
      <c r="AJ78" s="2">
        <v>191</v>
      </c>
    </row>
    <row r="79" spans="2:36" x14ac:dyDescent="0.2">
      <c r="B79" s="2" t="s">
        <v>41</v>
      </c>
      <c r="S79">
        <v>10</v>
      </c>
      <c r="T79">
        <f>-32-S79+709-1140</f>
        <v>-473</v>
      </c>
      <c r="U79">
        <f>-46-T79-S79</f>
        <v>417</v>
      </c>
      <c r="V79">
        <f>-80-U79-T79-S79</f>
        <v>-34</v>
      </c>
    </row>
    <row r="80" spans="2:36" x14ac:dyDescent="0.2">
      <c r="B80" s="2" t="s">
        <v>128</v>
      </c>
      <c r="S80">
        <v>0</v>
      </c>
      <c r="T80">
        <v>0</v>
      </c>
      <c r="U80">
        <v>0</v>
      </c>
      <c r="V80">
        <f>-83-U80-T80-S80</f>
        <v>-83</v>
      </c>
    </row>
    <row r="81" spans="2:36" x14ac:dyDescent="0.2">
      <c r="B81" t="s">
        <v>111</v>
      </c>
      <c r="S81">
        <f>SUM(S77:S80)</f>
        <v>210</v>
      </c>
      <c r="T81">
        <f>SUM(T77:T80)</f>
        <v>34</v>
      </c>
      <c r="U81">
        <f>SUM(U77:U80)</f>
        <v>-219</v>
      </c>
      <c r="V81">
        <f>SUM(V77:V80)</f>
        <v>-252</v>
      </c>
    </row>
    <row r="83" spans="2:36" x14ac:dyDescent="0.2">
      <c r="B83" s="2" t="s">
        <v>4</v>
      </c>
      <c r="S83" s="2">
        <f t="shared" ref="S83:V83" si="95">3956-4200</f>
        <v>-244</v>
      </c>
      <c r="T83" s="2">
        <f>3956-4200-S83-25+95</f>
        <v>70</v>
      </c>
      <c r="U83" s="2">
        <f>3956-4200+95-25-T83-S83</f>
        <v>0</v>
      </c>
      <c r="V83" s="2">
        <f>3956-4200+180-25-U83-T83-S83</f>
        <v>85</v>
      </c>
    </row>
    <row r="84" spans="2:36" x14ac:dyDescent="0.2">
      <c r="B84" s="2" t="s">
        <v>115</v>
      </c>
      <c r="S84" s="2">
        <f t="shared" ref="S84:V84" si="96">92-212</f>
        <v>-120</v>
      </c>
      <c r="T84" s="2">
        <f>-430+169-S84</f>
        <v>-141</v>
      </c>
      <c r="U84" s="2">
        <f>226-T84-S84-632</f>
        <v>-145</v>
      </c>
      <c r="V84" s="2">
        <f>-1002+282-U84-T84-S84</f>
        <v>-314</v>
      </c>
    </row>
    <row r="85" spans="2:36" x14ac:dyDescent="0.2">
      <c r="B85" s="2" t="s">
        <v>116</v>
      </c>
      <c r="S85" s="2">
        <v>-584</v>
      </c>
      <c r="T85" s="2">
        <f>-1135-S85</f>
        <v>-551</v>
      </c>
      <c r="U85" s="2">
        <f>-1707-T85-S85</f>
        <v>-572</v>
      </c>
      <c r="V85" s="2">
        <f>-1988-U85-T85-S85</f>
        <v>-281</v>
      </c>
    </row>
    <row r="86" spans="2:36" x14ac:dyDescent="0.2">
      <c r="B86" s="2" t="s">
        <v>117</v>
      </c>
      <c r="S86" s="2">
        <v>-260</v>
      </c>
      <c r="T86" s="2">
        <f>-516-S86</f>
        <v>-256</v>
      </c>
      <c r="U86" s="2">
        <f>-773-T86-S86</f>
        <v>-257</v>
      </c>
      <c r="V86" s="2">
        <f>-1034-U86-T86-S86</f>
        <v>-261</v>
      </c>
    </row>
    <row r="87" spans="2:36" x14ac:dyDescent="0.2">
      <c r="B87" s="2" t="s">
        <v>118</v>
      </c>
      <c r="S87" s="2">
        <v>2040</v>
      </c>
      <c r="T87" s="2">
        <f>2921-S87</f>
        <v>881</v>
      </c>
      <c r="U87" s="2">
        <f>2212-T87-S87</f>
        <v>-709</v>
      </c>
      <c r="V87" s="2">
        <f>3436-U87-T87-S87</f>
        <v>1224</v>
      </c>
    </row>
    <row r="88" spans="2:36" x14ac:dyDescent="0.2">
      <c r="B88" s="2" t="s">
        <v>41</v>
      </c>
      <c r="S88" s="2">
        <v>17</v>
      </c>
      <c r="T88" s="2">
        <f>-2-S88</f>
        <v>-19</v>
      </c>
      <c r="U88" s="2">
        <f>-3-T88-S88</f>
        <v>-1</v>
      </c>
      <c r="V88" s="2">
        <f>-2-U88-T88-S88</f>
        <v>1</v>
      </c>
    </row>
    <row r="89" spans="2:36" x14ac:dyDescent="0.2">
      <c r="B89" t="s">
        <v>114</v>
      </c>
      <c r="S89" s="2">
        <f t="shared" ref="S89:V89" si="97">SUM(S83:S88)</f>
        <v>849</v>
      </c>
      <c r="T89" s="2">
        <f t="shared" si="97"/>
        <v>-16</v>
      </c>
      <c r="U89" s="2">
        <f t="shared" si="97"/>
        <v>-1684</v>
      </c>
      <c r="V89" s="2">
        <f t="shared" si="97"/>
        <v>454</v>
      </c>
    </row>
    <row r="90" spans="2:36" x14ac:dyDescent="0.2">
      <c r="B90" s="2" t="s">
        <v>120</v>
      </c>
      <c r="S90" s="2">
        <v>-17</v>
      </c>
      <c r="T90" s="2">
        <f>-4-S90</f>
        <v>13</v>
      </c>
      <c r="U90" s="2">
        <f>-12-T90-S90</f>
        <v>-8</v>
      </c>
      <c r="V90" s="2">
        <f>-13-U90-T90-S90</f>
        <v>-1</v>
      </c>
    </row>
    <row r="91" spans="2:36" x14ac:dyDescent="0.2">
      <c r="B91" s="2" t="s">
        <v>119</v>
      </c>
      <c r="S91" s="2">
        <f t="shared" ref="S91:V91" si="98">+S89+S81+S75+S90</f>
        <v>945</v>
      </c>
      <c r="T91" s="2">
        <f t="shared" si="98"/>
        <v>644</v>
      </c>
      <c r="U91" s="2">
        <f t="shared" si="98"/>
        <v>2040</v>
      </c>
      <c r="V91" s="2">
        <f t="shared" si="98"/>
        <v>618</v>
      </c>
    </row>
    <row r="93" spans="2:36" x14ac:dyDescent="0.2">
      <c r="B93" s="2" t="s">
        <v>129</v>
      </c>
      <c r="S93" s="2">
        <f t="shared" ref="S93:V93" si="99">+S75+S78</f>
        <v>-181</v>
      </c>
      <c r="T93" s="2">
        <f t="shared" si="99"/>
        <v>550</v>
      </c>
      <c r="U93" s="2">
        <f t="shared" si="99"/>
        <v>3890</v>
      </c>
      <c r="V93" s="2">
        <f>+V75+V78</f>
        <v>375</v>
      </c>
      <c r="AB93" s="2">
        <f t="shared" ref="AB93:AD93" si="100">+AB75-AB78</f>
        <v>1044</v>
      </c>
      <c r="AC93" s="2">
        <f t="shared" si="100"/>
        <v>1497</v>
      </c>
      <c r="AD93" s="2">
        <f t="shared" ref="AD93:AJ93" si="101">+AD75-AD78</f>
        <v>2074</v>
      </c>
      <c r="AE93" s="2">
        <f t="shared" si="101"/>
        <v>2248</v>
      </c>
      <c r="AF93" s="2">
        <f t="shared" si="101"/>
        <v>2355</v>
      </c>
      <c r="AG93" s="2">
        <f t="shared" si="101"/>
        <v>3197</v>
      </c>
      <c r="AH93" s="2">
        <f t="shared" si="101"/>
        <v>3732</v>
      </c>
      <c r="AI93" s="2">
        <f t="shared" si="101"/>
        <v>4836</v>
      </c>
      <c r="AJ93" s="2">
        <f>+AJ75-AJ78</f>
        <v>4693</v>
      </c>
    </row>
    <row r="94" spans="2:36" x14ac:dyDescent="0.2">
      <c r="B94" s="2" t="s">
        <v>131</v>
      </c>
      <c r="S94" s="2"/>
      <c r="T94" s="2"/>
      <c r="U94" s="2"/>
      <c r="V94" s="2"/>
      <c r="AB94" s="12">
        <f t="shared" ref="AB94:AC94" si="102">+AB93/AB20</f>
        <v>0.22241158926288879</v>
      </c>
      <c r="AC94" s="12">
        <f t="shared" si="102"/>
        <v>0.28916360826733628</v>
      </c>
      <c r="AD94" s="12">
        <f>+AD93/AD20</f>
        <v>0.3442323651452282</v>
      </c>
      <c r="AE94" s="12">
        <f>+AE93/AE20</f>
        <v>0.33136792452830188</v>
      </c>
      <c r="AF94" s="12">
        <f>+AF93/AF20</f>
        <v>0.30668055736424016</v>
      </c>
      <c r="AG94" s="12">
        <f>+AG93/AG20</f>
        <v>0.33187999584760719</v>
      </c>
      <c r="AH94" s="12">
        <f>+AH93/AH20</f>
        <v>0.29325789721829326</v>
      </c>
      <c r="AI94" s="12">
        <f>+AI93/AI20</f>
        <v>0.33929699010734582</v>
      </c>
      <c r="AJ94" s="12">
        <f>+AJ93/AJ20</f>
        <v>0.2881793061099171</v>
      </c>
    </row>
    <row r="96" spans="2:36" x14ac:dyDescent="0.2">
      <c r="B96" t="s">
        <v>127</v>
      </c>
      <c r="AJ96" s="2">
        <v>18800</v>
      </c>
    </row>
  </sheetData>
  <phoneticPr fontId="3" type="noConversion"/>
  <hyperlinks>
    <hyperlink ref="A1" location="Main!A1" display="Main" xr:uid="{B997DAEA-D636-487D-A707-F2283FC68FBB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2022-07-18T12:30:03Z</dcterms:created>
  <dcterms:modified xsi:type="dcterms:W3CDTF">2024-10-08T18:35:00Z</dcterms:modified>
</cp:coreProperties>
</file>