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7E9352B2-27D0-4334-A294-65738926DC71}" xr6:coauthVersionLast="47" xr6:coauthVersionMax="47" xr10:uidLastSave="{00000000-0000-0000-0000-000000000000}"/>
  <bookViews>
    <workbookView xWindow="39380" yWindow="2930" windowWidth="18720" windowHeight="17090" activeTab="1" xr2:uid="{AB3C49AB-D501-4FD3-A043-98BB663A0B7E}"/>
  </bookViews>
  <sheets>
    <sheet name="Main" sheetId="1" r:id="rId1"/>
    <sheet name="Model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6" i="2" l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AO16" i="2"/>
  <c r="DX2" i="2"/>
  <c r="DW2" i="2"/>
  <c r="DV2" i="2"/>
  <c r="DU2" i="2"/>
  <c r="DT2" i="2"/>
  <c r="DS2" i="2"/>
  <c r="DR2" i="2"/>
  <c r="DQ2" i="2"/>
  <c r="DP2" i="2"/>
  <c r="DO2" i="2"/>
  <c r="DN2" i="2"/>
  <c r="DM2" i="2"/>
  <c r="DL2" i="2"/>
  <c r="DK2" i="2"/>
  <c r="CN2" i="2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AY2" i="2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AX2" i="2"/>
  <c r="AW2" i="2"/>
  <c r="K2" i="1"/>
  <c r="S22" i="2"/>
  <c r="T31" i="2"/>
  <c r="S31" i="2"/>
  <c r="S18" i="2"/>
  <c r="S32" i="2" s="1"/>
  <c r="J5" i="1"/>
  <c r="AG8" i="2"/>
  <c r="AF8" i="2"/>
  <c r="AE8" i="2"/>
  <c r="AD8" i="2"/>
  <c r="AC8" i="2"/>
  <c r="AB8" i="2"/>
  <c r="AB7" i="2" s="1"/>
  <c r="AA6" i="2"/>
  <c r="AA5" i="2"/>
  <c r="Y22" i="2"/>
  <c r="Y18" i="2"/>
  <c r="Z22" i="2"/>
  <c r="Z18" i="2"/>
  <c r="S23" i="2" l="1"/>
  <c r="S25" i="2" s="1"/>
  <c r="S27" i="2" s="1"/>
  <c r="S28" i="2" s="1"/>
  <c r="AA8" i="2"/>
  <c r="Z23" i="2"/>
  <c r="Z25" i="2" s="1"/>
  <c r="Z27" i="2" s="1"/>
  <c r="Z28" i="2" s="1"/>
  <c r="Y23" i="2"/>
  <c r="Y25" i="2" s="1"/>
  <c r="Y27" i="2" s="1"/>
  <c r="Y28" i="2" s="1"/>
  <c r="AE2" i="2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R16" i="2"/>
  <c r="AC26" i="2"/>
  <c r="R20" i="2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R19" i="2"/>
  <c r="AC19" i="2" s="1"/>
  <c r="R21" i="2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R29" i="2"/>
  <c r="AC29" i="2" s="1"/>
  <c r="AD29" i="2" s="1"/>
  <c r="AE29" i="2" s="1"/>
  <c r="AF29" i="2" s="1"/>
  <c r="AG29" i="2" s="1"/>
  <c r="AH29" i="2" s="1"/>
  <c r="AI29" i="2" s="1"/>
  <c r="AJ29" i="2" s="1"/>
  <c r="AK29" i="2" s="1"/>
  <c r="AL29" i="2" s="1"/>
  <c r="AM29" i="2" s="1"/>
  <c r="AN29" i="2" s="1"/>
  <c r="AB29" i="2"/>
  <c r="AB22" i="2"/>
  <c r="AA22" i="2"/>
  <c r="N21" i="2"/>
  <c r="N20" i="2"/>
  <c r="N19" i="2"/>
  <c r="N17" i="2"/>
  <c r="N16" i="2"/>
  <c r="N18" i="2" s="1"/>
  <c r="K22" i="2"/>
  <c r="K18" i="2"/>
  <c r="O18" i="2"/>
  <c r="O32" i="2" s="1"/>
  <c r="L22" i="2"/>
  <c r="L18" i="2"/>
  <c r="O22" i="2"/>
  <c r="M22" i="2"/>
  <c r="P22" i="2"/>
  <c r="P18" i="2"/>
  <c r="Q24" i="2"/>
  <c r="M18" i="2"/>
  <c r="Q22" i="2"/>
  <c r="Q18" i="2"/>
  <c r="Q54" i="2"/>
  <c r="Q53" i="2"/>
  <c r="Q52" i="2"/>
  <c r="Q46" i="2"/>
  <c r="Q41" i="2"/>
  <c r="AC2" i="2"/>
  <c r="J4" i="1"/>
  <c r="J7" i="1" s="1"/>
  <c r="AB18" i="2"/>
  <c r="AA18" i="2"/>
  <c r="M23" i="2" l="1"/>
  <c r="M25" i="2" s="1"/>
  <c r="M27" i="2" s="1"/>
  <c r="M28" i="2" s="1"/>
  <c r="P23" i="2"/>
  <c r="P25" i="2" s="1"/>
  <c r="P27" i="2" s="1"/>
  <c r="P28" i="2" s="1"/>
  <c r="AD19" i="2"/>
  <c r="AC22" i="2"/>
  <c r="R22" i="2"/>
  <c r="R24" i="2"/>
  <c r="AC24" i="2" s="1"/>
  <c r="L23" i="2"/>
  <c r="L25" i="2" s="1"/>
  <c r="L27" i="2" s="1"/>
  <c r="L28" i="2" s="1"/>
  <c r="AC16" i="2"/>
  <c r="AD16" i="2" s="1"/>
  <c r="R17" i="2"/>
  <c r="AC17" i="2" s="1"/>
  <c r="K23" i="2"/>
  <c r="K25" i="2" s="1"/>
  <c r="K27" i="2" s="1"/>
  <c r="K28" i="2" s="1"/>
  <c r="N22" i="2"/>
  <c r="N23" i="2" s="1"/>
  <c r="N25" i="2" s="1"/>
  <c r="N27" i="2" s="1"/>
  <c r="N28" i="2" s="1"/>
  <c r="AA23" i="2"/>
  <c r="AA25" i="2" s="1"/>
  <c r="AA27" i="2" s="1"/>
  <c r="AB23" i="2"/>
  <c r="AB25" i="2" s="1"/>
  <c r="AB27" i="2" s="1"/>
  <c r="AB28" i="2" s="1"/>
  <c r="O23" i="2"/>
  <c r="O25" i="2" s="1"/>
  <c r="O27" i="2" s="1"/>
  <c r="O28" i="2" s="1"/>
  <c r="Q23" i="2"/>
  <c r="Q25" i="2" s="1"/>
  <c r="Q27" i="2" s="1"/>
  <c r="Q28" i="2" s="1"/>
  <c r="Q48" i="2"/>
  <c r="Q58" i="2"/>
  <c r="AC7" i="2" l="1"/>
  <c r="AE16" i="2"/>
  <c r="AD18" i="2"/>
  <c r="AD17" i="2" s="1"/>
  <c r="AE19" i="2"/>
  <c r="AD22" i="2"/>
  <c r="AC18" i="2"/>
  <c r="AC23" i="2" s="1"/>
  <c r="AC25" i="2" s="1"/>
  <c r="AC27" i="2" s="1"/>
  <c r="AC28" i="2" s="1"/>
  <c r="R18" i="2"/>
  <c r="R23" i="2" s="1"/>
  <c r="R25" i="2" s="1"/>
  <c r="R27" i="2" s="1"/>
  <c r="R28" i="2" s="1"/>
  <c r="AD23" i="2" l="1"/>
  <c r="AD25" i="2" s="1"/>
  <c r="AD27" i="2" s="1"/>
  <c r="AD28" i="2"/>
  <c r="AF19" i="2"/>
  <c r="AE22" i="2"/>
  <c r="AE18" i="2"/>
  <c r="AE17" i="2" s="1"/>
  <c r="AF16" i="2"/>
  <c r="AG16" i="2" l="1"/>
  <c r="AF18" i="2"/>
  <c r="AF17" i="2" s="1"/>
  <c r="AE23" i="2"/>
  <c r="AE25" i="2" s="1"/>
  <c r="AE27" i="2" s="1"/>
  <c r="AG19" i="2"/>
  <c r="AF22" i="2"/>
  <c r="AF23" i="2" l="1"/>
  <c r="AF25" i="2" s="1"/>
  <c r="AF27" i="2" s="1"/>
  <c r="AF28" i="2" s="1"/>
  <c r="AH19" i="2"/>
  <c r="AG22" i="2"/>
  <c r="AE28" i="2"/>
  <c r="AH16" i="2"/>
  <c r="AG18" i="2"/>
  <c r="AG17" i="2" s="1"/>
  <c r="AI16" i="2" l="1"/>
  <c r="AH18" i="2"/>
  <c r="AH17" i="2" s="1"/>
  <c r="AG23" i="2"/>
  <c r="AG25" i="2" s="1"/>
  <c r="AI19" i="2"/>
  <c r="AH22" i="2"/>
  <c r="AH23" i="2" s="1"/>
  <c r="AH25" i="2" s="1"/>
  <c r="AJ19" i="2" l="1"/>
  <c r="AI22" i="2"/>
  <c r="AH26" i="2"/>
  <c r="AH27" i="2" s="1"/>
  <c r="AH28" i="2" s="1"/>
  <c r="AG26" i="2"/>
  <c r="AG27" i="2" s="1"/>
  <c r="AJ16" i="2"/>
  <c r="AI18" i="2"/>
  <c r="AI17" i="2" l="1"/>
  <c r="AI23" i="2"/>
  <c r="AI25" i="2" s="1"/>
  <c r="AK16" i="2"/>
  <c r="AJ18" i="2"/>
  <c r="AJ17" i="2"/>
  <c r="AG28" i="2"/>
  <c r="AK19" i="2"/>
  <c r="AJ22" i="2"/>
  <c r="AL19" i="2" l="1"/>
  <c r="AK22" i="2"/>
  <c r="AJ23" i="2"/>
  <c r="AJ25" i="2" s="1"/>
  <c r="AL16" i="2"/>
  <c r="AK18" i="2"/>
  <c r="AK17" i="2"/>
  <c r="AI26" i="2"/>
  <c r="AI27" i="2" s="1"/>
  <c r="AK23" i="2" l="1"/>
  <c r="AK25" i="2" s="1"/>
  <c r="AI28" i="2"/>
  <c r="AM16" i="2"/>
  <c r="AL18" i="2"/>
  <c r="AL17" i="2"/>
  <c r="AK26" i="2"/>
  <c r="AK27" i="2" s="1"/>
  <c r="AK28" i="2" s="1"/>
  <c r="AJ26" i="2"/>
  <c r="AJ27" i="2" s="1"/>
  <c r="AJ28" i="2" s="1"/>
  <c r="AM19" i="2"/>
  <c r="AL22" i="2"/>
  <c r="AN19" i="2" l="1"/>
  <c r="AN22" i="2" s="1"/>
  <c r="AM22" i="2"/>
  <c r="AL23" i="2"/>
  <c r="AL25" i="2" s="1"/>
  <c r="AN16" i="2"/>
  <c r="AM18" i="2"/>
  <c r="AM23" i="2" s="1"/>
  <c r="AM25" i="2" s="1"/>
  <c r="AM17" i="2" l="1"/>
  <c r="AM26" i="2"/>
  <c r="AM27" i="2" s="1"/>
  <c r="AM28" i="2" s="1"/>
  <c r="AN18" i="2"/>
  <c r="AN23" i="2" s="1"/>
  <c r="AN25" i="2" s="1"/>
  <c r="AL26" i="2"/>
  <c r="AL27" i="2" s="1"/>
  <c r="AL28" i="2" s="1"/>
  <c r="AN17" i="2" l="1"/>
  <c r="AN26" i="2"/>
  <c r="AN27" i="2" s="1"/>
  <c r="AN28" i="2" l="1"/>
  <c r="AO27" i="2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 s="1"/>
  <c r="BY27" i="2" s="1"/>
  <c r="AO35" i="2" s="1"/>
  <c r="AO3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tc={0ACF6560-A3D8-DB4B-9A39-3B07A923B357}</author>
    <author>tc={FFA193FF-5AD3-4912-B81F-6849603BFE55}</author>
    <author>tc={5947D9AF-E117-7546-888C-09B56A94889F}</author>
    <author>tc={77484200-1FBE-43A6-8894-D778E607D613}</author>
    <author>tc={23C5B095-8E6F-4C1F-86D9-C212FE3E6F4D}</author>
    <author>tc={D464E2DE-90EF-474F-B04E-42365CFFD3EC}</author>
    <author>tc={6FD4C426-31B6-4D62-943F-4388146ADBBE}</author>
    <author>tc={1A0A1B49-65D0-4998-B407-2792C10D6299}</author>
    <author>tc={A6E9DABB-1376-4112-A26B-944B948407A8}</author>
    <author>tc={52746AA8-06E3-4D64-87ED-D1AB9D96C22E}</author>
  </authors>
  <commentList>
    <comment ref="AC3" authorId="0" shapeId="0" xr:uid="{0ACF6560-A3D8-DB4B-9A39-3B07A923B357}">
      <text>
        <t>[Threaded comment]
Your version of Excel allows you to read this threaded comment; however, any edits to it will get removed if the file is opened in a newer version of Excel. Learn more: https://go.microsoft.com/fwlink/?linkid=870924
Comment:
    Reiterated on Q3 call</t>
      </text>
    </comment>
    <comment ref="S14" authorId="1" shapeId="0" xr:uid="{FFA193FF-5AD3-4912-B81F-6849603BFE55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CHATANOOGA????</t>
      </text>
    </comment>
    <comment ref="R16" authorId="2" shapeId="0" xr:uid="{5947D9AF-E117-7546-888C-09B56A94889F}">
      <text>
        <t>[Threaded comment]
Your version of Excel allows you to read this threaded comment; however, any edits to it will get removed if the file is opened in a newer version of Excel. Learn more: https://go.microsoft.com/fwlink/?linkid=870924
Comment:
    7.1-11.1 guidance</t>
      </text>
    </comment>
    <comment ref="T16" authorId="3" shapeId="0" xr:uid="{77484200-1FBE-43A6-8894-D778E607D613}">
      <text>
        <t>[Threaded comment]
Your version of Excel allows you to read this threaded comment; however, any edits to it will get removed if the file is opened in a newer version of Excel. Learn more: https://go.microsoft.com/fwlink/?linkid=870924
Comment:
    Q215 guidance: 16-18m 
5/7/25 consensus: 16.9m</t>
      </text>
    </comment>
    <comment ref="U16" authorId="4" shapeId="0" xr:uid="{23C5B095-8E6F-4C1F-86D9-C212FE3E6F4D}">
      <text>
        <t>[Threaded comment]
Your version of Excel allows you to read this threaded comment; however, any edits to it will get removed if the file is opened in a newer version of Excel. Learn more: https://go.microsoft.com/fwlink/?linkid=870924
Comment:
    5/7/25 consensus: 25.8m</t>
      </text>
    </comment>
    <comment ref="V16" authorId="5" shapeId="0" xr:uid="{D464E2DE-90EF-474F-B04E-42365CFFD3EC}">
      <text>
        <t>[Threaded comment]
Your version of Excel allows you to read this threaded comment; however, any edits to it will get removed if the file is opened in a newer version of Excel. Learn more: https://go.microsoft.com/fwlink/?linkid=870924
Comment:
    5/7/25 consensus: 35.25m</t>
      </text>
    </comment>
    <comment ref="Z16" authorId="6" shapeId="0" xr:uid="{6FD4C426-31B6-4D62-943F-4388146ADBBE}">
      <text>
        <t>[Threaded comment]
Your version of Excel allows you to read this threaded comment; however, any edits to it will get removed if the file is opened in a newer version of Excel. Learn more: https://go.microsoft.com/fwlink/?linkid=870924
Comment:
    4 contracts
2 significant customers</t>
      </text>
    </comment>
    <comment ref="AA16" authorId="7" shapeId="0" xr:uid="{1A0A1B49-65D0-4998-B407-2792C10D6299}">
      <text>
        <t>[Threaded comment]
Your version of Excel allows you to read this threaded comment; however, any edits to it will get removed if the file is opened in a newer version of Excel. Learn more: https://go.microsoft.com/fwlink/?linkid=870924
Comment:
    30.5m RPO, 60% in the next 12 months
3 significant customers = 70%</t>
      </text>
    </comment>
    <comment ref="AB16" authorId="8" shapeId="0" xr:uid="{A6E9DABB-1376-4112-A26B-944B948407A8}">
      <text>
        <t>[Threaded comment]
Your version of Excel allows you to read this threaded comment; however, any edits to it will get removed if the file is opened in a newer version of Excel. Learn more: https://go.microsoft.com/fwlink/?linkid=870924
Comment:
    69.1m RPO
2 customers = 58%</t>
      </text>
    </comment>
    <comment ref="AD16" authorId="9" shapeId="0" xr:uid="{52746AA8-06E3-4D64-87ED-D1AB9D96C22E}">
      <text>
        <t>[Threaded comment]
Your version of Excel allows you to read this threaded comment; however, any edits to it will get removed if the file is opened in a newer version of Excel. Learn more: https://go.microsoft.com/fwlink/?linkid=870924
Comment:
    83m consensus</t>
      </text>
    </comment>
  </commentList>
</comments>
</file>

<file path=xl/sharedStrings.xml><?xml version="1.0" encoding="utf-8"?>
<sst xmlns="http://schemas.openxmlformats.org/spreadsheetml/2006/main" count="112" uniqueCount="105">
  <si>
    <t>Price</t>
  </si>
  <si>
    <t>Shares</t>
  </si>
  <si>
    <t>MC</t>
  </si>
  <si>
    <t>Cash</t>
  </si>
  <si>
    <t>Debt</t>
  </si>
  <si>
    <t>EV</t>
  </si>
  <si>
    <t>Employees</t>
  </si>
  <si>
    <t>Founded</t>
  </si>
  <si>
    <t>Main</t>
  </si>
  <si>
    <t>Revenue</t>
  </si>
  <si>
    <t>COGS</t>
  </si>
  <si>
    <t>Gross Margin</t>
  </si>
  <si>
    <t>R&amp;D</t>
  </si>
  <si>
    <t>S&amp;M</t>
  </si>
  <si>
    <t>G&amp;A</t>
  </si>
  <si>
    <t>Q423</t>
  </si>
  <si>
    <t>AD</t>
  </si>
  <si>
    <t>CFFO</t>
  </si>
  <si>
    <t>CapEx</t>
  </si>
  <si>
    <t>25 qubits</t>
  </si>
  <si>
    <t>36 qubits</t>
  </si>
  <si>
    <t>Q122</t>
  </si>
  <si>
    <t>Q222</t>
  </si>
  <si>
    <t>Q322</t>
  </si>
  <si>
    <t>Q422</t>
  </si>
  <si>
    <t>Q123</t>
  </si>
  <si>
    <t>Q223</t>
  </si>
  <si>
    <t>Q323</t>
  </si>
  <si>
    <t>Q124</t>
  </si>
  <si>
    <t>Q224</t>
  </si>
  <si>
    <t>Q324</t>
  </si>
  <si>
    <t>Q424</t>
  </si>
  <si>
    <t>Tempo</t>
  </si>
  <si>
    <t>YE2025: 100 qubits</t>
  </si>
  <si>
    <t>Aria-1 - AWS - OFFLINE</t>
  </si>
  <si>
    <t>Aria-2 - AWS - OFFLINE</t>
  </si>
  <si>
    <t>AWS - RESERVATION ONLY</t>
  </si>
  <si>
    <t>Aria - produced 2 in 2021</t>
  </si>
  <si>
    <t>Harmony - produced 2 in 2019</t>
  </si>
  <si>
    <t>Forte - produced 1 in 2023</t>
  </si>
  <si>
    <t>Assets</t>
  </si>
  <si>
    <t>AR</t>
  </si>
  <si>
    <t>Prepaids</t>
  </si>
  <si>
    <t>PP&amp;E</t>
  </si>
  <si>
    <t>Leases</t>
  </si>
  <si>
    <t>Goodwill</t>
  </si>
  <si>
    <t>ONCA</t>
  </si>
  <si>
    <t>AP</t>
  </si>
  <si>
    <t>AE</t>
  </si>
  <si>
    <t>Lease</t>
  </si>
  <si>
    <t>DR</t>
  </si>
  <si>
    <t>ESOP</t>
  </si>
  <si>
    <t>L+SE</t>
  </si>
  <si>
    <t>SE</t>
  </si>
  <si>
    <t>ONCL</t>
  </si>
  <si>
    <t>Warrants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</si>
  <si>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</si>
  <si>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</si>
  <si>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</si>
  <si>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</si>
  <si>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</si>
  <si>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</si>
  <si>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</si>
  <si>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Discount</t>
  </si>
  <si>
    <t>Terminal</t>
  </si>
  <si>
    <t>NPV</t>
  </si>
  <si>
    <t>Share</t>
  </si>
  <si>
    <t>11 qubit computer mentioned in S-1</t>
  </si>
  <si>
    <t>CEO: Peter Chapman since 2019</t>
  </si>
  <si>
    <t>Q121</t>
  </si>
  <si>
    <t>Q221</t>
  </si>
  <si>
    <t>Q321</t>
  </si>
  <si>
    <t>Q421</t>
  </si>
  <si>
    <t>20-qubit mentioned in 2021 10-K</t>
  </si>
  <si>
    <t>Net new business</t>
  </si>
  <si>
    <t>Customer 1</t>
  </si>
  <si>
    <t>Customer 2</t>
  </si>
  <si>
    <t>Air Force</t>
  </si>
  <si>
    <t>Customers</t>
  </si>
  <si>
    <t>Airbus</t>
  </si>
  <si>
    <t>General Dynamics</t>
  </si>
  <si>
    <t>Oak Ridge</t>
  </si>
  <si>
    <t>AFRL</t>
  </si>
  <si>
    <t>Lockheed</t>
  </si>
  <si>
    <t>Caterpillar</t>
  </si>
  <si>
    <t>Nvidia</t>
  </si>
  <si>
    <t>Hyundai</t>
  </si>
  <si>
    <t>Q125</t>
  </si>
  <si>
    <t>Q225</t>
  </si>
  <si>
    <t>Q325</t>
  </si>
  <si>
    <t>Q425</t>
  </si>
  <si>
    <t>Bookings</t>
  </si>
  <si>
    <t>75-95</t>
  </si>
  <si>
    <t>Michael Hayduk, Deputy Director of the Air Force Research Laboratory, Information Directorate</t>
  </si>
  <si>
    <t>415m annual budget</t>
  </si>
  <si>
    <t>https://status.ionq.co/</t>
  </si>
  <si>
    <t>Revenue y/y</t>
  </si>
  <si>
    <t>12/27/24: Qubitekk acquisition, 22.1m cash, 15.5m at closing</t>
  </si>
  <si>
    <t>Hardware</t>
  </si>
  <si>
    <t>Platform/Consulting</t>
  </si>
  <si>
    <t>International</t>
  </si>
  <si>
    <t>US</t>
  </si>
  <si>
    <t>RPO</t>
  </si>
  <si>
    <t>Lightsynq</t>
  </si>
  <si>
    <t>Capella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</si>
</sst>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.0"/>
    <numFmt numFmtId="165" formatCode="0.0%"/>
    <numFmt numFmtId="166" formatCode="#,##0.000"/>
  </numFmts>
  <fonts count="5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4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2" fillId="0" borderId="0" xfId="0" applyFont="1"/>
    <xf numFmtId="0" fontId="1" fillId="0" borderId="0" xfId="1"/>
    <xf numFmtId="1" fontId="0" fillId="0" borderId="0" xfId="0" applyNumberFormat="1"/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64" fontId="3" fillId="0" borderId="0" xfId="0" applyNumberFormat="1" applyFont="1"/>
    <xf numFmtId="164" fontId="3" fillId="0" borderId="0" xfId="0" applyNumberFormat="1" applyFont="1" applyAlignment="1">
      <alignment horizontal="right"/>
    </xf>
    <xf numFmtId="9" fontId="0" fillId="0" borderId="0" xfId="0" applyNumberFormat="1"/>
    <xf numFmtId="9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42C1F70-08F8-494F-B5C2-A556F3429DF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0</xdr:row>
      <xdr:rowOff>54429</xdr:rowOff>
    </xdr:from>
    <xdr:to>
      <xdr:col>17</xdr:col>
      <xdr:colOff>38100</xdr:colOff>
      <xdr:row>64</xdr:row>
      <xdr:rowOff>97971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999861B-7DFA-3122-0B6E-B8BEAAAA8103}"/>
            </a:ext>
          </a:extLst>
        </xdr:cNvPr>
        <xdr:cNvCxnSpPr/>
      </xdr:nvCxnSpPr>
      <xdr:spPr>
        <a:xfrm>
          <a:off x="11290300" y="54429"/>
          <a:ext cx="0" cy="883194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27214</xdr:colOff>
      <xdr:row>0</xdr:row>
      <xdr:rowOff>0</xdr:rowOff>
    </xdr:from>
    <xdr:to>
      <xdr:col>28</xdr:col>
      <xdr:colOff>27214</xdr:colOff>
      <xdr:row>54</xdr:row>
      <xdr:rowOff>81642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9E8BEAA-6B35-453F-9186-E231749DFDAD}"/>
            </a:ext>
          </a:extLst>
        </xdr:cNvPr>
        <xdr:cNvCxnSpPr/>
      </xdr:nvCxnSpPr>
      <xdr:spPr>
        <a:xfrm>
          <a:off x="11321143" y="0"/>
          <a:ext cx="0" cy="677635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325257</xdr:colOff>
      <xdr:row>24</xdr:row>
      <xdr:rowOff>29121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31F580-096B-7288-456E-7CCCE1058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78857" cy="391532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8FE8731E-1419-4CF8-BDB7-325E36ECD730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C3" dT="2025-01-23T21:07:51.16" personId="{8FE8731E-1419-4CF8-BDB7-325E36ECD730}" id="{0ACF6560-A3D8-DB4B-9A39-3B07A923B357}">
    <text>Reiterated on Q3 call</text>
  </threadedComment>
  <threadedComment ref="S14" dT="2025-05-07T20:41:17.65" personId="{8FE8731E-1419-4CF8-BDB7-325E36ECD730}" id="{FFA193FF-5AD3-4912-B81F-6849603BFE55}">
    <text>SOLD TO CHATANOOGA????</text>
  </threadedComment>
  <threadedComment ref="R16" dT="2025-01-23T21:06:21.92" personId="{8FE8731E-1419-4CF8-BDB7-325E36ECD730}" id="{5947D9AF-E117-7546-888C-09B56A94889F}">
    <text>7.1-11.1 guidance</text>
  </threadedComment>
  <threadedComment ref="T16" dT="2025-05-07T20:37:01.43" personId="{8FE8731E-1419-4CF8-BDB7-325E36ECD730}" id="{77484200-1FBE-43A6-8894-D778E607D613}">
    <text>Q215 guidance: 16-18m 
5/7/25 consensus: 16.9m</text>
  </threadedComment>
  <threadedComment ref="U16" dT="2025-05-07T20:37:16.72" personId="{8FE8731E-1419-4CF8-BDB7-325E36ECD730}" id="{23C5B095-8E6F-4C1F-86D9-C212FE3E6F4D}">
    <text>5/7/25 consensus: 25.8m</text>
  </threadedComment>
  <threadedComment ref="V16" dT="2025-05-07T20:37:33.29" personId="{8FE8731E-1419-4CF8-BDB7-325E36ECD730}" id="{D464E2DE-90EF-474F-B04E-42365CFFD3EC}">
    <text>5/7/25 consensus: 35.25m</text>
  </threadedComment>
  <threadedComment ref="Z16" dT="2025-01-07T19:48:39.04" personId="{8FE8731E-1419-4CF8-BDB7-325E36ECD730}" id="{6FD4C426-31B6-4D62-943F-4388146ADBBE}">
    <text>4 contracts
2 significant customers</text>
  </threadedComment>
  <threadedComment ref="AA16" dT="2025-01-07T19:59:59.56" personId="{8FE8731E-1419-4CF8-BDB7-325E36ECD730}" id="{1A0A1B49-65D0-4998-B407-2792C10D6299}">
    <text>30.5m RPO, 60% in the next 12 months
3 significant customers = 70%</text>
  </threadedComment>
  <threadedComment ref="AB16" dT="2025-01-07T20:05:37.94" personId="{8FE8731E-1419-4CF8-BDB7-325E36ECD730}" id="{A6E9DABB-1376-4112-A26B-944B948407A8}">
    <text>69.1m RPO
2 customers = 58%</text>
  </threadedComment>
  <threadedComment ref="AD16" dT="2025-02-26T17:16:34.73" personId="{8FE8731E-1419-4CF8-BDB7-325E36ECD730}" id="{52746AA8-06E3-4D64-87ED-D1AB9D96C22E}">
    <text>83m consensus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29629-62F1-4661-9953-74545B1C68EA}">
  <dimension ref="B2:K30"/>
  <sheetViews>
    <sheetView zoomScale="145" zoomScaleNormal="145" workbookViewId="0">
      <selection activeCell="I26" sqref="I26"/>
    </sheetView>
  </sheetViews>
  <sheetFormatPr defaultColWidth="8.81640625" defaultRowHeight="12.5" x14ac:dyDescent="0.25"/>
  <cols>
    <col min="9" max="9" width="10.453125" bestFit="1" customWidth="1"/>
    <col min="11" max="11" width="10.453125" bestFit="1" customWidth="1"/>
  </cols>
  <sheetData>
    <row r="2" spans="2:11" ht="13" x14ac:dyDescent="0.3">
      <c r="B2" s="5" t="s">
        <v>37</v>
      </c>
      <c r="I2" t="s">
        <v>0</v>
      </c>
      <c r="J2" s="1">
        <v>29</v>
      </c>
      <c r="K2">
        <f>+J2*24</f>
        <v>696</v>
      </c>
    </row>
    <row r="3" spans="2:11" x14ac:dyDescent="0.25">
      <c r="B3" t="s">
        <v>19</v>
      </c>
      <c r="I3" t="s">
        <v>1</v>
      </c>
      <c r="J3" s="4">
        <v>247.783086</v>
      </c>
      <c r="K3" s="3" t="s">
        <v>87</v>
      </c>
    </row>
    <row r="4" spans="2:11" x14ac:dyDescent="0.25">
      <c r="B4" t="s">
        <v>34</v>
      </c>
      <c r="I4" t="s">
        <v>2</v>
      </c>
      <c r="J4" s="4">
        <f>+J2*J3</f>
        <v>7185.7094939999997</v>
      </c>
    </row>
    <row r="5" spans="2:11" x14ac:dyDescent="0.25">
      <c r="B5" t="s">
        <v>35</v>
      </c>
      <c r="I5" t="s">
        <v>3</v>
      </c>
      <c r="J5" s="4">
        <f>159.681+428.605</f>
        <v>588.28600000000006</v>
      </c>
      <c r="K5" s="3" t="s">
        <v>87</v>
      </c>
    </row>
    <row r="6" spans="2:11" x14ac:dyDescent="0.25">
      <c r="I6" t="s">
        <v>4</v>
      </c>
      <c r="J6" s="4">
        <v>0</v>
      </c>
      <c r="K6" s="3" t="s">
        <v>87</v>
      </c>
    </row>
    <row r="7" spans="2:11" ht="13" x14ac:dyDescent="0.3">
      <c r="B7" s="5" t="s">
        <v>39</v>
      </c>
      <c r="I7" t="s">
        <v>5</v>
      </c>
      <c r="J7" s="4">
        <f>+J4-J5+J6</f>
        <v>6597.4234939999997</v>
      </c>
    </row>
    <row r="8" spans="2:11" x14ac:dyDescent="0.25">
      <c r="B8" t="s">
        <v>20</v>
      </c>
    </row>
    <row r="9" spans="2:11" x14ac:dyDescent="0.25">
      <c r="B9" t="s">
        <v>36</v>
      </c>
      <c r="I9" t="s">
        <v>6</v>
      </c>
      <c r="J9">
        <v>324</v>
      </c>
      <c r="K9" s="2">
        <v>45291</v>
      </c>
    </row>
    <row r="10" spans="2:11" x14ac:dyDescent="0.25">
      <c r="I10" t="s">
        <v>7</v>
      </c>
      <c r="J10">
        <v>2015</v>
      </c>
    </row>
    <row r="11" spans="2:11" ht="13" x14ac:dyDescent="0.3">
      <c r="B11" s="5" t="s">
        <v>32</v>
      </c>
    </row>
    <row r="12" spans="2:11" x14ac:dyDescent="0.25">
      <c r="B12" t="s">
        <v>33</v>
      </c>
      <c r="I12" t="s">
        <v>16</v>
      </c>
      <c r="J12" s="4">
        <v>352.20729999999998</v>
      </c>
      <c r="K12" s="3" t="s">
        <v>15</v>
      </c>
    </row>
    <row r="14" spans="2:11" x14ac:dyDescent="0.25">
      <c r="B14" t="s">
        <v>67</v>
      </c>
    </row>
    <row r="15" spans="2:11" x14ac:dyDescent="0.25">
      <c r="B15" t="s">
        <v>73</v>
      </c>
      <c r="I15" t="s">
        <v>95</v>
      </c>
    </row>
    <row r="17" spans="2:9" ht="13" x14ac:dyDescent="0.3">
      <c r="B17" s="5" t="s">
        <v>38</v>
      </c>
    </row>
    <row r="19" spans="2:9" x14ac:dyDescent="0.25">
      <c r="B19" t="s">
        <v>93</v>
      </c>
    </row>
    <row r="20" spans="2:9" x14ac:dyDescent="0.25">
      <c r="B20" t="s">
        <v>94</v>
      </c>
      <c r="I20" t="s">
        <v>68</v>
      </c>
    </row>
    <row r="22" spans="2:9" ht="13" x14ac:dyDescent="0.3">
      <c r="B22" s="5" t="s">
        <v>78</v>
      </c>
      <c r="I22" t="s">
        <v>97</v>
      </c>
    </row>
    <row r="23" spans="2:9" x14ac:dyDescent="0.25">
      <c r="B23" t="s">
        <v>79</v>
      </c>
    </row>
    <row r="24" spans="2:9" x14ac:dyDescent="0.25">
      <c r="B24" t="s">
        <v>80</v>
      </c>
      <c r="I24" t="s">
        <v>103</v>
      </c>
    </row>
    <row r="25" spans="2:9" x14ac:dyDescent="0.25">
      <c r="B25" t="s">
        <v>81</v>
      </c>
      <c r="I25" t="s">
        <v>104</v>
      </c>
    </row>
    <row r="26" spans="2:9" x14ac:dyDescent="0.25">
      <c r="B26" t="s">
        <v>82</v>
      </c>
    </row>
    <row r="27" spans="2:9" x14ac:dyDescent="0.25">
      <c r="B27" t="s">
        <v>83</v>
      </c>
    </row>
    <row r="28" spans="2:9" x14ac:dyDescent="0.25">
      <c r="B28" t="s">
        <v>84</v>
      </c>
    </row>
    <row r="29" spans="2:9" x14ac:dyDescent="0.25">
      <c r="B29" t="s">
        <v>85</v>
      </c>
    </row>
    <row r="30" spans="2:9" x14ac:dyDescent="0.25">
      <c r="B30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53554-7BDA-444D-A237-3389B1272280}">
  <dimension ref="A1:DX58"/>
  <sheetViews>
    <sheetView tabSelected="1" zoomScale="190" zoomScaleNormal="190" workbookViewId="0">
      <pane xSplit="2" ySplit="2" topLeftCell="CW3" activePane="bottomRight" state="frozen"/>
      <selection pane="topRight" activeCell="C1" sqref="C1"/>
      <selection pane="bottomLeft" activeCell="A3" sqref="A3"/>
      <selection pane="bottomRight" activeCell="CW16" sqref="CW16"/>
    </sheetView>
  </sheetViews>
  <sheetFormatPr defaultColWidth="8.81640625" defaultRowHeight="12.5" x14ac:dyDescent="0.25"/>
  <cols>
    <col min="1" max="1" width="5" bestFit="1" customWidth="1"/>
    <col min="2" max="2" width="18.1796875" bestFit="1" customWidth="1"/>
    <col min="3" max="18" width="9.1796875" style="3"/>
    <col min="19" max="19" width="8.81640625" style="3"/>
    <col min="41" max="41" width="10" bestFit="1" customWidth="1"/>
  </cols>
  <sheetData>
    <row r="1" spans="1:128" x14ac:dyDescent="0.25">
      <c r="A1" s="6" t="s">
        <v>8</v>
      </c>
    </row>
    <row r="2" spans="1:128" x14ac:dyDescent="0.25">
      <c r="C2" s="3" t="s">
        <v>69</v>
      </c>
      <c r="D2" s="3" t="s">
        <v>70</v>
      </c>
      <c r="E2" s="3" t="s">
        <v>71</v>
      </c>
      <c r="F2" s="3" t="s">
        <v>72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27</v>
      </c>
      <c r="N2" s="3" t="s">
        <v>15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87</v>
      </c>
      <c r="T2" s="3" t="s">
        <v>88</v>
      </c>
      <c r="U2" s="3" t="s">
        <v>89</v>
      </c>
      <c r="V2" s="3" t="s">
        <v>90</v>
      </c>
      <c r="X2">
        <v>2019</v>
      </c>
      <c r="Y2">
        <v>2020</v>
      </c>
      <c r="Z2">
        <v>2021</v>
      </c>
      <c r="AA2">
        <v>2022</v>
      </c>
      <c r="AB2">
        <v>2023</v>
      </c>
      <c r="AC2">
        <f>+AB2+1</f>
        <v>2024</v>
      </c>
      <c r="AD2">
        <v>2025</v>
      </c>
      <c r="AE2">
        <f>+AD2+1</f>
        <v>2026</v>
      </c>
      <c r="AF2">
        <f t="shared" ref="AF2:AV2" si="0">+AE2+1</f>
        <v>2027</v>
      </c>
      <c r="AG2">
        <f t="shared" si="0"/>
        <v>2028</v>
      </c>
      <c r="AH2">
        <f t="shared" si="0"/>
        <v>2029</v>
      </c>
      <c r="AI2">
        <f t="shared" si="0"/>
        <v>2030</v>
      </c>
      <c r="AJ2">
        <f t="shared" si="0"/>
        <v>2031</v>
      </c>
      <c r="AK2">
        <f t="shared" si="0"/>
        <v>2032</v>
      </c>
      <c r="AL2">
        <f t="shared" si="0"/>
        <v>2033</v>
      </c>
      <c r="AM2">
        <f t="shared" si="0"/>
        <v>2034</v>
      </c>
      <c r="AN2">
        <f t="shared" si="0"/>
        <v>2035</v>
      </c>
      <c r="AO2">
        <f t="shared" si="0"/>
        <v>2036</v>
      </c>
      <c r="AP2">
        <f t="shared" si="0"/>
        <v>2037</v>
      </c>
      <c r="AQ2">
        <f t="shared" si="0"/>
        <v>2038</v>
      </c>
      <c r="AR2">
        <f t="shared" si="0"/>
        <v>2039</v>
      </c>
      <c r="AS2">
        <f t="shared" si="0"/>
        <v>2040</v>
      </c>
      <c r="AT2">
        <f t="shared" si="0"/>
        <v>2041</v>
      </c>
      <c r="AU2">
        <f t="shared" si="0"/>
        <v>2042</v>
      </c>
      <c r="AV2">
        <f t="shared" si="0"/>
        <v>2043</v>
      </c>
      <c r="AW2">
        <f>+AV2+1</f>
        <v>2044</v>
      </c>
      <c r="AX2">
        <f>+AW2+1</f>
        <v>2045</v>
      </c>
      <c r="AY2">
        <f t="shared" ref="AY2:DX2" si="1">+AX2+1</f>
        <v>2046</v>
      </c>
      <c r="AZ2">
        <f t="shared" si="1"/>
        <v>2047</v>
      </c>
      <c r="BA2">
        <f t="shared" si="1"/>
        <v>2048</v>
      </c>
      <c r="BB2">
        <f t="shared" si="1"/>
        <v>2049</v>
      </c>
      <c r="BC2">
        <f t="shared" si="1"/>
        <v>2050</v>
      </c>
      <c r="BD2">
        <f t="shared" si="1"/>
        <v>2051</v>
      </c>
      <c r="BE2">
        <f t="shared" si="1"/>
        <v>2052</v>
      </c>
      <c r="BF2">
        <f t="shared" si="1"/>
        <v>2053</v>
      </c>
      <c r="BG2">
        <f t="shared" si="1"/>
        <v>2054</v>
      </c>
      <c r="BH2">
        <f t="shared" si="1"/>
        <v>2055</v>
      </c>
      <c r="BI2">
        <f t="shared" si="1"/>
        <v>2056</v>
      </c>
      <c r="BJ2">
        <f t="shared" si="1"/>
        <v>2057</v>
      </c>
      <c r="BK2">
        <f t="shared" si="1"/>
        <v>2058</v>
      </c>
      <c r="BL2">
        <f t="shared" si="1"/>
        <v>2059</v>
      </c>
      <c r="BM2">
        <f t="shared" si="1"/>
        <v>2060</v>
      </c>
      <c r="BN2">
        <f t="shared" si="1"/>
        <v>2061</v>
      </c>
      <c r="BO2">
        <f t="shared" si="1"/>
        <v>2062</v>
      </c>
      <c r="BP2">
        <f t="shared" si="1"/>
        <v>2063</v>
      </c>
      <c r="BQ2">
        <f t="shared" si="1"/>
        <v>2064</v>
      </c>
      <c r="BR2">
        <f t="shared" si="1"/>
        <v>2065</v>
      </c>
      <c r="BS2">
        <f t="shared" si="1"/>
        <v>2066</v>
      </c>
      <c r="BT2">
        <f t="shared" si="1"/>
        <v>2067</v>
      </c>
      <c r="BU2">
        <f t="shared" si="1"/>
        <v>2068</v>
      </c>
      <c r="BV2">
        <f t="shared" si="1"/>
        <v>2069</v>
      </c>
      <c r="BW2">
        <f t="shared" si="1"/>
        <v>2070</v>
      </c>
      <c r="BX2">
        <f t="shared" si="1"/>
        <v>2071</v>
      </c>
      <c r="BY2">
        <f t="shared" si="1"/>
        <v>2072</v>
      </c>
      <c r="BZ2">
        <f t="shared" si="1"/>
        <v>2073</v>
      </c>
      <c r="CA2">
        <f t="shared" si="1"/>
        <v>2074</v>
      </c>
      <c r="CB2">
        <f t="shared" si="1"/>
        <v>2075</v>
      </c>
      <c r="CC2">
        <f t="shared" si="1"/>
        <v>2076</v>
      </c>
      <c r="CD2">
        <f t="shared" si="1"/>
        <v>2077</v>
      </c>
      <c r="CE2">
        <f t="shared" si="1"/>
        <v>2078</v>
      </c>
      <c r="CF2">
        <f t="shared" si="1"/>
        <v>2079</v>
      </c>
      <c r="CG2">
        <f t="shared" si="1"/>
        <v>2080</v>
      </c>
      <c r="CH2">
        <f t="shared" si="1"/>
        <v>2081</v>
      </c>
      <c r="CI2">
        <f t="shared" si="1"/>
        <v>2082</v>
      </c>
      <c r="CJ2">
        <f t="shared" si="1"/>
        <v>2083</v>
      </c>
      <c r="CK2">
        <f t="shared" si="1"/>
        <v>2084</v>
      </c>
      <c r="CL2">
        <f t="shared" si="1"/>
        <v>2085</v>
      </c>
      <c r="CM2">
        <f t="shared" si="1"/>
        <v>2086</v>
      </c>
      <c r="CN2">
        <f t="shared" si="1"/>
        <v>2087</v>
      </c>
      <c r="CO2">
        <f t="shared" si="1"/>
        <v>2088</v>
      </c>
      <c r="CP2">
        <f t="shared" si="1"/>
        <v>2089</v>
      </c>
      <c r="CQ2">
        <f t="shared" si="1"/>
        <v>2090</v>
      </c>
      <c r="CR2">
        <f t="shared" si="1"/>
        <v>2091</v>
      </c>
      <c r="CS2">
        <f t="shared" si="1"/>
        <v>2092</v>
      </c>
      <c r="CT2">
        <f t="shared" si="1"/>
        <v>2093</v>
      </c>
      <c r="CU2">
        <f t="shared" si="1"/>
        <v>2094</v>
      </c>
      <c r="CV2">
        <f t="shared" si="1"/>
        <v>2095</v>
      </c>
      <c r="CW2">
        <f t="shared" si="1"/>
        <v>2096</v>
      </c>
      <c r="CX2">
        <f t="shared" si="1"/>
        <v>2097</v>
      </c>
      <c r="CY2">
        <f t="shared" si="1"/>
        <v>2098</v>
      </c>
      <c r="CZ2">
        <f t="shared" si="1"/>
        <v>2099</v>
      </c>
      <c r="DA2">
        <f t="shared" si="1"/>
        <v>2100</v>
      </c>
      <c r="DB2">
        <f t="shared" si="1"/>
        <v>2101</v>
      </c>
      <c r="DC2">
        <f t="shared" si="1"/>
        <v>2102</v>
      </c>
      <c r="DD2">
        <f t="shared" si="1"/>
        <v>2103</v>
      </c>
      <c r="DE2">
        <f t="shared" si="1"/>
        <v>2104</v>
      </c>
      <c r="DF2">
        <f t="shared" si="1"/>
        <v>2105</v>
      </c>
      <c r="DG2">
        <f t="shared" si="1"/>
        <v>2106</v>
      </c>
      <c r="DH2">
        <f t="shared" si="1"/>
        <v>2107</v>
      </c>
      <c r="DI2">
        <f t="shared" si="1"/>
        <v>2108</v>
      </c>
      <c r="DJ2">
        <f t="shared" si="1"/>
        <v>2109</v>
      </c>
      <c r="DK2">
        <f t="shared" si="1"/>
        <v>2110</v>
      </c>
      <c r="DL2">
        <f t="shared" si="1"/>
        <v>2111</v>
      </c>
      <c r="DM2">
        <f t="shared" si="1"/>
        <v>2112</v>
      </c>
      <c r="DN2">
        <f t="shared" si="1"/>
        <v>2113</v>
      </c>
      <c r="DO2">
        <f t="shared" si="1"/>
        <v>2114</v>
      </c>
      <c r="DP2">
        <f t="shared" si="1"/>
        <v>2115</v>
      </c>
      <c r="DQ2">
        <f t="shared" si="1"/>
        <v>2116</v>
      </c>
      <c r="DR2">
        <f t="shared" si="1"/>
        <v>2117</v>
      </c>
      <c r="DS2">
        <f t="shared" si="1"/>
        <v>2118</v>
      </c>
      <c r="DT2">
        <f t="shared" si="1"/>
        <v>2119</v>
      </c>
      <c r="DU2">
        <f t="shared" si="1"/>
        <v>2120</v>
      </c>
      <c r="DV2">
        <f t="shared" si="1"/>
        <v>2121</v>
      </c>
      <c r="DW2">
        <f t="shared" si="1"/>
        <v>2122</v>
      </c>
      <c r="DX2">
        <f t="shared" si="1"/>
        <v>2123</v>
      </c>
    </row>
    <row r="3" spans="1:128" x14ac:dyDescent="0.25">
      <c r="B3" t="s">
        <v>91</v>
      </c>
      <c r="T3" s="3"/>
      <c r="U3" s="3"/>
      <c r="V3" s="3"/>
      <c r="AC3" s="3" t="s">
        <v>92</v>
      </c>
    </row>
    <row r="4" spans="1:128" x14ac:dyDescent="0.25">
      <c r="T4" s="3"/>
      <c r="U4" s="3"/>
      <c r="V4" s="3"/>
    </row>
    <row r="5" spans="1:128" x14ac:dyDescent="0.25">
      <c r="B5" t="s">
        <v>75</v>
      </c>
      <c r="AA5" s="10">
        <f>+AA16*0.1</f>
        <v>1.1131</v>
      </c>
    </row>
    <row r="6" spans="1:128" x14ac:dyDescent="0.25">
      <c r="B6" t="s">
        <v>76</v>
      </c>
      <c r="AA6" s="10">
        <f>+AA16*0.1</f>
        <v>1.1131</v>
      </c>
    </row>
    <row r="7" spans="1:128" x14ac:dyDescent="0.25">
      <c r="B7" t="s">
        <v>74</v>
      </c>
      <c r="AB7" s="10">
        <f>+AB16-AB8</f>
        <v>3.7420000000000009</v>
      </c>
      <c r="AC7" s="10">
        <f>+AC16-AC8</f>
        <v>16.122999999999998</v>
      </c>
    </row>
    <row r="8" spans="1:128" x14ac:dyDescent="0.25">
      <c r="B8" t="s">
        <v>77</v>
      </c>
      <c r="AA8" s="10">
        <f>+AA16-AA6-AA5-3.3</f>
        <v>5.6048000000000018</v>
      </c>
      <c r="AB8">
        <f>30.5*0.6</f>
        <v>18.3</v>
      </c>
      <c r="AC8" s="10">
        <f>69.1*0.4</f>
        <v>27.64</v>
      </c>
      <c r="AD8" s="10">
        <f>54.5/4</f>
        <v>13.625</v>
      </c>
      <c r="AE8" s="10">
        <f>54.5/4</f>
        <v>13.625</v>
      </c>
      <c r="AF8" s="10">
        <f>54.5/4</f>
        <v>13.625</v>
      </c>
      <c r="AG8" s="10">
        <f>54.5/4</f>
        <v>13.625</v>
      </c>
    </row>
    <row r="9" spans="1:128" x14ac:dyDescent="0.25">
      <c r="AA9" s="10"/>
      <c r="AC9" s="10"/>
      <c r="AD9" s="10"/>
      <c r="AE9" s="10"/>
      <c r="AF9" s="10"/>
      <c r="AG9" s="10"/>
    </row>
    <row r="10" spans="1:128" x14ac:dyDescent="0.25">
      <c r="B10" t="s">
        <v>102</v>
      </c>
      <c r="S10" s="3">
        <v>71.900000000000006</v>
      </c>
      <c r="AA10" s="10"/>
      <c r="AC10" s="10"/>
      <c r="AD10" s="10"/>
      <c r="AE10" s="10"/>
      <c r="AF10" s="10"/>
      <c r="AG10" s="10"/>
    </row>
    <row r="11" spans="1:128" x14ac:dyDescent="0.25">
      <c r="B11" t="s">
        <v>100</v>
      </c>
      <c r="O11" s="19">
        <v>0.52</v>
      </c>
      <c r="S11" s="3">
        <v>2.2770000000000001</v>
      </c>
      <c r="AA11" s="10"/>
      <c r="AC11" s="10"/>
      <c r="AD11" s="10"/>
      <c r="AE11" s="10"/>
      <c r="AF11" s="10"/>
      <c r="AG11" s="10"/>
    </row>
    <row r="12" spans="1:128" x14ac:dyDescent="0.25">
      <c r="B12" t="s">
        <v>101</v>
      </c>
      <c r="O12" s="3">
        <v>7.0620000000000003</v>
      </c>
      <c r="S12" s="3">
        <v>5.2889999999999997</v>
      </c>
      <c r="AA12" s="10"/>
      <c r="AC12" s="10"/>
      <c r="AD12" s="10"/>
      <c r="AE12" s="10"/>
      <c r="AF12" s="10"/>
      <c r="AG12" s="10"/>
    </row>
    <row r="13" spans="1:128" x14ac:dyDescent="0.25">
      <c r="AA13" s="10"/>
      <c r="AC13" s="10"/>
      <c r="AD13" s="10"/>
      <c r="AE13" s="10"/>
      <c r="AF13" s="10"/>
      <c r="AG13" s="10"/>
    </row>
    <row r="14" spans="1:128" x14ac:dyDescent="0.25">
      <c r="B14" t="s">
        <v>98</v>
      </c>
      <c r="O14" s="11">
        <v>3.6190000000000002</v>
      </c>
      <c r="P14" s="11"/>
      <c r="Q14" s="11"/>
      <c r="R14" s="11"/>
      <c r="S14" s="11">
        <v>3.0630000000000002</v>
      </c>
      <c r="AA14" s="10"/>
      <c r="AC14" s="10"/>
      <c r="AD14" s="10"/>
      <c r="AE14" s="10"/>
      <c r="AF14" s="10"/>
      <c r="AG14" s="10"/>
    </row>
    <row r="15" spans="1:128" x14ac:dyDescent="0.25">
      <c r="B15" t="s">
        <v>99</v>
      </c>
      <c r="O15" s="11">
        <v>3.9630000000000001</v>
      </c>
      <c r="P15" s="11"/>
      <c r="Q15" s="11"/>
      <c r="R15" s="11"/>
      <c r="S15" s="11">
        <v>4.5030000000000001</v>
      </c>
      <c r="AA15" s="10"/>
      <c r="AC15" s="10"/>
      <c r="AD15" s="10"/>
      <c r="AE15" s="10"/>
      <c r="AF15" s="10"/>
      <c r="AG15" s="10"/>
    </row>
    <row r="16" spans="1:128" s="13" customFormat="1" ht="13" x14ac:dyDescent="0.3">
      <c r="B16" s="13" t="s">
        <v>9</v>
      </c>
      <c r="C16" s="14"/>
      <c r="D16" s="14"/>
      <c r="E16" s="14">
        <v>0.23300000000000001</v>
      </c>
      <c r="F16" s="14"/>
      <c r="G16" s="14"/>
      <c r="H16" s="14"/>
      <c r="I16" s="14"/>
      <c r="J16" s="14">
        <v>3.8</v>
      </c>
      <c r="K16" s="14">
        <v>4.3</v>
      </c>
      <c r="L16" s="14">
        <v>5.5</v>
      </c>
      <c r="M16" s="14">
        <v>6.1360000000000001</v>
      </c>
      <c r="N16" s="14">
        <f>+AB16-M16-L16-K16</f>
        <v>6.1060000000000025</v>
      </c>
      <c r="O16" s="14">
        <v>7.5819999999999999</v>
      </c>
      <c r="P16" s="14">
        <v>11.381</v>
      </c>
      <c r="Q16" s="14">
        <v>12.4</v>
      </c>
      <c r="R16" s="14">
        <f>+Q16</f>
        <v>12.4</v>
      </c>
      <c r="S16" s="14">
        <v>7.5664999999999996</v>
      </c>
      <c r="T16" s="13">
        <v>18</v>
      </c>
      <c r="U16" s="13">
        <v>25</v>
      </c>
      <c r="V16" s="13">
        <v>27</v>
      </c>
      <c r="X16" s="13">
        <v>0.2</v>
      </c>
      <c r="Y16" s="13">
        <v>0</v>
      </c>
      <c r="Z16" s="13">
        <v>2.0990000000000002</v>
      </c>
      <c r="AA16" s="13">
        <v>11.131</v>
      </c>
      <c r="AB16" s="13">
        <v>22.042000000000002</v>
      </c>
      <c r="AC16" s="13">
        <f>SUM(O16:R16)</f>
        <v>43.762999999999998</v>
      </c>
      <c r="AD16" s="13">
        <f>+AC16*1.9</f>
        <v>83.149699999999996</v>
      </c>
      <c r="AE16" s="13">
        <f>+AD16*1.9</f>
        <v>157.98442999999997</v>
      </c>
      <c r="AF16" s="13">
        <f>+AE16*1.9</f>
        <v>300.17041699999993</v>
      </c>
      <c r="AG16" s="13">
        <f>+AF16*1.9</f>
        <v>570.32379229999981</v>
      </c>
      <c r="AH16" s="13">
        <f>+AG16*1.9</f>
        <v>1083.6152053699996</v>
      </c>
      <c r="AI16" s="13">
        <f>+AH16*1.1</f>
        <v>1191.9767259069997</v>
      </c>
      <c r="AJ16" s="13">
        <f t="shared" ref="AJ16:AN16" si="2">+AI16*1.1</f>
        <v>1311.1743984976997</v>
      </c>
      <c r="AK16" s="13">
        <f t="shared" si="2"/>
        <v>1442.2918383474698</v>
      </c>
      <c r="AL16" s="13">
        <f t="shared" si="2"/>
        <v>1586.5210221822169</v>
      </c>
      <c r="AM16" s="13">
        <f t="shared" si="2"/>
        <v>1745.1731244004388</v>
      </c>
      <c r="AN16" s="13">
        <f t="shared" si="2"/>
        <v>1919.6904368404828</v>
      </c>
      <c r="AO16" s="13">
        <f>+AN16*1.1</f>
        <v>2111.6594805245313</v>
      </c>
      <c r="AP16" s="13">
        <f t="shared" ref="AP16:DA16" si="3">+AO16*1.1</f>
        <v>2322.8254285769845</v>
      </c>
      <c r="AQ16" s="13">
        <f t="shared" si="3"/>
        <v>2555.1079714346829</v>
      </c>
      <c r="AR16" s="13">
        <f t="shared" si="3"/>
        <v>2810.6187685781515</v>
      </c>
      <c r="AS16" s="13">
        <f t="shared" si="3"/>
        <v>3091.6806454359671</v>
      </c>
      <c r="AT16" s="13">
        <f t="shared" si="3"/>
        <v>3400.8487099795643</v>
      </c>
      <c r="AU16" s="13">
        <f t="shared" si="3"/>
        <v>3740.9335809775212</v>
      </c>
      <c r="AV16" s="13">
        <f t="shared" si="3"/>
        <v>4115.0269390752737</v>
      </c>
      <c r="AW16" s="13">
        <f t="shared" si="3"/>
        <v>4526.5296329828016</v>
      </c>
      <c r="AX16" s="13">
        <f t="shared" si="3"/>
        <v>4979.1825962810817</v>
      </c>
      <c r="AY16" s="13">
        <f t="shared" si="3"/>
        <v>5477.1008559091906</v>
      </c>
      <c r="AZ16" s="13">
        <f t="shared" si="3"/>
        <v>6024.8109415001099</v>
      </c>
      <c r="BA16" s="13">
        <f t="shared" si="3"/>
        <v>6627.2920356501218</v>
      </c>
      <c r="BB16" s="13">
        <f t="shared" si="3"/>
        <v>7290.0212392151343</v>
      </c>
      <c r="BC16" s="13">
        <f t="shared" si="3"/>
        <v>8019.0233631366482</v>
      </c>
      <c r="BD16" s="13">
        <f t="shared" si="3"/>
        <v>8820.9256994503139</v>
      </c>
      <c r="BE16" s="13">
        <f t="shared" si="3"/>
        <v>9703.0182693953466</v>
      </c>
      <c r="BF16" s="13">
        <f t="shared" si="3"/>
        <v>10673.320096334883</v>
      </c>
      <c r="BG16" s="13">
        <f t="shared" si="3"/>
        <v>11740.652105968373</v>
      </c>
      <c r="BH16" s="13">
        <f t="shared" si="3"/>
        <v>12914.717316565211</v>
      </c>
      <c r="BI16" s="13">
        <f t="shared" si="3"/>
        <v>14206.189048221733</v>
      </c>
      <c r="BJ16" s="13">
        <f t="shared" si="3"/>
        <v>15626.807953043908</v>
      </c>
      <c r="BK16" s="13">
        <f t="shared" si="3"/>
        <v>17189.4887483483</v>
      </c>
      <c r="BL16" s="13">
        <f t="shared" si="3"/>
        <v>18908.43762318313</v>
      </c>
      <c r="BM16" s="13">
        <f t="shared" si="3"/>
        <v>20799.281385501446</v>
      </c>
      <c r="BN16" s="13">
        <f t="shared" si="3"/>
        <v>22879.209524051592</v>
      </c>
      <c r="BO16" s="13">
        <f t="shared" si="3"/>
        <v>25167.130476456754</v>
      </c>
      <c r="BP16" s="13">
        <f t="shared" si="3"/>
        <v>27683.843524102431</v>
      </c>
      <c r="BQ16" s="13">
        <f t="shared" si="3"/>
        <v>30452.227876512676</v>
      </c>
      <c r="BR16" s="13">
        <f t="shared" si="3"/>
        <v>33497.450664163945</v>
      </c>
      <c r="BS16" s="13">
        <f t="shared" si="3"/>
        <v>36847.195730580344</v>
      </c>
      <c r="BT16" s="13">
        <f t="shared" si="3"/>
        <v>40531.91530363838</v>
      </c>
      <c r="BU16" s="13">
        <f t="shared" si="3"/>
        <v>44585.106834002218</v>
      </c>
      <c r="BV16" s="13">
        <f t="shared" si="3"/>
        <v>49043.617517402447</v>
      </c>
      <c r="BW16" s="13">
        <f t="shared" si="3"/>
        <v>53947.979269142692</v>
      </c>
      <c r="BX16" s="13">
        <f t="shared" si="3"/>
        <v>59342.777196056966</v>
      </c>
      <c r="BY16" s="13">
        <f t="shared" si="3"/>
        <v>65277.054915662666</v>
      </c>
      <c r="BZ16" s="13">
        <f t="shared" si="3"/>
        <v>71804.76040722894</v>
      </c>
      <c r="CA16" s="13">
        <f t="shared" si="3"/>
        <v>78985.236447951844</v>
      </c>
      <c r="CB16" s="13">
        <f t="shared" si="3"/>
        <v>86883.760092747034</v>
      </c>
      <c r="CC16" s="13">
        <f t="shared" si="3"/>
        <v>95572.136102021745</v>
      </c>
      <c r="CD16" s="13">
        <f t="shared" si="3"/>
        <v>105129.34971222392</v>
      </c>
      <c r="CE16" s="13">
        <f t="shared" si="3"/>
        <v>115642.28468344633</v>
      </c>
      <c r="CF16" s="13">
        <f t="shared" si="3"/>
        <v>127206.51315179098</v>
      </c>
      <c r="CG16" s="13">
        <f t="shared" si="3"/>
        <v>139927.16446697008</v>
      </c>
      <c r="CH16" s="13">
        <f t="shared" si="3"/>
        <v>153919.88091366709</v>
      </c>
      <c r="CI16" s="13">
        <f t="shared" si="3"/>
        <v>169311.8690050338</v>
      </c>
      <c r="CJ16" s="13">
        <f t="shared" si="3"/>
        <v>186243.05590553721</v>
      </c>
      <c r="CK16" s="13">
        <f t="shared" si="3"/>
        <v>204867.36149609095</v>
      </c>
      <c r="CL16" s="13">
        <f t="shared" si="3"/>
        <v>225354.09764570007</v>
      </c>
      <c r="CM16" s="13">
        <f t="shared" si="3"/>
        <v>247889.5074102701</v>
      </c>
      <c r="CN16" s="13">
        <f t="shared" si="3"/>
        <v>272678.45815129712</v>
      </c>
      <c r="CO16" s="13">
        <f t="shared" si="3"/>
        <v>299946.30396642687</v>
      </c>
      <c r="CP16" s="13">
        <f t="shared" si="3"/>
        <v>329940.93436306959</v>
      </c>
      <c r="CQ16" s="13">
        <f t="shared" si="3"/>
        <v>362935.02779937658</v>
      </c>
      <c r="CR16" s="13">
        <f t="shared" si="3"/>
        <v>399228.53057931428</v>
      </c>
      <c r="CS16" s="13">
        <f t="shared" si="3"/>
        <v>439151.38363724574</v>
      </c>
      <c r="CT16" s="13">
        <f t="shared" si="3"/>
        <v>483066.52200097038</v>
      </c>
      <c r="CU16" s="13">
        <f t="shared" si="3"/>
        <v>531373.17420106742</v>
      </c>
      <c r="CV16" s="13">
        <f t="shared" si="3"/>
        <v>584510.49162117427</v>
      </c>
      <c r="CW16" s="13">
        <f t="shared" si="3"/>
        <v>642961.5407832918</v>
      </c>
      <c r="CX16" s="13">
        <f t="shared" si="3"/>
        <v>707257.69486162101</v>
      </c>
      <c r="CY16" s="13">
        <f t="shared" si="3"/>
        <v>777983.46434778313</v>
      </c>
      <c r="CZ16" s="13">
        <f t="shared" si="3"/>
        <v>855781.81078256154</v>
      </c>
      <c r="DA16" s="13">
        <f t="shared" si="3"/>
        <v>941359.99186081777</v>
      </c>
    </row>
    <row r="17" spans="2:77" s="10" customFormat="1" x14ac:dyDescent="0.25">
      <c r="B17" s="10" t="s">
        <v>10</v>
      </c>
      <c r="C17" s="11"/>
      <c r="D17" s="11"/>
      <c r="E17" s="11"/>
      <c r="F17" s="11"/>
      <c r="G17" s="11"/>
      <c r="H17" s="11"/>
      <c r="I17" s="11"/>
      <c r="J17" s="11"/>
      <c r="K17" s="11">
        <v>1.036</v>
      </c>
      <c r="L17" s="11">
        <v>1.901</v>
      </c>
      <c r="M17" s="11">
        <v>2.008</v>
      </c>
      <c r="N17" s="11">
        <f>+AB17-M17-L17-K17</f>
        <v>3.1630000000000007</v>
      </c>
      <c r="O17" s="11">
        <v>3.4140000000000001</v>
      </c>
      <c r="P17" s="11">
        <v>5.6230000000000002</v>
      </c>
      <c r="Q17" s="11">
        <v>6.5149999999999997</v>
      </c>
      <c r="R17" s="11">
        <f>+R16*0.5</f>
        <v>6.2</v>
      </c>
      <c r="S17" s="11">
        <v>4.3150000000000004</v>
      </c>
      <c r="Y17" s="10">
        <v>0.14299999999999999</v>
      </c>
      <c r="Z17" s="10">
        <v>1.04</v>
      </c>
      <c r="AA17" s="10">
        <v>2.944</v>
      </c>
      <c r="AB17" s="10">
        <v>8.1080000000000005</v>
      </c>
      <c r="AC17" s="10">
        <f>SUM(O17:R17)</f>
        <v>21.751999999999999</v>
      </c>
      <c r="AD17" s="10">
        <f>+AD16-AD18</f>
        <v>24.94491</v>
      </c>
      <c r="AE17" s="10">
        <f t="shared" ref="AE17:AN17" si="4">+AE16-AE18</f>
        <v>47.395329000000004</v>
      </c>
      <c r="AF17" s="10">
        <f t="shared" si="4"/>
        <v>90.051125099999979</v>
      </c>
      <c r="AG17" s="10">
        <f t="shared" si="4"/>
        <v>171.09713768999995</v>
      </c>
      <c r="AH17" s="10">
        <f t="shared" si="4"/>
        <v>325.08456161099991</v>
      </c>
      <c r="AI17" s="10">
        <f t="shared" si="4"/>
        <v>357.59301777209998</v>
      </c>
      <c r="AJ17" s="10">
        <f t="shared" si="4"/>
        <v>393.35231954930998</v>
      </c>
      <c r="AK17" s="10">
        <f t="shared" si="4"/>
        <v>432.68755150424101</v>
      </c>
      <c r="AL17" s="10">
        <f t="shared" si="4"/>
        <v>475.95630665466524</v>
      </c>
      <c r="AM17" s="10">
        <f t="shared" si="4"/>
        <v>523.55193732013163</v>
      </c>
      <c r="AN17" s="10">
        <f t="shared" si="4"/>
        <v>575.9071310521449</v>
      </c>
    </row>
    <row r="18" spans="2:77" s="10" customFormat="1" x14ac:dyDescent="0.25">
      <c r="B18" s="10" t="s">
        <v>11</v>
      </c>
      <c r="C18" s="11"/>
      <c r="D18" s="11"/>
      <c r="E18" s="11"/>
      <c r="F18" s="11"/>
      <c r="G18" s="11"/>
      <c r="H18" s="11"/>
      <c r="I18" s="11"/>
      <c r="J18" s="11"/>
      <c r="K18" s="11">
        <f t="shared" ref="K18:R18" si="5">+K16-K17</f>
        <v>3.2639999999999998</v>
      </c>
      <c r="L18" s="11">
        <f t="shared" si="5"/>
        <v>3.5990000000000002</v>
      </c>
      <c r="M18" s="11">
        <f t="shared" si="5"/>
        <v>4.1280000000000001</v>
      </c>
      <c r="N18" s="11">
        <f t="shared" si="5"/>
        <v>2.9430000000000018</v>
      </c>
      <c r="O18" s="11">
        <f t="shared" si="5"/>
        <v>4.1679999999999993</v>
      </c>
      <c r="P18" s="11">
        <f t="shared" si="5"/>
        <v>5.758</v>
      </c>
      <c r="Q18" s="11">
        <f t="shared" si="5"/>
        <v>5.8850000000000007</v>
      </c>
      <c r="R18" s="11">
        <f t="shared" si="5"/>
        <v>6.2</v>
      </c>
      <c r="S18" s="11">
        <f>+S16-S17</f>
        <v>3.2514999999999992</v>
      </c>
      <c r="Y18" s="10">
        <f>+Y16-Y17</f>
        <v>-0.14299999999999999</v>
      </c>
      <c r="Z18" s="10">
        <f>+Z16-Z17</f>
        <v>1.0590000000000002</v>
      </c>
      <c r="AA18" s="10">
        <f>+AA16-AA17</f>
        <v>8.1870000000000012</v>
      </c>
      <c r="AB18" s="10">
        <f>+AB16-AB17</f>
        <v>13.934000000000001</v>
      </c>
      <c r="AC18" s="10">
        <f>+AC16-AC17</f>
        <v>22.010999999999999</v>
      </c>
      <c r="AD18" s="10">
        <f>+AD16*0.7</f>
        <v>58.204789999999996</v>
      </c>
      <c r="AE18" s="10">
        <f t="shared" ref="AE18:AN18" si="6">+AE16*0.7</f>
        <v>110.58910099999997</v>
      </c>
      <c r="AF18" s="10">
        <f t="shared" si="6"/>
        <v>210.11929189999995</v>
      </c>
      <c r="AG18" s="10">
        <f t="shared" si="6"/>
        <v>399.22665460999985</v>
      </c>
      <c r="AH18" s="10">
        <f t="shared" si="6"/>
        <v>758.53064375899964</v>
      </c>
      <c r="AI18" s="10">
        <f t="shared" si="6"/>
        <v>834.38370813489973</v>
      </c>
      <c r="AJ18" s="10">
        <f t="shared" si="6"/>
        <v>917.82207894838973</v>
      </c>
      <c r="AK18" s="10">
        <f t="shared" si="6"/>
        <v>1009.6042868432288</v>
      </c>
      <c r="AL18" s="10">
        <f t="shared" si="6"/>
        <v>1110.5647155275517</v>
      </c>
      <c r="AM18" s="10">
        <f t="shared" si="6"/>
        <v>1221.6211870803072</v>
      </c>
      <c r="AN18" s="10">
        <f t="shared" si="6"/>
        <v>1343.7833057883379</v>
      </c>
    </row>
    <row r="19" spans="2:77" s="10" customFormat="1" x14ac:dyDescent="0.25">
      <c r="B19" s="10" t="s">
        <v>12</v>
      </c>
      <c r="C19" s="11"/>
      <c r="D19" s="11"/>
      <c r="E19" s="11"/>
      <c r="F19" s="11"/>
      <c r="G19" s="11"/>
      <c r="H19" s="11"/>
      <c r="I19" s="11"/>
      <c r="J19" s="11"/>
      <c r="K19" s="11">
        <v>16.233000000000001</v>
      </c>
      <c r="L19" s="11">
        <v>19.869</v>
      </c>
      <c r="M19" s="11">
        <v>24.599</v>
      </c>
      <c r="N19" s="11">
        <f>+AB19-M19-L19-K19</f>
        <v>31.619999999999994</v>
      </c>
      <c r="O19" s="11">
        <v>32.368000000000002</v>
      </c>
      <c r="P19" s="11">
        <v>31.204000000000001</v>
      </c>
      <c r="Q19" s="11">
        <v>33.177999999999997</v>
      </c>
      <c r="R19" s="11">
        <f t="shared" ref="R19:R20" si="7">+Q19</f>
        <v>33.177999999999997</v>
      </c>
      <c r="S19" s="11">
        <v>39.953000000000003</v>
      </c>
      <c r="Y19" s="10">
        <v>10.157</v>
      </c>
      <c r="Z19" s="10">
        <v>20.228000000000002</v>
      </c>
      <c r="AA19" s="10">
        <v>43.978000000000002</v>
      </c>
      <c r="AB19" s="10">
        <v>92.320999999999998</v>
      </c>
      <c r="AC19" s="10">
        <f t="shared" ref="AC19:AC21" si="8">SUM(O19:R19)</f>
        <v>129.928</v>
      </c>
      <c r="AD19" s="10">
        <f>+AC19*1.05</f>
        <v>136.42439999999999</v>
      </c>
      <c r="AE19" s="10">
        <f t="shared" ref="AE19:AN19" si="9">+AD19*1.05</f>
        <v>143.24562</v>
      </c>
      <c r="AF19" s="10">
        <f t="shared" si="9"/>
        <v>150.40790100000001</v>
      </c>
      <c r="AG19" s="10">
        <f t="shared" si="9"/>
        <v>157.92829605000003</v>
      </c>
      <c r="AH19" s="10">
        <f t="shared" si="9"/>
        <v>165.82471085250003</v>
      </c>
      <c r="AI19" s="10">
        <f t="shared" si="9"/>
        <v>174.11594639512504</v>
      </c>
      <c r="AJ19" s="10">
        <f t="shared" si="9"/>
        <v>182.82174371488131</v>
      </c>
      <c r="AK19" s="10">
        <f t="shared" si="9"/>
        <v>191.96283090062539</v>
      </c>
      <c r="AL19" s="10">
        <f t="shared" si="9"/>
        <v>201.56097244565666</v>
      </c>
      <c r="AM19" s="10">
        <f t="shared" si="9"/>
        <v>211.6390210679395</v>
      </c>
      <c r="AN19" s="10">
        <f t="shared" si="9"/>
        <v>222.22097212133647</v>
      </c>
    </row>
    <row r="20" spans="2:77" s="10" customFormat="1" x14ac:dyDescent="0.25">
      <c r="B20" s="10" t="s">
        <v>13</v>
      </c>
      <c r="C20" s="11"/>
      <c r="D20" s="11"/>
      <c r="E20" s="11"/>
      <c r="F20" s="11"/>
      <c r="G20" s="11"/>
      <c r="H20" s="11"/>
      <c r="I20" s="11"/>
      <c r="J20" s="11"/>
      <c r="K20" s="11">
        <v>2.6669999999999998</v>
      </c>
      <c r="L20" s="11">
        <v>3.5750000000000002</v>
      </c>
      <c r="M20" s="11">
        <v>5.0469999999999997</v>
      </c>
      <c r="N20" s="11">
        <f>+AB20-M20-L20-K20</f>
        <v>6.9809999999999999</v>
      </c>
      <c r="O20" s="11">
        <v>6.7009999999999996</v>
      </c>
      <c r="P20" s="11">
        <v>6.1369999999999996</v>
      </c>
      <c r="Q20" s="11">
        <v>6.63</v>
      </c>
      <c r="R20" s="11">
        <f t="shared" si="7"/>
        <v>6.63</v>
      </c>
      <c r="S20" s="11">
        <v>8.61</v>
      </c>
      <c r="Y20" s="10">
        <v>0.48599999999999999</v>
      </c>
      <c r="Z20" s="10">
        <v>3.2330000000000001</v>
      </c>
      <c r="AA20" s="10">
        <v>8.3849999999999998</v>
      </c>
      <c r="AB20" s="10">
        <v>18.27</v>
      </c>
      <c r="AC20" s="10">
        <f t="shared" si="8"/>
        <v>26.097999999999999</v>
      </c>
      <c r="AD20" s="10">
        <f t="shared" ref="AD20:AN20" si="10">+AC20*1.05</f>
        <v>27.402899999999999</v>
      </c>
      <c r="AE20" s="10">
        <f t="shared" si="10"/>
        <v>28.773045</v>
      </c>
      <c r="AF20" s="10">
        <f t="shared" si="10"/>
        <v>30.21169725</v>
      </c>
      <c r="AG20" s="10">
        <f t="shared" si="10"/>
        <v>31.7222821125</v>
      </c>
      <c r="AH20" s="10">
        <f t="shared" si="10"/>
        <v>33.308396218125004</v>
      </c>
      <c r="AI20" s="10">
        <f t="shared" si="10"/>
        <v>34.973816029031255</v>
      </c>
      <c r="AJ20" s="10">
        <f t="shared" si="10"/>
        <v>36.722506830482821</v>
      </c>
      <c r="AK20" s="10">
        <f t="shared" si="10"/>
        <v>38.558632172006966</v>
      </c>
      <c r="AL20" s="10">
        <f t="shared" si="10"/>
        <v>40.48656378060732</v>
      </c>
      <c r="AM20" s="10">
        <f t="shared" si="10"/>
        <v>42.51089196963769</v>
      </c>
      <c r="AN20" s="10">
        <f t="shared" si="10"/>
        <v>44.636436568119578</v>
      </c>
    </row>
    <row r="21" spans="2:77" s="10" customFormat="1" x14ac:dyDescent="0.25">
      <c r="B21" s="10" t="s">
        <v>14</v>
      </c>
      <c r="C21" s="11"/>
      <c r="D21" s="11"/>
      <c r="E21" s="11"/>
      <c r="F21" s="11"/>
      <c r="G21" s="11"/>
      <c r="H21" s="11"/>
      <c r="I21" s="11"/>
      <c r="J21" s="11"/>
      <c r="K21" s="11">
        <v>10.581</v>
      </c>
      <c r="L21" s="11">
        <v>10.93</v>
      </c>
      <c r="M21" s="11">
        <v>13.927</v>
      </c>
      <c r="N21" s="11">
        <f>+AB21-M21-L21-K21</f>
        <v>15.284000000000002</v>
      </c>
      <c r="O21" s="11">
        <v>14.02</v>
      </c>
      <c r="P21" s="11">
        <v>14.321999999999999</v>
      </c>
      <c r="Q21" s="11">
        <v>14.321999999999999</v>
      </c>
      <c r="R21" s="11">
        <f>+Q21</f>
        <v>14.321999999999999</v>
      </c>
      <c r="S21" s="11">
        <v>23.806000000000001</v>
      </c>
      <c r="Y21" s="10">
        <v>3.5470000000000002</v>
      </c>
      <c r="Z21" s="10">
        <v>13.737</v>
      </c>
      <c r="AA21" s="10">
        <v>35.966000000000001</v>
      </c>
      <c r="AB21" s="10">
        <v>50.722000000000001</v>
      </c>
      <c r="AC21" s="10">
        <f t="shared" si="8"/>
        <v>56.986000000000004</v>
      </c>
      <c r="AD21" s="10">
        <f t="shared" ref="AD21:AN21" si="11">+AC21*1.05</f>
        <v>59.835300000000004</v>
      </c>
      <c r="AE21" s="10">
        <f t="shared" si="11"/>
        <v>62.827065000000005</v>
      </c>
      <c r="AF21" s="10">
        <f t="shared" si="11"/>
        <v>65.968418250000013</v>
      </c>
      <c r="AG21" s="10">
        <f t="shared" si="11"/>
        <v>69.26683916250002</v>
      </c>
      <c r="AH21" s="10">
        <f t="shared" si="11"/>
        <v>72.730181120625019</v>
      </c>
      <c r="AI21" s="10">
        <f t="shared" si="11"/>
        <v>76.366690176656277</v>
      </c>
      <c r="AJ21" s="10">
        <f t="shared" si="11"/>
        <v>80.185024685489097</v>
      </c>
      <c r="AK21" s="10">
        <f t="shared" si="11"/>
        <v>84.194275919763555</v>
      </c>
      <c r="AL21" s="10">
        <f t="shared" si="11"/>
        <v>88.403989715751734</v>
      </c>
      <c r="AM21" s="10">
        <f t="shared" si="11"/>
        <v>92.824189201539326</v>
      </c>
      <c r="AN21" s="10">
        <f t="shared" si="11"/>
        <v>97.465398661616291</v>
      </c>
    </row>
    <row r="22" spans="2:77" s="10" customFormat="1" x14ac:dyDescent="0.25">
      <c r="B22" s="10" t="s">
        <v>56</v>
      </c>
      <c r="C22" s="11"/>
      <c r="D22" s="11"/>
      <c r="E22" s="11"/>
      <c r="F22" s="11"/>
      <c r="G22" s="11"/>
      <c r="H22" s="11"/>
      <c r="I22" s="11"/>
      <c r="J22" s="11"/>
      <c r="K22" s="11">
        <f t="shared" ref="K22" si="12">SUM(K19:K21)</f>
        <v>29.480999999999998</v>
      </c>
      <c r="L22" s="11">
        <f t="shared" ref="L22" si="13">SUM(L19:L21)</f>
        <v>34.373999999999995</v>
      </c>
      <c r="M22" s="11">
        <f t="shared" ref="M22:O22" si="14">SUM(M19:M21)</f>
        <v>43.573</v>
      </c>
      <c r="N22" s="11">
        <f t="shared" si="14"/>
        <v>53.884999999999991</v>
      </c>
      <c r="O22" s="11">
        <f t="shared" si="14"/>
        <v>53.088999999999999</v>
      </c>
      <c r="P22" s="11">
        <f>SUM(P19:P21)</f>
        <v>51.662999999999997</v>
      </c>
      <c r="Q22" s="11">
        <f>SUM(Q19:Q21)</f>
        <v>54.129999999999995</v>
      </c>
      <c r="R22" s="11">
        <f>SUM(R19:R21)</f>
        <v>54.129999999999995</v>
      </c>
      <c r="S22" s="11">
        <f>SUM(S19:S21)</f>
        <v>72.369</v>
      </c>
      <c r="T22" s="11"/>
      <c r="U22" s="11"/>
      <c r="V22" s="11"/>
      <c r="W22" s="11"/>
      <c r="X22" s="11"/>
      <c r="Y22" s="11">
        <f t="shared" ref="Y22:Z22" si="15">SUM(Y19:Y21)</f>
        <v>14.190000000000001</v>
      </c>
      <c r="Z22" s="11">
        <f t="shared" si="15"/>
        <v>37.198</v>
      </c>
      <c r="AA22" s="11">
        <f t="shared" ref="AA22:AC22" si="16">SUM(AA19:AA21)</f>
        <v>88.329000000000008</v>
      </c>
      <c r="AB22" s="11">
        <f t="shared" si="16"/>
        <v>161.31299999999999</v>
      </c>
      <c r="AC22" s="11">
        <f t="shared" si="16"/>
        <v>213.012</v>
      </c>
      <c r="AD22" s="11">
        <f t="shared" ref="AD22" si="17">SUM(AD19:AD21)</f>
        <v>223.6626</v>
      </c>
      <c r="AE22" s="11">
        <f t="shared" ref="AE22" si="18">SUM(AE19:AE21)</f>
        <v>234.84573</v>
      </c>
      <c r="AF22" s="11">
        <f t="shared" ref="AF22" si="19">SUM(AF19:AF21)</f>
        <v>246.58801650000004</v>
      </c>
      <c r="AG22" s="11">
        <f t="shared" ref="AG22" si="20">SUM(AG19:AG21)</f>
        <v>258.91741732500009</v>
      </c>
      <c r="AH22" s="11">
        <f t="shared" ref="AH22" si="21">SUM(AH19:AH21)</f>
        <v>271.86328819125004</v>
      </c>
      <c r="AI22" s="11">
        <f t="shared" ref="AI22" si="22">SUM(AI19:AI21)</f>
        <v>285.45645260081255</v>
      </c>
      <c r="AJ22" s="11">
        <f t="shared" ref="AJ22" si="23">SUM(AJ19:AJ21)</f>
        <v>299.7292752308532</v>
      </c>
      <c r="AK22" s="11">
        <f t="shared" ref="AK22" si="24">SUM(AK19:AK21)</f>
        <v>314.71573899239593</v>
      </c>
      <c r="AL22" s="11">
        <f t="shared" ref="AL22" si="25">SUM(AL19:AL21)</f>
        <v>330.45152594201573</v>
      </c>
      <c r="AM22" s="11">
        <f t="shared" ref="AM22" si="26">SUM(AM19:AM21)</f>
        <v>346.97410223911652</v>
      </c>
      <c r="AN22" s="11">
        <f t="shared" ref="AN22" si="27">SUM(AN19:AN21)</f>
        <v>364.32280735107236</v>
      </c>
    </row>
    <row r="23" spans="2:77" s="10" customFormat="1" x14ac:dyDescent="0.25">
      <c r="B23" s="10" t="s">
        <v>57</v>
      </c>
      <c r="C23" s="11"/>
      <c r="D23" s="11"/>
      <c r="E23" s="11"/>
      <c r="F23" s="11"/>
      <c r="G23" s="11"/>
      <c r="H23" s="11"/>
      <c r="I23" s="11"/>
      <c r="J23" s="11"/>
      <c r="K23" s="11">
        <f t="shared" ref="K23" si="28">+K18-K22</f>
        <v>-26.216999999999999</v>
      </c>
      <c r="L23" s="11">
        <f t="shared" ref="L23" si="29">+L18-L22</f>
        <v>-30.774999999999995</v>
      </c>
      <c r="M23" s="11">
        <f t="shared" ref="M23:P23" si="30">+M18-M22</f>
        <v>-39.445</v>
      </c>
      <c r="N23" s="11">
        <f t="shared" si="30"/>
        <v>-50.941999999999986</v>
      </c>
      <c r="O23" s="11">
        <f t="shared" si="30"/>
        <v>-48.920999999999999</v>
      </c>
      <c r="P23" s="11">
        <f t="shared" si="30"/>
        <v>-45.904999999999994</v>
      </c>
      <c r="Q23" s="11">
        <f>+Q18-Q22</f>
        <v>-48.244999999999997</v>
      </c>
      <c r="R23" s="11">
        <f>+R18-R22</f>
        <v>-47.929999999999993</v>
      </c>
      <c r="S23" s="11">
        <f>+S18-S22</f>
        <v>-69.117500000000007</v>
      </c>
      <c r="T23" s="11"/>
      <c r="U23" s="11"/>
      <c r="V23" s="11"/>
      <c r="W23" s="11"/>
      <c r="X23" s="11"/>
      <c r="Y23" s="11">
        <f t="shared" ref="Y23:Z23" si="31">+Y18-Y22</f>
        <v>-14.333000000000002</v>
      </c>
      <c r="Z23" s="11">
        <f t="shared" si="31"/>
        <v>-36.139000000000003</v>
      </c>
      <c r="AA23" s="11">
        <f t="shared" ref="AA23:AC23" si="32">+AA18-AA22</f>
        <v>-80.14200000000001</v>
      </c>
      <c r="AB23" s="11">
        <f t="shared" si="32"/>
        <v>-147.37899999999999</v>
      </c>
      <c r="AC23" s="11">
        <f t="shared" si="32"/>
        <v>-191.001</v>
      </c>
      <c r="AD23" s="11">
        <f t="shared" ref="AD23" si="33">+AD18-AD22</f>
        <v>-165.45780999999999</v>
      </c>
      <c r="AE23" s="11">
        <f t="shared" ref="AE23" si="34">+AE18-AE22</f>
        <v>-124.25662900000003</v>
      </c>
      <c r="AF23" s="11">
        <f t="shared" ref="AF23" si="35">+AF18-AF22</f>
        <v>-36.468724600000087</v>
      </c>
      <c r="AG23" s="11">
        <f t="shared" ref="AG23" si="36">+AG18-AG22</f>
        <v>140.30923728499977</v>
      </c>
      <c r="AH23" s="11">
        <f t="shared" ref="AH23" si="37">+AH18-AH22</f>
        <v>486.66735556774961</v>
      </c>
      <c r="AI23" s="11">
        <f t="shared" ref="AI23" si="38">+AI18-AI22</f>
        <v>548.92725553408718</v>
      </c>
      <c r="AJ23" s="11">
        <f t="shared" ref="AJ23" si="39">+AJ18-AJ22</f>
        <v>618.09280371753653</v>
      </c>
      <c r="AK23" s="11">
        <f t="shared" ref="AK23" si="40">+AK18-AK22</f>
        <v>694.88854785083288</v>
      </c>
      <c r="AL23" s="11">
        <f t="shared" ref="AL23" si="41">+AL18-AL22</f>
        <v>780.11318958553602</v>
      </c>
      <c r="AM23" s="11">
        <f t="shared" ref="AM23" si="42">+AM18-AM22</f>
        <v>874.64708484119069</v>
      </c>
      <c r="AN23" s="11">
        <f t="shared" ref="AN23" si="43">+AN18-AN22</f>
        <v>979.46049843726553</v>
      </c>
    </row>
    <row r="24" spans="2:77" s="10" customFormat="1" x14ac:dyDescent="0.25">
      <c r="B24" s="10" t="s">
        <v>58</v>
      </c>
      <c r="C24" s="11"/>
      <c r="D24" s="11"/>
      <c r="E24" s="11"/>
      <c r="F24" s="11"/>
      <c r="G24" s="11"/>
      <c r="H24" s="11"/>
      <c r="I24" s="11"/>
      <c r="J24" s="11"/>
      <c r="K24" s="11">
        <v>4.2309999999999999</v>
      </c>
      <c r="L24" s="11">
        <v>4.8769999999999998</v>
      </c>
      <c r="M24" s="11">
        <v>5.0069999999999997</v>
      </c>
      <c r="N24" s="11"/>
      <c r="O24" s="11">
        <v>4.7990000000000004</v>
      </c>
      <c r="P24" s="11">
        <v>4.8010000000000002</v>
      </c>
      <c r="Q24" s="11">
        <f>4.508+0.015</f>
        <v>4.5229999999999997</v>
      </c>
      <c r="R24" s="11">
        <f>+Q24</f>
        <v>4.5229999999999997</v>
      </c>
      <c r="S24" s="18">
        <v>4.8940000000000001</v>
      </c>
      <c r="AC24" s="10">
        <f t="shared" ref="AC24" si="44">SUM(O24:R24)</f>
        <v>18.646000000000001</v>
      </c>
    </row>
    <row r="25" spans="2:77" x14ac:dyDescent="0.25">
      <c r="B25" s="10" t="s">
        <v>59</v>
      </c>
      <c r="K25" s="11">
        <f t="shared" ref="K25:L25" si="45">+K23+K24</f>
        <v>-21.985999999999997</v>
      </c>
      <c r="L25" s="11">
        <f t="shared" si="45"/>
        <v>-25.897999999999996</v>
      </c>
      <c r="M25" s="11">
        <f>+M23+M24</f>
        <v>-34.438000000000002</v>
      </c>
      <c r="N25" s="11">
        <f t="shared" ref="N25:P25" si="46">+N23+N24</f>
        <v>-50.941999999999986</v>
      </c>
      <c r="O25" s="11">
        <f t="shared" si="46"/>
        <v>-44.122</v>
      </c>
      <c r="P25" s="11">
        <f t="shared" si="46"/>
        <v>-41.103999999999992</v>
      </c>
      <c r="Q25" s="11">
        <f>+Q23+Q24</f>
        <v>-43.721999999999994</v>
      </c>
      <c r="R25" s="11">
        <f>+R23+R24</f>
        <v>-43.406999999999996</v>
      </c>
      <c r="S25" s="11">
        <f>+S23+S24</f>
        <v>-64.223500000000001</v>
      </c>
      <c r="T25" s="11"/>
      <c r="U25" s="11"/>
      <c r="V25" s="11"/>
      <c r="W25" s="11"/>
      <c r="X25" s="11"/>
      <c r="Y25" s="11">
        <f t="shared" ref="Y25:AC25" si="47">+Y23+Y24</f>
        <v>-14.333000000000002</v>
      </c>
      <c r="Z25" s="11">
        <f t="shared" si="47"/>
        <v>-36.139000000000003</v>
      </c>
      <c r="AA25" s="11">
        <f t="shared" si="47"/>
        <v>-80.14200000000001</v>
      </c>
      <c r="AB25" s="11">
        <f t="shared" si="47"/>
        <v>-147.37899999999999</v>
      </c>
      <c r="AC25" s="11">
        <f t="shared" si="47"/>
        <v>-172.35500000000002</v>
      </c>
      <c r="AD25" s="11">
        <f t="shared" ref="AD25" si="48">+AD23+AD24</f>
        <v>-165.45780999999999</v>
      </c>
      <c r="AE25" s="11">
        <f t="shared" ref="AE25" si="49">+AE23+AE24</f>
        <v>-124.25662900000003</v>
      </c>
      <c r="AF25" s="11">
        <f t="shared" ref="AF25" si="50">+AF23+AF24</f>
        <v>-36.468724600000087</v>
      </c>
      <c r="AG25" s="11">
        <f t="shared" ref="AG25" si="51">+AG23+AG24</f>
        <v>140.30923728499977</v>
      </c>
      <c r="AH25" s="11">
        <f t="shared" ref="AH25" si="52">+AH23+AH24</f>
        <v>486.66735556774961</v>
      </c>
      <c r="AI25" s="11">
        <f t="shared" ref="AI25" si="53">+AI23+AI24</f>
        <v>548.92725553408718</v>
      </c>
      <c r="AJ25" s="11">
        <f t="shared" ref="AJ25" si="54">+AJ23+AJ24</f>
        <v>618.09280371753653</v>
      </c>
      <c r="AK25" s="11">
        <f t="shared" ref="AK25" si="55">+AK23+AK24</f>
        <v>694.88854785083288</v>
      </c>
      <c r="AL25" s="11">
        <f t="shared" ref="AL25" si="56">+AL23+AL24</f>
        <v>780.11318958553602</v>
      </c>
      <c r="AM25" s="11">
        <f t="shared" ref="AM25" si="57">+AM23+AM24</f>
        <v>874.64708484119069</v>
      </c>
      <c r="AN25" s="11">
        <f t="shared" ref="AN25" si="58">+AN23+AN24</f>
        <v>979.46049843726553</v>
      </c>
    </row>
    <row r="26" spans="2:77" s="10" customFormat="1" x14ac:dyDescent="0.25">
      <c r="B26" s="10" t="s">
        <v>60</v>
      </c>
      <c r="C26" s="11"/>
      <c r="D26" s="11"/>
      <c r="E26" s="11"/>
      <c r="F26" s="11"/>
      <c r="G26" s="11"/>
      <c r="H26" s="11"/>
      <c r="I26" s="11"/>
      <c r="J26" s="11"/>
      <c r="K26" s="11">
        <v>0</v>
      </c>
      <c r="L26" s="11">
        <v>0</v>
      </c>
      <c r="M26" s="11">
        <v>0</v>
      </c>
      <c r="N26" s="11"/>
      <c r="O26" s="11">
        <v>0</v>
      </c>
      <c r="P26" s="11">
        <v>0</v>
      </c>
      <c r="Q26" s="11">
        <v>0</v>
      </c>
      <c r="R26" s="11">
        <v>0</v>
      </c>
      <c r="S26" s="11">
        <v>0</v>
      </c>
      <c r="AC26" s="10">
        <f t="shared" ref="AC26" si="59">SUM(O26:R26)</f>
        <v>0</v>
      </c>
      <c r="AG26" s="10">
        <f>+AG25*0.1</f>
        <v>14.030923728499978</v>
      </c>
      <c r="AH26" s="10">
        <f t="shared" ref="AH26:AN26" si="60">+AH25*0.1</f>
        <v>48.666735556774967</v>
      </c>
      <c r="AI26" s="10">
        <f t="shared" si="60"/>
        <v>54.892725553408724</v>
      </c>
      <c r="AJ26" s="10">
        <f t="shared" si="60"/>
        <v>61.809280371753658</v>
      </c>
      <c r="AK26" s="10">
        <f t="shared" si="60"/>
        <v>69.488854785083291</v>
      </c>
      <c r="AL26" s="10">
        <f t="shared" si="60"/>
        <v>78.011318958553602</v>
      </c>
      <c r="AM26" s="10">
        <f t="shared" si="60"/>
        <v>87.464708484119072</v>
      </c>
      <c r="AN26" s="10">
        <f t="shared" si="60"/>
        <v>97.946049843726556</v>
      </c>
    </row>
    <row r="27" spans="2:77" x14ac:dyDescent="0.25">
      <c r="B27" s="10" t="s">
        <v>61</v>
      </c>
      <c r="K27" s="11">
        <f>+K25-K26</f>
        <v>-21.985999999999997</v>
      </c>
      <c r="L27" s="11">
        <f t="shared" ref="L27" si="61">+L25-L26</f>
        <v>-25.897999999999996</v>
      </c>
      <c r="M27" s="11">
        <f t="shared" ref="M27:S27" si="62">+M25-M26</f>
        <v>-34.438000000000002</v>
      </c>
      <c r="N27" s="11">
        <f t="shared" si="62"/>
        <v>-50.941999999999986</v>
      </c>
      <c r="O27" s="11">
        <f t="shared" si="62"/>
        <v>-44.122</v>
      </c>
      <c r="P27" s="11">
        <f t="shared" si="62"/>
        <v>-41.103999999999992</v>
      </c>
      <c r="Q27" s="11">
        <f t="shared" si="62"/>
        <v>-43.721999999999994</v>
      </c>
      <c r="R27" s="11">
        <f t="shared" si="62"/>
        <v>-43.406999999999996</v>
      </c>
      <c r="S27" s="11">
        <f t="shared" si="62"/>
        <v>-64.223500000000001</v>
      </c>
      <c r="T27" s="11"/>
      <c r="U27" s="11"/>
      <c r="V27" s="11"/>
      <c r="W27" s="11"/>
      <c r="X27" s="11"/>
      <c r="Y27" s="11">
        <f t="shared" ref="Y27:AC27" si="63">+Y25-Y26</f>
        <v>-14.333000000000002</v>
      </c>
      <c r="Z27" s="11">
        <f t="shared" si="63"/>
        <v>-36.139000000000003</v>
      </c>
      <c r="AA27" s="11">
        <f t="shared" si="63"/>
        <v>-80.14200000000001</v>
      </c>
      <c r="AB27" s="11">
        <f t="shared" si="63"/>
        <v>-147.37899999999999</v>
      </c>
      <c r="AC27" s="11">
        <f t="shared" si="63"/>
        <v>-172.35500000000002</v>
      </c>
      <c r="AD27" s="11">
        <f t="shared" ref="AD27" si="64">+AD25-AD26</f>
        <v>-165.45780999999999</v>
      </c>
      <c r="AE27" s="11">
        <f t="shared" ref="AE27" si="65">+AE25-AE26</f>
        <v>-124.25662900000003</v>
      </c>
      <c r="AF27" s="11">
        <f t="shared" ref="AF27" si="66">+AF25-AF26</f>
        <v>-36.468724600000087</v>
      </c>
      <c r="AG27" s="11">
        <f t="shared" ref="AG27" si="67">+AG25-AG26</f>
        <v>126.2783135564998</v>
      </c>
      <c r="AH27" s="11">
        <f t="shared" ref="AH27" si="68">+AH25-AH26</f>
        <v>438.00062001097467</v>
      </c>
      <c r="AI27" s="11">
        <f t="shared" ref="AI27" si="69">+AI25-AI26</f>
        <v>494.03452998067849</v>
      </c>
      <c r="AJ27" s="11">
        <f t="shared" ref="AJ27" si="70">+AJ25-AJ26</f>
        <v>556.2835233457829</v>
      </c>
      <c r="AK27" s="11">
        <f t="shared" ref="AK27" si="71">+AK25-AK26</f>
        <v>625.3996930657496</v>
      </c>
      <c r="AL27" s="11">
        <f t="shared" ref="AL27" si="72">+AL25-AL26</f>
        <v>702.10187062698242</v>
      </c>
      <c r="AM27" s="11">
        <f t="shared" ref="AM27" si="73">+AM25-AM26</f>
        <v>787.18237635707158</v>
      </c>
      <c r="AN27" s="11">
        <f t="shared" ref="AN27" si="74">+AN25-AN26</f>
        <v>881.51444859353899</v>
      </c>
      <c r="AO27" s="11">
        <f>+AN27*(1+$AO$34)</f>
        <v>872.69930410760355</v>
      </c>
      <c r="AP27" s="11">
        <f t="shared" ref="AP27:BY27" si="75">+AO27*(1+$AO$34)</f>
        <v>863.97231106652748</v>
      </c>
      <c r="AQ27" s="11">
        <f t="shared" si="75"/>
        <v>855.33258795586221</v>
      </c>
      <c r="AR27" s="11">
        <f t="shared" si="75"/>
        <v>846.77926207630355</v>
      </c>
      <c r="AS27" s="11">
        <f t="shared" si="75"/>
        <v>838.31146945554053</v>
      </c>
      <c r="AT27" s="11">
        <f t="shared" si="75"/>
        <v>829.92835476098514</v>
      </c>
      <c r="AU27" s="11">
        <f t="shared" si="75"/>
        <v>821.62907121337525</v>
      </c>
      <c r="AV27" s="11">
        <f t="shared" si="75"/>
        <v>813.41278050124151</v>
      </c>
      <c r="AW27" s="11">
        <f t="shared" si="75"/>
        <v>805.27865269622907</v>
      </c>
      <c r="AX27" s="11">
        <f t="shared" si="75"/>
        <v>797.22586616926674</v>
      </c>
      <c r="AY27" s="11">
        <f t="shared" si="75"/>
        <v>789.25360750757409</v>
      </c>
      <c r="AZ27" s="11">
        <f t="shared" si="75"/>
        <v>781.36107143249831</v>
      </c>
      <c r="BA27" s="11">
        <f t="shared" si="75"/>
        <v>773.54746071817328</v>
      </c>
      <c r="BB27" s="11">
        <f t="shared" si="75"/>
        <v>765.8119861109916</v>
      </c>
      <c r="BC27" s="11">
        <f t="shared" si="75"/>
        <v>758.15386624988173</v>
      </c>
      <c r="BD27" s="11">
        <f t="shared" si="75"/>
        <v>750.57232758738292</v>
      </c>
      <c r="BE27" s="11">
        <f t="shared" si="75"/>
        <v>743.06660431150908</v>
      </c>
      <c r="BF27" s="11">
        <f t="shared" si="75"/>
        <v>735.63593826839394</v>
      </c>
      <c r="BG27" s="11">
        <f t="shared" si="75"/>
        <v>728.27957888570995</v>
      </c>
      <c r="BH27" s="11">
        <f t="shared" si="75"/>
        <v>720.99678309685282</v>
      </c>
      <c r="BI27" s="11">
        <f t="shared" si="75"/>
        <v>713.78681526588434</v>
      </c>
      <c r="BJ27" s="11">
        <f t="shared" si="75"/>
        <v>706.64894711322552</v>
      </c>
      <c r="BK27" s="11">
        <f t="shared" si="75"/>
        <v>699.58245764209323</v>
      </c>
      <c r="BL27" s="11">
        <f t="shared" si="75"/>
        <v>692.58663306567234</v>
      </c>
      <c r="BM27" s="11">
        <f t="shared" si="75"/>
        <v>685.66076673501561</v>
      </c>
      <c r="BN27" s="11">
        <f t="shared" si="75"/>
        <v>678.80415906766541</v>
      </c>
      <c r="BO27" s="11">
        <f t="shared" si="75"/>
        <v>672.01611747698871</v>
      </c>
      <c r="BP27" s="11">
        <f t="shared" si="75"/>
        <v>665.29595630221877</v>
      </c>
      <c r="BQ27" s="11">
        <f t="shared" si="75"/>
        <v>658.64299673919652</v>
      </c>
      <c r="BR27" s="11">
        <f t="shared" si="75"/>
        <v>652.05656677180457</v>
      </c>
      <c r="BS27" s="11">
        <f t="shared" si="75"/>
        <v>645.53600110408649</v>
      </c>
      <c r="BT27" s="11">
        <f t="shared" si="75"/>
        <v>639.08064109304564</v>
      </c>
      <c r="BU27" s="11">
        <f t="shared" si="75"/>
        <v>632.68983468211513</v>
      </c>
      <c r="BV27" s="11">
        <f t="shared" si="75"/>
        <v>626.36293633529397</v>
      </c>
      <c r="BW27" s="11">
        <f t="shared" si="75"/>
        <v>620.09930697194102</v>
      </c>
      <c r="BX27" s="11">
        <f t="shared" si="75"/>
        <v>613.89831390222162</v>
      </c>
      <c r="BY27" s="11">
        <f t="shared" si="75"/>
        <v>607.75933076319939</v>
      </c>
    </row>
    <row r="28" spans="2:77" x14ac:dyDescent="0.25">
      <c r="B28" s="10" t="s">
        <v>62</v>
      </c>
      <c r="F28" s="12"/>
      <c r="J28" s="12"/>
      <c r="K28" s="12">
        <f t="shared" ref="K28:S28" si="76">+K27/K29</f>
        <v>-0.10986800423191202</v>
      </c>
      <c r="L28" s="12">
        <f t="shared" si="76"/>
        <v>-0.12856976575867524</v>
      </c>
      <c r="M28" s="12">
        <f t="shared" si="76"/>
        <v>-0.16931970672379332</v>
      </c>
      <c r="N28" s="12" t="e">
        <f t="shared" si="76"/>
        <v>#DIV/0!</v>
      </c>
      <c r="O28" s="12">
        <f t="shared" si="76"/>
        <v>-0.21196252359231235</v>
      </c>
      <c r="P28" s="12">
        <f t="shared" si="76"/>
        <v>-0.19421890770112599</v>
      </c>
      <c r="Q28" s="12">
        <f t="shared" si="76"/>
        <v>-0.2040175879567338</v>
      </c>
      <c r="R28" s="12">
        <f t="shared" si="76"/>
        <v>-0.20254772060834234</v>
      </c>
      <c r="S28" s="12">
        <f t="shared" si="76"/>
        <v>-0.28074742414506099</v>
      </c>
      <c r="Y28" s="1">
        <f t="shared" ref="Y28:AB28" si="77">Y27/Y29</f>
        <v>-0.12458592650845435</v>
      </c>
      <c r="Z28" s="1">
        <f t="shared" si="77"/>
        <v>-0.26261972091776725</v>
      </c>
      <c r="AA28" s="1"/>
      <c r="AB28" s="1">
        <f t="shared" si="77"/>
        <v>-0.73088380714764445</v>
      </c>
      <c r="AC28" s="1">
        <f>AC27/AC29</f>
        <v>-0.81260524783208299</v>
      </c>
      <c r="AD28" s="1">
        <f>AD27/AD29</f>
        <v>-0.78008694091151221</v>
      </c>
      <c r="AE28" s="1">
        <f t="shared" ref="AE28:AN28" si="78">AE27/AE29</f>
        <v>-0.58583498478909346</v>
      </c>
      <c r="AF28" s="1">
        <f t="shared" si="78"/>
        <v>-0.17193975800935887</v>
      </c>
      <c r="AG28" s="1">
        <f t="shared" si="78"/>
        <v>0.59536665767396935</v>
      </c>
      <c r="AH28" s="1">
        <f t="shared" si="78"/>
        <v>2.0650494756440141</v>
      </c>
      <c r="AI28" s="1">
        <f t="shared" si="78"/>
        <v>2.3292335683476306</v>
      </c>
      <c r="AJ28" s="1">
        <f t="shared" si="78"/>
        <v>2.6227200275785685</v>
      </c>
      <c r="AK28" s="1">
        <f t="shared" si="78"/>
        <v>2.9485832878524096</v>
      </c>
      <c r="AL28" s="1">
        <f t="shared" si="78"/>
        <v>3.3102124370294339</v>
      </c>
      <c r="AM28" s="1">
        <f t="shared" si="78"/>
        <v>3.7113430421437505</v>
      </c>
      <c r="AN28" s="1">
        <f t="shared" si="78"/>
        <v>4.1560921758400662</v>
      </c>
    </row>
    <row r="29" spans="2:77" s="10" customFormat="1" x14ac:dyDescent="0.25">
      <c r="B29" s="10" t="s">
        <v>1</v>
      </c>
      <c r="C29" s="11"/>
      <c r="D29" s="11"/>
      <c r="E29" s="11"/>
      <c r="F29" s="11"/>
      <c r="G29" s="11"/>
      <c r="H29" s="11"/>
      <c r="I29" s="11"/>
      <c r="J29" s="11"/>
      <c r="K29" s="11">
        <v>200.112855</v>
      </c>
      <c r="L29" s="11">
        <v>201.43149399999999</v>
      </c>
      <c r="M29" s="11">
        <v>203.39038300000001</v>
      </c>
      <c r="N29" s="11"/>
      <c r="O29" s="11">
        <v>208.15943899999999</v>
      </c>
      <c r="P29" s="11">
        <v>211.63747900000001</v>
      </c>
      <c r="Q29" s="11">
        <v>214.30505299999999</v>
      </c>
      <c r="R29" s="11">
        <f>+Q29</f>
        <v>214.30505299999999</v>
      </c>
      <c r="S29" s="11">
        <v>228.75899999999999</v>
      </c>
      <c r="Y29" s="10">
        <v>115.045097</v>
      </c>
      <c r="Z29" s="10">
        <v>137.60962000000001</v>
      </c>
      <c r="AB29" s="10">
        <f>AVERAGE(K29:N29)</f>
        <v>201.64491066666668</v>
      </c>
      <c r="AC29" s="10">
        <f>AVERAGE(O29:R29)</f>
        <v>212.10175600000002</v>
      </c>
      <c r="AD29" s="10">
        <f>+AC29</f>
        <v>212.10175600000002</v>
      </c>
      <c r="AE29" s="10">
        <f t="shared" ref="AE29:AN29" si="79">+AD29</f>
        <v>212.10175600000002</v>
      </c>
      <c r="AF29" s="10">
        <f t="shared" si="79"/>
        <v>212.10175600000002</v>
      </c>
      <c r="AG29" s="10">
        <f t="shared" si="79"/>
        <v>212.10175600000002</v>
      </c>
      <c r="AH29" s="10">
        <f t="shared" si="79"/>
        <v>212.10175600000002</v>
      </c>
      <c r="AI29" s="10">
        <f t="shared" si="79"/>
        <v>212.10175600000002</v>
      </c>
      <c r="AJ29" s="10">
        <f t="shared" si="79"/>
        <v>212.10175600000002</v>
      </c>
      <c r="AK29" s="10">
        <f t="shared" si="79"/>
        <v>212.10175600000002</v>
      </c>
      <c r="AL29" s="10">
        <f t="shared" si="79"/>
        <v>212.10175600000002</v>
      </c>
      <c r="AM29" s="10">
        <f t="shared" si="79"/>
        <v>212.10175600000002</v>
      </c>
      <c r="AN29" s="10">
        <f t="shared" si="79"/>
        <v>212.10175600000002</v>
      </c>
    </row>
    <row r="30" spans="2:77" x14ac:dyDescent="0.25">
      <c r="B30" s="10"/>
      <c r="M30" s="11"/>
      <c r="Q30" s="11"/>
      <c r="AA30" s="4"/>
      <c r="AB30" s="4"/>
    </row>
    <row r="31" spans="2:77" x14ac:dyDescent="0.25">
      <c r="B31" s="10" t="s">
        <v>96</v>
      </c>
      <c r="M31" s="11"/>
      <c r="Q31" s="11"/>
      <c r="S31" s="17">
        <f>+S16/O16-1</f>
        <v>-2.0443154840411593E-3</v>
      </c>
      <c r="T31" s="17">
        <f>+T16/P16-1</f>
        <v>0.58158334065547845</v>
      </c>
      <c r="AA31" s="4"/>
      <c r="AB31" s="4"/>
    </row>
    <row r="32" spans="2:77" x14ac:dyDescent="0.25">
      <c r="B32" s="10" t="s">
        <v>11</v>
      </c>
      <c r="O32" s="16">
        <f>+O18/O16</f>
        <v>0.54972302822474273</v>
      </c>
      <c r="S32" s="16">
        <f>+S18/S16</f>
        <v>0.42972312165466192</v>
      </c>
      <c r="AA32" s="4"/>
      <c r="AB32" s="4"/>
      <c r="AN32" t="s">
        <v>63</v>
      </c>
      <c r="AO32" s="15">
        <v>0.15</v>
      </c>
    </row>
    <row r="33" spans="2:41" x14ac:dyDescent="0.25">
      <c r="AA33" s="4"/>
      <c r="AB33" s="4"/>
      <c r="AO33" s="15"/>
    </row>
    <row r="34" spans="2:41" x14ac:dyDescent="0.25">
      <c r="B34" t="s">
        <v>17</v>
      </c>
      <c r="AA34" s="4">
        <v>-44698</v>
      </c>
      <c r="AB34" s="4">
        <v>-78811</v>
      </c>
      <c r="AN34" t="s">
        <v>64</v>
      </c>
      <c r="AO34" s="15">
        <v>-0.01</v>
      </c>
    </row>
    <row r="35" spans="2:41" x14ac:dyDescent="0.25">
      <c r="B35" t="s">
        <v>18</v>
      </c>
      <c r="AA35" s="4">
        <v>-9336</v>
      </c>
      <c r="AB35" s="4">
        <v>-13703</v>
      </c>
      <c r="AN35" t="s">
        <v>65</v>
      </c>
      <c r="AO35" s="4">
        <f>NPV(AO32,AD27:BY27)</f>
        <v>2406.7362013427078</v>
      </c>
    </row>
    <row r="36" spans="2:41" x14ac:dyDescent="0.25">
      <c r="AN36" t="s">
        <v>66</v>
      </c>
      <c r="AO36" s="1">
        <f>AO35/Main!J3</f>
        <v>9.7130770311848806</v>
      </c>
    </row>
    <row r="41" spans="2:41" s="7" customFormat="1" x14ac:dyDescent="0.25">
      <c r="B41" s="7" t="s">
        <v>3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>
        <f>30.172+335.538+17.131</f>
        <v>382.84100000000001</v>
      </c>
      <c r="R41" s="8"/>
      <c r="S41" s="8"/>
    </row>
    <row r="42" spans="2:41" s="7" customFormat="1" x14ac:dyDescent="0.25">
      <c r="B42" s="7" t="s">
        <v>41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>
        <v>4.1369999999999996</v>
      </c>
      <c r="R42" s="8"/>
      <c r="S42" s="8"/>
    </row>
    <row r="43" spans="2:41" s="7" customFormat="1" x14ac:dyDescent="0.25">
      <c r="B43" s="7" t="s">
        <v>42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>
        <v>25.553000000000001</v>
      </c>
      <c r="R43" s="8"/>
      <c r="S43" s="8"/>
    </row>
    <row r="44" spans="2:41" s="7" customFormat="1" x14ac:dyDescent="0.25">
      <c r="B44" s="7" t="s">
        <v>43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>
        <v>49.454000000000001</v>
      </c>
      <c r="R44" s="8"/>
      <c r="S44" s="8"/>
    </row>
    <row r="45" spans="2:41" s="7" customFormat="1" x14ac:dyDescent="0.25">
      <c r="B45" s="7" t="s">
        <v>44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>
        <v>10.029</v>
      </c>
      <c r="R45" s="8"/>
      <c r="S45" s="8"/>
    </row>
    <row r="46" spans="2:41" s="7" customFormat="1" x14ac:dyDescent="0.25">
      <c r="B46" s="7" t="s">
        <v>45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>
        <f>17.487+0.727</f>
        <v>18.213999999999999</v>
      </c>
      <c r="R46" s="8"/>
      <c r="S46" s="8"/>
    </row>
    <row r="47" spans="2:41" s="7" customFormat="1" x14ac:dyDescent="0.25">
      <c r="B47" s="7" t="s">
        <v>46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>
        <v>7.6829999999999998</v>
      </c>
      <c r="R47" s="8"/>
      <c r="S47" s="8"/>
    </row>
    <row r="48" spans="2:41" s="7" customFormat="1" x14ac:dyDescent="0.25">
      <c r="B48" s="7" t="s">
        <v>40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>
        <f>SUM(Q41:Q47)</f>
        <v>497.911</v>
      </c>
      <c r="R48" s="8"/>
      <c r="S48" s="8"/>
    </row>
    <row r="50" spans="2:19" s="4" customFormat="1" x14ac:dyDescent="0.25">
      <c r="B50" s="4" t="s">
        <v>47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>
        <v>4.8540000000000001</v>
      </c>
      <c r="R50" s="9"/>
      <c r="S50" s="9"/>
    </row>
    <row r="51" spans="2:19" s="4" customFormat="1" x14ac:dyDescent="0.25">
      <c r="B51" s="4" t="s">
        <v>48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>
        <v>15.657</v>
      </c>
      <c r="R51" s="9"/>
      <c r="S51" s="9"/>
    </row>
    <row r="52" spans="2:19" s="4" customFormat="1" x14ac:dyDescent="0.25">
      <c r="B52" s="4" t="s">
        <v>49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>
        <f>3.089+15.214</f>
        <v>18.303000000000001</v>
      </c>
      <c r="R52" s="9"/>
      <c r="S52" s="9"/>
    </row>
    <row r="53" spans="2:19" s="4" customFormat="1" x14ac:dyDescent="0.25">
      <c r="B53" s="4" t="s">
        <v>50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>
        <f>8.332+0.06</f>
        <v>8.3920000000000012</v>
      </c>
      <c r="R53" s="9"/>
      <c r="S53" s="9"/>
    </row>
    <row r="54" spans="2:19" s="4" customFormat="1" x14ac:dyDescent="0.25">
      <c r="B54" s="4" t="s">
        <v>51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>
        <f>0.392+0.154</f>
        <v>0.54600000000000004</v>
      </c>
      <c r="R54" s="9"/>
      <c r="S54" s="9"/>
    </row>
    <row r="55" spans="2:19" s="4" customFormat="1" x14ac:dyDescent="0.25">
      <c r="B55" s="4" t="s">
        <v>55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>
        <v>11.606999999999999</v>
      </c>
      <c r="R55" s="9"/>
      <c r="S55" s="9"/>
    </row>
    <row r="56" spans="2:19" s="4" customFormat="1" x14ac:dyDescent="0.25">
      <c r="B56" s="4" t="s">
        <v>54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>
        <v>2.8690000000000002</v>
      </c>
      <c r="R56" s="9"/>
      <c r="S56" s="9"/>
    </row>
    <row r="57" spans="2:19" s="4" customFormat="1" x14ac:dyDescent="0.25">
      <c r="B57" s="4" t="s">
        <v>53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>
        <v>435.68299999999999</v>
      </c>
      <c r="R57" s="9"/>
      <c r="S57" s="9"/>
    </row>
    <row r="58" spans="2:19" s="4" customFormat="1" x14ac:dyDescent="0.25">
      <c r="B58" s="4" t="s">
        <v>52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>
        <f>SUM(Q50:Q57)</f>
        <v>497.911</v>
      </c>
      <c r="R58" s="9"/>
      <c r="S58" s="9"/>
    </row>
  </sheetData>
  <hyperlinks>
    <hyperlink ref="A1" location="Main!A1" display="Main" xr:uid="{201ADA92-3B0C-4733-B33B-9ACA8A94F4C9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02FAF-F034-4DC1-A333-3CF2A6D6F2AB}">
  <dimension ref="A1"/>
  <sheetViews>
    <sheetView workbookViewId="0"/>
  </sheetViews>
  <sheetFormatPr defaultColWidth="8.81640625" defaultRowHeight="12.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2024-08-30T17:12:45Z</dcterms:created>
  <dcterms:modified xsi:type="dcterms:W3CDTF">2025-05-07T22:10:24Z</dcterms:modified>
</cp:coreProperties>
</file>