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6F3AFF6E-30D0-43F9-ADE6-E116B88F0AAC}" xr6:coauthVersionLast="47" xr6:coauthVersionMax="47" xr10:uidLastSave="{00000000-0000-0000-0000-000000000000}"/>
  <bookViews>
    <workbookView xWindow="-42060" yWindow="375" windowWidth="25590" windowHeight="15345" xr2:uid="{1054D507-1308-4FD4-B51E-7B0D91C597A0}"/>
  </bookViews>
  <sheets>
    <sheet name="Main" sheetId="1" r:id="rId1"/>
    <sheet name="Model" sheetId="3" r:id="rId2"/>
    <sheet name="Amtagvi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22" i="3" l="1"/>
  <c r="W22" i="3" s="1"/>
  <c r="X22" i="3" s="1"/>
  <c r="Y22" i="3" s="1"/>
  <c r="Z22" i="3" s="1"/>
  <c r="V14" i="3"/>
  <c r="V15" i="3" s="1"/>
  <c r="U8" i="3"/>
  <c r="V8" i="3" s="1"/>
  <c r="U9" i="3"/>
  <c r="U10" i="3" s="1"/>
  <c r="I22" i="3"/>
  <c r="J15" i="3"/>
  <c r="I15" i="3"/>
  <c r="J10" i="3"/>
  <c r="I7" i="3"/>
  <c r="J7" i="3" s="1"/>
  <c r="H7" i="3"/>
  <c r="I10" i="3"/>
  <c r="Z5" i="3"/>
  <c r="Z9" i="3" s="1"/>
  <c r="Z7" i="3" s="1"/>
  <c r="Y5" i="3"/>
  <c r="Y9" i="3" s="1"/>
  <c r="Y7" i="3" s="1"/>
  <c r="X5" i="3"/>
  <c r="X9" i="3" s="1"/>
  <c r="X7" i="3" s="1"/>
  <c r="W5" i="3"/>
  <c r="W9" i="3" s="1"/>
  <c r="W7" i="3" s="1"/>
  <c r="U5" i="3"/>
  <c r="T5" i="3"/>
  <c r="S5" i="3"/>
  <c r="R5" i="3"/>
  <c r="Q5" i="3"/>
  <c r="P5" i="3"/>
  <c r="V5" i="3"/>
  <c r="V9" i="3" s="1"/>
  <c r="V7" i="3" s="1"/>
  <c r="T2" i="3"/>
  <c r="S2" i="3" s="1"/>
  <c r="R2" i="3" s="1"/>
  <c r="Q2" i="3" s="1"/>
  <c r="P2" i="3" s="1"/>
  <c r="W2" i="3"/>
  <c r="X2" i="3" s="1"/>
  <c r="Y2" i="3" s="1"/>
  <c r="Z2" i="3" s="1"/>
  <c r="AA2" i="3" s="1"/>
  <c r="AB2" i="3" s="1"/>
  <c r="AC2" i="3" s="1"/>
  <c r="AD2" i="3" s="1"/>
  <c r="AE2" i="3" s="1"/>
  <c r="AF2" i="3" s="1"/>
  <c r="AG2" i="3" s="1"/>
  <c r="I12" i="3" l="1"/>
  <c r="I16" i="3" s="1"/>
  <c r="I18" i="3" s="1"/>
  <c r="I20" i="3" s="1"/>
  <c r="I21" i="3" s="1"/>
  <c r="W14" i="3"/>
  <c r="W8" i="3"/>
  <c r="X8" i="3" s="1"/>
  <c r="Y8" i="3" s="1"/>
  <c r="Z8" i="3" s="1"/>
  <c r="V10" i="3"/>
  <c r="J12" i="3"/>
  <c r="J16" i="3" s="1"/>
  <c r="J18" i="3" s="1"/>
  <c r="J20" i="3" s="1"/>
  <c r="J21" i="3" s="1"/>
  <c r="W10" i="3"/>
  <c r="X10" i="3"/>
  <c r="V11" i="3"/>
  <c r="V12" i="3" s="1"/>
  <c r="V16" i="3" s="1"/>
  <c r="V18" i="3" s="1"/>
  <c r="G15" i="3"/>
  <c r="G10" i="3"/>
  <c r="G12" i="3" s="1"/>
  <c r="H15" i="3"/>
  <c r="H10" i="3"/>
  <c r="H12" i="3" s="1"/>
  <c r="I5" i="1"/>
  <c r="I4" i="1"/>
  <c r="I7" i="1" s="1"/>
  <c r="X14" i="3" l="1"/>
  <c r="W15" i="3"/>
  <c r="V19" i="3"/>
  <c r="V20" i="3" s="1"/>
  <c r="W11" i="3"/>
  <c r="W12" i="3" s="1"/>
  <c r="W16" i="3" s="1"/>
  <c r="W18" i="3" s="1"/>
  <c r="X11" i="3"/>
  <c r="X12" i="3" s="1"/>
  <c r="Z10" i="3"/>
  <c r="Y10" i="3"/>
  <c r="H16" i="3"/>
  <c r="H18" i="3" s="1"/>
  <c r="H20" i="3" s="1"/>
  <c r="H21" i="3" s="1"/>
  <c r="G16" i="3"/>
  <c r="G18" i="3" s="1"/>
  <c r="G20" i="3" s="1"/>
  <c r="G21" i="3" s="1"/>
  <c r="Y14" i="3" l="1"/>
  <c r="X15" i="3"/>
  <c r="X16" i="3" s="1"/>
  <c r="X18" i="3" s="1"/>
  <c r="X19" i="3" s="1"/>
  <c r="X20" i="3" s="1"/>
  <c r="W19" i="3"/>
  <c r="W20" i="3" s="1"/>
  <c r="W21" i="3" s="1"/>
  <c r="V21" i="3"/>
  <c r="Y11" i="3"/>
  <c r="Y12" i="3" s="1"/>
  <c r="Z11" i="3"/>
  <c r="Z12" i="3" s="1"/>
  <c r="Y15" i="3" l="1"/>
  <c r="Y16" i="3" s="1"/>
  <c r="Y18" i="3" s="1"/>
  <c r="Y19" i="3" s="1"/>
  <c r="Y20" i="3" s="1"/>
  <c r="Z14" i="3"/>
  <c r="Z15" i="3" s="1"/>
  <c r="Z16" i="3"/>
  <c r="Z18" i="3" s="1"/>
  <c r="Z19" i="3" s="1"/>
  <c r="Z20" i="3" s="1"/>
  <c r="X21" i="3"/>
  <c r="Y21" i="3" l="1"/>
  <c r="AA20" i="3"/>
  <c r="AB20" i="3" s="1"/>
  <c r="AC20" i="3" s="1"/>
  <c r="AD20" i="3" s="1"/>
  <c r="AE20" i="3" s="1"/>
  <c r="AF20" i="3" s="1"/>
  <c r="AG20" i="3" s="1"/>
  <c r="AH20" i="3" s="1"/>
  <c r="AI20" i="3" s="1"/>
  <c r="AJ20" i="3" s="1"/>
  <c r="AK20" i="3" s="1"/>
  <c r="AL20" i="3" s="1"/>
  <c r="AM20" i="3" s="1"/>
  <c r="AN20" i="3" s="1"/>
  <c r="AO20" i="3" s="1"/>
  <c r="AP20" i="3" s="1"/>
  <c r="AQ20" i="3" s="1"/>
  <c r="AR20" i="3" s="1"/>
  <c r="AS20" i="3" s="1"/>
  <c r="AT20" i="3" s="1"/>
  <c r="AU20" i="3" s="1"/>
  <c r="AV20" i="3" s="1"/>
  <c r="AW20" i="3" s="1"/>
  <c r="AX20" i="3" s="1"/>
  <c r="AY20" i="3" s="1"/>
  <c r="AZ20" i="3" s="1"/>
  <c r="BA20" i="3" s="1"/>
  <c r="BB20" i="3" s="1"/>
  <c r="BC20" i="3" s="1"/>
  <c r="BD20" i="3" s="1"/>
  <c r="BE20" i="3" s="1"/>
  <c r="BF20" i="3" s="1"/>
  <c r="BG20" i="3" s="1"/>
  <c r="BH20" i="3" s="1"/>
  <c r="BI20" i="3" s="1"/>
  <c r="BJ20" i="3" s="1"/>
  <c r="BK20" i="3" s="1"/>
  <c r="BL20" i="3" s="1"/>
  <c r="BM20" i="3" s="1"/>
  <c r="BN20" i="3" s="1"/>
  <c r="BO20" i="3" s="1"/>
  <c r="BP20" i="3" s="1"/>
  <c r="BQ20" i="3" s="1"/>
  <c r="BR20" i="3" s="1"/>
  <c r="BS20" i="3" s="1"/>
  <c r="BT20" i="3" s="1"/>
  <c r="BU20" i="3" s="1"/>
  <c r="BV20" i="3" s="1"/>
  <c r="BW20" i="3" s="1"/>
  <c r="BX20" i="3" s="1"/>
  <c r="BY20" i="3" s="1"/>
  <c r="BZ20" i="3" s="1"/>
  <c r="CA20" i="3" s="1"/>
  <c r="CB20" i="3" s="1"/>
  <c r="CC20" i="3" s="1"/>
  <c r="CD20" i="3" s="1"/>
  <c r="CE20" i="3" s="1"/>
  <c r="CF20" i="3" s="1"/>
  <c r="CG20" i="3" s="1"/>
  <c r="CH20" i="3" s="1"/>
  <c r="CI20" i="3" s="1"/>
  <c r="CJ20" i="3" s="1"/>
  <c r="CK20" i="3" s="1"/>
  <c r="CL20" i="3" s="1"/>
  <c r="CM20" i="3" s="1"/>
  <c r="CN20" i="3" s="1"/>
  <c r="CO20" i="3" s="1"/>
  <c r="CP20" i="3" s="1"/>
  <c r="CQ20" i="3" s="1"/>
  <c r="CR20" i="3" s="1"/>
  <c r="CS20" i="3" s="1"/>
  <c r="CT20" i="3" s="1"/>
  <c r="CU20" i="3" s="1"/>
  <c r="CV20" i="3" s="1"/>
  <c r="CW20" i="3" s="1"/>
  <c r="CX20" i="3" s="1"/>
  <c r="CY20" i="3" s="1"/>
  <c r="CZ20" i="3" s="1"/>
  <c r="DA20" i="3" s="1"/>
  <c r="DB20" i="3" s="1"/>
  <c r="DC20" i="3" s="1"/>
  <c r="DD20" i="3" s="1"/>
  <c r="Z21" i="3"/>
  <c r="AE25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tc={998ABA84-464F-443C-9A08-EB68E16B19E1}</author>
    <author>tc={0BB1B626-A589-4322-9A3C-20DA88170F85}</author>
  </authors>
  <commentList>
    <comment ref="H7" authorId="0" shapeId="0" xr:uid="{998ABA84-464F-443C-9A08-EB68E16B19E1}">
      <text>
        <t>[Threaded comment]
Your version of Excel allows you to read this threaded comment; however, any edits to it will get removed if the file is opened in a newer version of Excel. Learn more: https://go.microsoft.com/fwlink/?linkid=870924
Comment:
    25 in Q2</t>
      </text>
    </comment>
    <comment ref="V10" authorId="1" shapeId="0" xr:uid="{0BB1B626-A589-4322-9A3C-20DA88170F85}">
      <text>
        <t>[Threaded comment]
Your version of Excel allows you to read this threaded comment; however, any edits to it will get removed if the file is opened in a newer version of Excel. Learn more: https://go.microsoft.com/fwlink/?linkid=870924
Comment:
    Q4 guidance: 450-475m</t>
      </text>
    </comment>
  </commentList>
</comments>
</file>

<file path=xl/sharedStrings.xml><?xml version="1.0" encoding="utf-8"?>
<sst xmlns="http://schemas.openxmlformats.org/spreadsheetml/2006/main" count="114" uniqueCount="102">
  <si>
    <t>Price</t>
  </si>
  <si>
    <t>Shares</t>
  </si>
  <si>
    <t>MC</t>
  </si>
  <si>
    <t>Cash</t>
  </si>
  <si>
    <t>Debt</t>
  </si>
  <si>
    <t>EV</t>
  </si>
  <si>
    <t>PPE</t>
  </si>
  <si>
    <t>Q224</t>
  </si>
  <si>
    <t>Brand</t>
  </si>
  <si>
    <t>Amtagvi</t>
  </si>
  <si>
    <t>Amtagvi (lifileucel)</t>
  </si>
  <si>
    <t>Indication</t>
  </si>
  <si>
    <t>Approval</t>
  </si>
  <si>
    <t>MOA</t>
  </si>
  <si>
    <t>Autologous</t>
  </si>
  <si>
    <t>2L+ Metastatic Melanoma</t>
  </si>
  <si>
    <t>Main</t>
  </si>
  <si>
    <t>Regimen</t>
  </si>
  <si>
    <t>CD4+ CD8+ T cells based on resected tumor</t>
  </si>
  <si>
    <t>Clinical Trials</t>
  </si>
  <si>
    <t>n=82 per protocol</t>
  </si>
  <si>
    <t>Manufacturing</t>
  </si>
  <si>
    <t>32% RR, 4% CR</t>
  </si>
  <si>
    <t>56% of responders &gt;6 months</t>
  </si>
  <si>
    <t>44% of responders &gt;12 months</t>
  </si>
  <si>
    <t>CEO: Fred Vogt</t>
  </si>
  <si>
    <t>Proleukin</t>
  </si>
  <si>
    <t>Phase III TILVANCE-301</t>
  </si>
  <si>
    <t>Revenue</t>
  </si>
  <si>
    <t>Q123</t>
  </si>
  <si>
    <t>Q223</t>
  </si>
  <si>
    <t>Q323</t>
  </si>
  <si>
    <t>Q423</t>
  </si>
  <si>
    <t>Q124</t>
  </si>
  <si>
    <t>Q324</t>
  </si>
  <si>
    <t>Q424</t>
  </si>
  <si>
    <t>Gross Margin</t>
  </si>
  <si>
    <t>COGS</t>
  </si>
  <si>
    <t>R&amp;D</t>
  </si>
  <si>
    <t>SG&amp;A</t>
  </si>
  <si>
    <t>Operating Expenses</t>
  </si>
  <si>
    <t>Operating Income</t>
  </si>
  <si>
    <t>Interest</t>
  </si>
  <si>
    <t>Pretax Income</t>
  </si>
  <si>
    <t>Taxes</t>
  </si>
  <si>
    <t>Net Income</t>
  </si>
  <si>
    <t>EPS</t>
  </si>
  <si>
    <t>22-day manufacturing process, 34 days for delivery</t>
  </si>
  <si>
    <t>Primary Endpoint: ORR</t>
  </si>
  <si>
    <t>n=66 mean 3.3 prior therapies</t>
  </si>
  <si>
    <t xml:space="preserve">  36% ORR (2 CR, 22 PR)</t>
  </si>
  <si>
    <t xml:space="preserve">  80% DCR</t>
  </si>
  <si>
    <t xml:space="preserve">    mDOR &gt;18.7months</t>
  </si>
  <si>
    <t>Metastatic Melanoma</t>
  </si>
  <si>
    <t xml:space="preserve">  PD-1 refractory cohort 41% ORR, 81% DCR (40-65% of patients have primary resistance of PD-1)</t>
  </si>
  <si>
    <t>tumor resection followed by ex vivo expansion</t>
  </si>
  <si>
    <t>Generic</t>
  </si>
  <si>
    <t>lifileucel</t>
  </si>
  <si>
    <t>Amtagvi, LN-144</t>
  </si>
  <si>
    <t>Phase II n=111 3L+ metastatic melanoma - NCT02360579</t>
  </si>
  <si>
    <t>Gen 1 vs. Gen 2</t>
  </si>
  <si>
    <t>Study start: 9/2015, n=178; 4 cohorts, Gen 1, Gen 2, retreatment, Gen2 (open)</t>
  </si>
  <si>
    <t xml:space="preserve">  4/2017-1/2019 - cohort 2? At 26 sites</t>
  </si>
  <si>
    <t>Single infusion of 1-150 10^9 lifileucel after cyclophosphamide, fludarabine. 6 doses of high-dose IL-2 after.</t>
  </si>
  <si>
    <t>$515,000 price.</t>
  </si>
  <si>
    <t>Amtagvi Price</t>
  </si>
  <si>
    <t>Phase III "KEYNOTE-006" - pembrolizumab (Keytruda, MRK) vs ipilimumab (Yervoy, BMY)</t>
  </si>
  <si>
    <t>median OS for ipilimumab 15.9 months</t>
  </si>
  <si>
    <t>median OS for pembro 32.7 months, mPFS 9.4 months</t>
  </si>
  <si>
    <t>Available for Treatment</t>
  </si>
  <si>
    <t>Market Share</t>
  </si>
  <si>
    <t>Patients</t>
  </si>
  <si>
    <t>Maturity</t>
  </si>
  <si>
    <t>ROIC</t>
  </si>
  <si>
    <t>Discount</t>
  </si>
  <si>
    <t>NPV</t>
  </si>
  <si>
    <t>Phase II "IOV-COM-202" - 1L with Checkpoint</t>
  </si>
  <si>
    <t>Complete enrollment with data in 2025, BLA in 2026</t>
  </si>
  <si>
    <t>Phase II "IOV-END-201" endometrial cancer</t>
  </si>
  <si>
    <t>IOV-4001</t>
  </si>
  <si>
    <t>PD-1 inactivated TIL</t>
  </si>
  <si>
    <t>Melanoma</t>
  </si>
  <si>
    <t>I</t>
  </si>
  <si>
    <t>Phase</t>
  </si>
  <si>
    <t>IOV-3001</t>
  </si>
  <si>
    <t>IL-2</t>
  </si>
  <si>
    <t>IOV-5001</t>
  </si>
  <si>
    <t>IL-12 cell therapy</t>
  </si>
  <si>
    <t>Regulatory</t>
  </si>
  <si>
    <t>6/28/24 BLA submitted</t>
  </si>
  <si>
    <t>2/16/24 FDA approval</t>
  </si>
  <si>
    <t>Cohort A 30% CR, 65% ORR</t>
  </si>
  <si>
    <t>partial clinical hold</t>
  </si>
  <si>
    <t>LN-145 used?</t>
  </si>
  <si>
    <t>Phase II "IOV-LUN-202" n=120 post-anti-PD-1 NSCLC</t>
  </si>
  <si>
    <t xml:space="preserve">ramucirumab </t>
  </si>
  <si>
    <t>nintedanib</t>
  </si>
  <si>
    <t>n=23 26% ORR</t>
  </si>
  <si>
    <t>Q125</t>
  </si>
  <si>
    <t>Q225</t>
  </si>
  <si>
    <t>Q325</t>
  </si>
  <si>
    <t>Q425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</si>
</sst>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right"/>
    </xf>
    <xf numFmtId="3" fontId="0" fillId="0" borderId="0" xfId="0" applyNumberFormat="1"/>
    <xf numFmtId="0" fontId="1" fillId="0" borderId="0" xfId="0" applyFont="1"/>
    <xf numFmtId="0" fontId="3" fillId="0" borderId="0" xfId="0" applyFont="1"/>
    <xf numFmtId="0" fontId="1" fillId="0" borderId="0" xfId="0" applyFont="1" applyAlignment="1">
      <alignment horizontal="right"/>
    </xf>
    <xf numFmtId="4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3" fontId="1" fillId="0" borderId="0" xfId="0" applyNumberFormat="1" applyFont="1" applyAlignment="1">
      <alignment horizontal="right"/>
    </xf>
    <xf numFmtId="0" fontId="2" fillId="0" borderId="0" xfId="1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2" fillId="0" borderId="1" xfId="1" applyBorder="1"/>
    <xf numFmtId="4" fontId="0" fillId="0" borderId="0" xfId="0" applyNumberFormat="1"/>
    <xf numFmtId="9" fontId="0" fillId="0" borderId="0" xfId="0" applyNumberFormat="1"/>
    <xf numFmtId="3" fontId="1" fillId="0" borderId="0" xfId="0" applyNumberFormat="1" applyFont="1"/>
    <xf numFmtId="0" fontId="0" fillId="2" borderId="0" xfId="0" applyFill="1" applyAlignment="1">
      <alignment horizontal="right"/>
    </xf>
    <xf numFmtId="3" fontId="0" fillId="2" borderId="0" xfId="0" applyNumberFormat="1" applyFill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399375F4-9BBE-4C68-8DB1-75A9293DDFFD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47624</xdr:colOff>
      <xdr:row>0</xdr:row>
      <xdr:rowOff>23812</xdr:rowOff>
    </xdr:from>
    <xdr:to>
      <xdr:col>8</xdr:col>
      <xdr:colOff>47624</xdr:colOff>
      <xdr:row>35</xdr:row>
      <xdr:rowOff>11906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4C271BA2-28CE-86CB-6E72-AC6A317526DE}"/>
            </a:ext>
          </a:extLst>
        </xdr:cNvPr>
        <xdr:cNvCxnSpPr/>
      </xdr:nvCxnSpPr>
      <xdr:spPr>
        <a:xfrm>
          <a:off x="5405437" y="23812"/>
          <a:ext cx="0" cy="5613797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57150</xdr:colOff>
      <xdr:row>0</xdr:row>
      <xdr:rowOff>0</xdr:rowOff>
    </xdr:from>
    <xdr:to>
      <xdr:col>21</xdr:col>
      <xdr:colOff>57150</xdr:colOff>
      <xdr:row>34</xdr:row>
      <xdr:rowOff>148828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BC35277-3BC7-41B8-897D-DE0040008A13}"/>
            </a:ext>
          </a:extLst>
        </xdr:cNvPr>
        <xdr:cNvCxnSpPr/>
      </xdr:nvCxnSpPr>
      <xdr:spPr>
        <a:xfrm>
          <a:off x="10879931" y="0"/>
          <a:ext cx="0" cy="5613797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190499</xdr:colOff>
      <xdr:row>30</xdr:row>
      <xdr:rowOff>29321</xdr:rowOff>
    </xdr:from>
    <xdr:to>
      <xdr:col>13</xdr:col>
      <xdr:colOff>174687</xdr:colOff>
      <xdr:row>46</xdr:row>
      <xdr:rowOff>108239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36D80B1-11AF-2016-E865-C52B235FEE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39765" y="4369149"/>
          <a:ext cx="5008625" cy="2650668"/>
        </a:xfrm>
        <a:prstGeom prst="rect">
          <a:avLst/>
        </a:prstGeom>
      </xdr:spPr>
    </xdr:pic>
    <xdr:clientData/>
  </xdr:twoCellAnchor>
  <xdr:twoCellAnchor editAs="oneCell">
    <xdr:from>
      <xdr:col>2</xdr:col>
      <xdr:colOff>33363</xdr:colOff>
      <xdr:row>60</xdr:row>
      <xdr:rowOff>142876</xdr:rowOff>
    </xdr:from>
    <xdr:to>
      <xdr:col>12</xdr:col>
      <xdr:colOff>36196</xdr:colOff>
      <xdr:row>94</xdr:row>
      <xdr:rowOff>127532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418034E-391A-B85E-FA02-139A768B4F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53754" y="8822532"/>
          <a:ext cx="6848926" cy="5449624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7751D084-A6E8-45AD-80D5-700049C57ECD}" userId="9ffda80931a57275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7" dT="2024-08-21T17:47:34.72" personId="{7751D084-A6E8-45AD-80D5-700049C57ECD}" id="{998ABA84-464F-443C-9A08-EB68E16B19E1}">
    <text>25 in Q2</text>
  </threadedComment>
  <threadedComment ref="V10" dT="2025-03-03T17:24:35.02" personId="{7751D084-A6E8-45AD-80D5-700049C57ECD}" id="{0BB1B626-A589-4322-9A3C-20DA88170F85}">
    <text>Q4 guidance: 450-475m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DDB4A-E1A7-46DA-B6C4-44E49BB99810}">
  <dimension ref="B2:J11"/>
  <sheetViews>
    <sheetView tabSelected="1" zoomScale="190" zoomScaleNormal="190" workbookViewId="0">
      <selection activeCell="J8" sqref="J8"/>
    </sheetView>
  </sheetViews>
  <sheetFormatPr defaultRowHeight="12.75" x14ac:dyDescent="0.2"/>
  <cols>
    <col min="1" max="1" width="3.85546875" customWidth="1"/>
    <col min="2" max="2" width="17.85546875" customWidth="1"/>
    <col min="3" max="3" width="23.140625" customWidth="1"/>
    <col min="4" max="4" width="11" customWidth="1"/>
    <col min="5" max="5" width="11.28515625" customWidth="1"/>
  </cols>
  <sheetData>
    <row r="2" spans="2:10" x14ac:dyDescent="0.2">
      <c r="B2" s="13" t="s">
        <v>8</v>
      </c>
      <c r="C2" s="14" t="s">
        <v>11</v>
      </c>
      <c r="D2" s="15" t="s">
        <v>12</v>
      </c>
      <c r="E2" s="15" t="s">
        <v>13</v>
      </c>
      <c r="F2" s="16"/>
      <c r="H2" t="s">
        <v>0</v>
      </c>
      <c r="I2" s="23">
        <v>4.05</v>
      </c>
    </row>
    <row r="3" spans="2:10" x14ac:dyDescent="0.2">
      <c r="B3" s="22" t="s">
        <v>10</v>
      </c>
      <c r="C3" t="s">
        <v>15</v>
      </c>
      <c r="D3" s="17">
        <v>45338</v>
      </c>
      <c r="E3" s="18" t="s">
        <v>14</v>
      </c>
      <c r="F3" s="19"/>
      <c r="H3" t="s">
        <v>1</v>
      </c>
      <c r="I3" s="2">
        <v>303.51387199999999</v>
      </c>
      <c r="J3" s="1" t="s">
        <v>7</v>
      </c>
    </row>
    <row r="4" spans="2:10" x14ac:dyDescent="0.2">
      <c r="B4" s="10" t="s">
        <v>26</v>
      </c>
      <c r="D4" s="18"/>
      <c r="E4" s="18"/>
      <c r="F4" s="19"/>
      <c r="H4" t="s">
        <v>2</v>
      </c>
      <c r="I4" s="2">
        <f>+I2*I3</f>
        <v>1229.2311815999999</v>
      </c>
    </row>
    <row r="5" spans="2:10" x14ac:dyDescent="0.2">
      <c r="B5" s="13"/>
      <c r="C5" s="14"/>
      <c r="D5" s="15" t="s">
        <v>83</v>
      </c>
      <c r="E5" s="15"/>
      <c r="F5" s="16"/>
      <c r="H5" t="s">
        <v>3</v>
      </c>
      <c r="I5" s="2">
        <f>228.678+183.864+0.074+6.356</f>
        <v>418.97200000000004</v>
      </c>
      <c r="J5" s="1" t="s">
        <v>7</v>
      </c>
    </row>
    <row r="6" spans="2:10" x14ac:dyDescent="0.2">
      <c r="B6" s="10" t="s">
        <v>79</v>
      </c>
      <c r="C6" t="s">
        <v>81</v>
      </c>
      <c r="D6" s="18" t="s">
        <v>82</v>
      </c>
      <c r="E6" s="18" t="s">
        <v>80</v>
      </c>
      <c r="F6" s="19"/>
      <c r="H6" t="s">
        <v>4</v>
      </c>
      <c r="I6" s="2">
        <v>1</v>
      </c>
      <c r="J6" s="1" t="s">
        <v>7</v>
      </c>
    </row>
    <row r="7" spans="2:10" x14ac:dyDescent="0.2">
      <c r="B7" s="10" t="s">
        <v>86</v>
      </c>
      <c r="D7" s="18"/>
      <c r="E7" s="18" t="s">
        <v>87</v>
      </c>
      <c r="F7" s="19"/>
      <c r="H7" t="s">
        <v>5</v>
      </c>
      <c r="I7" s="2">
        <f>+I4-I5+I6</f>
        <v>811.25918159999992</v>
      </c>
    </row>
    <row r="8" spans="2:10" x14ac:dyDescent="0.2">
      <c r="B8" s="11" t="s">
        <v>84</v>
      </c>
      <c r="C8" s="12"/>
      <c r="D8" s="20"/>
      <c r="E8" s="20" t="s">
        <v>85</v>
      </c>
      <c r="F8" s="21"/>
    </row>
    <row r="9" spans="2:10" x14ac:dyDescent="0.2">
      <c r="H9" t="s">
        <v>6</v>
      </c>
      <c r="I9" s="2">
        <v>110.96</v>
      </c>
      <c r="J9" s="1" t="s">
        <v>7</v>
      </c>
    </row>
    <row r="11" spans="2:10" x14ac:dyDescent="0.2">
      <c r="H11" t="s">
        <v>25</v>
      </c>
    </row>
  </sheetData>
  <hyperlinks>
    <hyperlink ref="B3" location="Amtagvi!A1" display="Amtagvi (lifileucel)" xr:uid="{8A86AA0A-DFA2-498B-8396-E75FE143947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D409-040D-4731-9469-9E62BEA01EC6}">
  <dimension ref="A1:DD25"/>
  <sheetViews>
    <sheetView zoomScale="265" zoomScaleNormal="265" workbookViewId="0">
      <pane xSplit="2" ySplit="2" topLeftCell="T3" activePane="bottomRight" state="frozen"/>
      <selection pane="topRight" activeCell="C1" sqref="C1"/>
      <selection pane="bottomLeft" activeCell="A3" sqref="A3"/>
      <selection pane="bottomRight" activeCell="U10" sqref="U10"/>
    </sheetView>
  </sheetViews>
  <sheetFormatPr defaultRowHeight="12.75" x14ac:dyDescent="0.2"/>
  <cols>
    <col min="1" max="1" width="5" bestFit="1" customWidth="1"/>
    <col min="2" max="2" width="20.7109375" customWidth="1"/>
    <col min="3" max="14" width="9.140625" style="1"/>
    <col min="31" max="31" width="10" bestFit="1" customWidth="1"/>
  </cols>
  <sheetData>
    <row r="1" spans="1:33" x14ac:dyDescent="0.2">
      <c r="A1" s="9" t="s">
        <v>16</v>
      </c>
    </row>
    <row r="2" spans="1:33" x14ac:dyDescent="0.2">
      <c r="C2" s="1" t="s">
        <v>29</v>
      </c>
      <c r="D2" s="1" t="s">
        <v>30</v>
      </c>
      <c r="E2" s="1" t="s">
        <v>31</v>
      </c>
      <c r="F2" s="1" t="s">
        <v>32</v>
      </c>
      <c r="G2" s="1" t="s">
        <v>33</v>
      </c>
      <c r="H2" s="1" t="s">
        <v>7</v>
      </c>
      <c r="I2" s="1" t="s">
        <v>34</v>
      </c>
      <c r="J2" s="1" t="s">
        <v>35</v>
      </c>
      <c r="K2" s="1" t="s">
        <v>98</v>
      </c>
      <c r="L2" s="1" t="s">
        <v>99</v>
      </c>
      <c r="M2" s="1" t="s">
        <v>100</v>
      </c>
      <c r="N2" s="1" t="s">
        <v>101</v>
      </c>
      <c r="P2">
        <f t="shared" ref="P2:S2" si="0">+Q2-1</f>
        <v>2019</v>
      </c>
      <c r="Q2">
        <f t="shared" si="0"/>
        <v>2020</v>
      </c>
      <c r="R2">
        <f t="shared" si="0"/>
        <v>2021</v>
      </c>
      <c r="S2">
        <f t="shared" si="0"/>
        <v>2022</v>
      </c>
      <c r="T2">
        <f>+U2-1</f>
        <v>2023</v>
      </c>
      <c r="U2">
        <v>2024</v>
      </c>
      <c r="V2">
        <v>2025</v>
      </c>
      <c r="W2">
        <f>+V2+1</f>
        <v>2026</v>
      </c>
      <c r="X2">
        <f t="shared" ref="X2:AG2" si="1">+W2+1</f>
        <v>2027</v>
      </c>
      <c r="Y2">
        <f t="shared" si="1"/>
        <v>2028</v>
      </c>
      <c r="Z2">
        <f t="shared" si="1"/>
        <v>2029</v>
      </c>
      <c r="AA2">
        <f t="shared" si="1"/>
        <v>2030</v>
      </c>
      <c r="AB2">
        <f t="shared" si="1"/>
        <v>2031</v>
      </c>
      <c r="AC2">
        <f t="shared" si="1"/>
        <v>2032</v>
      </c>
      <c r="AD2">
        <f t="shared" si="1"/>
        <v>2033</v>
      </c>
      <c r="AE2">
        <f t="shared" si="1"/>
        <v>2034</v>
      </c>
      <c r="AF2">
        <f t="shared" si="1"/>
        <v>2035</v>
      </c>
      <c r="AG2">
        <f t="shared" si="1"/>
        <v>2036</v>
      </c>
    </row>
    <row r="3" spans="1:33" x14ac:dyDescent="0.2">
      <c r="B3" t="s">
        <v>65</v>
      </c>
      <c r="G3" s="1">
        <v>0.51500000000000001</v>
      </c>
      <c r="H3" s="1">
        <v>0.51500000000000001</v>
      </c>
      <c r="I3" s="1">
        <v>0.51500000000000001</v>
      </c>
      <c r="J3" s="1">
        <v>0.51500000000000001</v>
      </c>
      <c r="V3">
        <v>0.51500000000000001</v>
      </c>
      <c r="W3">
        <v>0.51500000000000001</v>
      </c>
      <c r="X3">
        <v>0.51500000000000001</v>
      </c>
      <c r="Y3">
        <v>0.51500000000000001</v>
      </c>
      <c r="Z3">
        <v>0.51500000000000001</v>
      </c>
    </row>
    <row r="4" spans="1:33" x14ac:dyDescent="0.2">
      <c r="B4" t="s">
        <v>53</v>
      </c>
      <c r="P4" s="2">
        <v>3500</v>
      </c>
      <c r="Q4" s="2">
        <v>3500</v>
      </c>
      <c r="R4" s="2">
        <v>3500</v>
      </c>
      <c r="S4" s="2">
        <v>3500</v>
      </c>
      <c r="T4" s="2">
        <v>3500</v>
      </c>
      <c r="U4" s="2">
        <v>3500</v>
      </c>
      <c r="V4" s="2">
        <v>3500</v>
      </c>
      <c r="W4" s="2">
        <v>5000</v>
      </c>
      <c r="X4" s="2">
        <v>5000</v>
      </c>
      <c r="Y4" s="2">
        <v>5000</v>
      </c>
      <c r="Z4" s="2">
        <v>5000</v>
      </c>
    </row>
    <row r="5" spans="1:33" x14ac:dyDescent="0.2">
      <c r="B5" t="s">
        <v>69</v>
      </c>
      <c r="P5" s="2">
        <f t="shared" ref="P5:U5" si="2">+P4*0.5</f>
        <v>1750</v>
      </c>
      <c r="Q5" s="2">
        <f t="shared" si="2"/>
        <v>1750</v>
      </c>
      <c r="R5" s="2">
        <f t="shared" si="2"/>
        <v>1750</v>
      </c>
      <c r="S5" s="2">
        <f t="shared" si="2"/>
        <v>1750</v>
      </c>
      <c r="T5" s="2">
        <f t="shared" si="2"/>
        <v>1750</v>
      </c>
      <c r="U5" s="2">
        <f t="shared" si="2"/>
        <v>1750</v>
      </c>
      <c r="V5" s="2">
        <f>+V4*0.5</f>
        <v>1750</v>
      </c>
      <c r="W5" s="2">
        <f>+W4*0.5</f>
        <v>2500</v>
      </c>
      <c r="X5" s="2">
        <f>+X4*0.5</f>
        <v>2500</v>
      </c>
      <c r="Y5" s="2">
        <f>+Y4*0.5</f>
        <v>2500</v>
      </c>
      <c r="Z5" s="2">
        <f>+Z4*0.5</f>
        <v>2500</v>
      </c>
    </row>
    <row r="6" spans="1:33" x14ac:dyDescent="0.2">
      <c r="B6" t="s">
        <v>70</v>
      </c>
      <c r="V6" s="24">
        <v>0.4</v>
      </c>
      <c r="W6" s="24">
        <v>0.5</v>
      </c>
      <c r="X6" s="24">
        <v>0.6</v>
      </c>
      <c r="Y6" s="24">
        <v>0.65</v>
      </c>
      <c r="Z6" s="24">
        <v>0.7</v>
      </c>
    </row>
    <row r="7" spans="1:33" x14ac:dyDescent="0.2">
      <c r="B7" t="s">
        <v>71</v>
      </c>
      <c r="H7" s="7">
        <f>+H9/H3</f>
        <v>24.854368932038835</v>
      </c>
      <c r="I7" s="7">
        <f>+I9/I3</f>
        <v>78.834951456310677</v>
      </c>
      <c r="J7" s="7">
        <f>+I7+50</f>
        <v>128.83495145631068</v>
      </c>
      <c r="K7" s="7"/>
      <c r="L7" s="7"/>
      <c r="M7" s="7"/>
      <c r="N7" s="7"/>
      <c r="V7" s="2">
        <f>+V9/V3</f>
        <v>700</v>
      </c>
      <c r="W7" s="2">
        <f>+W9/W3</f>
        <v>1250</v>
      </c>
      <c r="X7" s="2">
        <f>+X9/X3</f>
        <v>1500</v>
      </c>
      <c r="Y7" s="2">
        <f>+Y9/Y3</f>
        <v>1625</v>
      </c>
      <c r="Z7" s="2">
        <f>+Z9/Z3</f>
        <v>1749.9999999999998</v>
      </c>
    </row>
    <row r="8" spans="1:33" x14ac:dyDescent="0.2">
      <c r="B8" t="s">
        <v>26</v>
      </c>
      <c r="G8" s="7">
        <v>0.71499999999999997</v>
      </c>
      <c r="H8" s="7">
        <v>18.3</v>
      </c>
      <c r="I8" s="1">
        <v>18</v>
      </c>
      <c r="J8" s="1">
        <v>25</v>
      </c>
      <c r="U8" s="2">
        <f>SUM(G8:J8)</f>
        <v>62.015000000000001</v>
      </c>
      <c r="V8" s="2">
        <f>+U8*2</f>
        <v>124.03</v>
      </c>
      <c r="W8" s="2">
        <f>+V8*1.05</f>
        <v>130.23150000000001</v>
      </c>
      <c r="X8" s="2">
        <f>+W8*1.05</f>
        <v>136.743075</v>
      </c>
      <c r="Y8" s="2">
        <f>+X8*1.05</f>
        <v>143.58022875</v>
      </c>
      <c r="Z8" s="2">
        <f>+Y8*1.05</f>
        <v>150.75924018750001</v>
      </c>
    </row>
    <row r="9" spans="1:33" x14ac:dyDescent="0.2">
      <c r="B9" t="s">
        <v>9</v>
      </c>
      <c r="G9" s="26">
        <v>0</v>
      </c>
      <c r="H9" s="27">
        <v>12.8</v>
      </c>
      <c r="I9" s="27">
        <v>40.6</v>
      </c>
      <c r="J9" s="27">
        <v>49</v>
      </c>
      <c r="K9" s="7"/>
      <c r="L9" s="7"/>
      <c r="M9" s="7"/>
      <c r="N9" s="7"/>
      <c r="U9" s="2">
        <f>SUM(G9:J9)</f>
        <v>102.4</v>
      </c>
      <c r="V9" s="2">
        <f>+V5*V3*V6</f>
        <v>360.5</v>
      </c>
      <c r="W9" s="2">
        <f>+W5*W3*W6</f>
        <v>643.75</v>
      </c>
      <c r="X9" s="2">
        <f>+X5*X3*X6</f>
        <v>772.5</v>
      </c>
      <c r="Y9" s="2">
        <f>+Y5*Y3*Y6</f>
        <v>836.875</v>
      </c>
      <c r="Z9" s="2">
        <f>+Z5*Z3*Z6</f>
        <v>901.24999999999989</v>
      </c>
    </row>
    <row r="10" spans="1:33" s="3" customFormat="1" x14ac:dyDescent="0.2">
      <c r="B10" s="3" t="s">
        <v>28</v>
      </c>
      <c r="C10" s="5"/>
      <c r="D10" s="5"/>
      <c r="E10" s="5"/>
      <c r="F10" s="5"/>
      <c r="G10" s="8">
        <f>+G9+G8</f>
        <v>0.71499999999999997</v>
      </c>
      <c r="H10" s="8">
        <f>+H9+H8</f>
        <v>31.1</v>
      </c>
      <c r="I10" s="8">
        <f>+I9+I8</f>
        <v>58.6</v>
      </c>
      <c r="J10" s="8">
        <f>+J9+J8</f>
        <v>74</v>
      </c>
      <c r="K10" s="8"/>
      <c r="L10" s="8"/>
      <c r="M10" s="8"/>
      <c r="N10" s="8"/>
      <c r="U10" s="25">
        <f t="shared" ref="U10:Z10" si="3">+U8+U9</f>
        <v>164.41500000000002</v>
      </c>
      <c r="V10" s="25">
        <f t="shared" si="3"/>
        <v>484.53</v>
      </c>
      <c r="W10" s="25">
        <f t="shared" si="3"/>
        <v>773.98149999999998</v>
      </c>
      <c r="X10" s="25">
        <f t="shared" si="3"/>
        <v>909.24307499999998</v>
      </c>
      <c r="Y10" s="25">
        <f t="shared" si="3"/>
        <v>980.45522875000006</v>
      </c>
      <c r="Z10" s="25">
        <f t="shared" si="3"/>
        <v>1052.0092401874999</v>
      </c>
    </row>
    <row r="11" spans="1:33" x14ac:dyDescent="0.2">
      <c r="B11" t="s">
        <v>37</v>
      </c>
      <c r="G11" s="7">
        <v>7.2610000000000001</v>
      </c>
      <c r="H11" s="7">
        <v>31.367999999999999</v>
      </c>
      <c r="I11" s="7">
        <v>39.823</v>
      </c>
      <c r="J11" s="7">
        <v>45.542999999999999</v>
      </c>
      <c r="K11" s="7"/>
      <c r="L11" s="7"/>
      <c r="M11" s="7"/>
      <c r="N11" s="7"/>
      <c r="V11" s="2">
        <f>+V10*0.25</f>
        <v>121.13249999999999</v>
      </c>
      <c r="W11" s="2">
        <f>+W10*0.25</f>
        <v>193.495375</v>
      </c>
      <c r="X11" s="2">
        <f>+X10*0.25</f>
        <v>227.31076874999999</v>
      </c>
      <c r="Y11" s="2">
        <f>+Y10*0.25</f>
        <v>245.11380718750002</v>
      </c>
      <c r="Z11" s="2">
        <f>+Z10*0.25</f>
        <v>263.00231004687498</v>
      </c>
    </row>
    <row r="12" spans="1:33" x14ac:dyDescent="0.2">
      <c r="B12" t="s">
        <v>36</v>
      </c>
      <c r="G12" s="7">
        <f>+G10-G11</f>
        <v>-6.5460000000000003</v>
      </c>
      <c r="H12" s="7">
        <f>+H10-H11</f>
        <v>-0.26799999999999713</v>
      </c>
      <c r="I12" s="7">
        <f>+I10-I11</f>
        <v>18.777000000000001</v>
      </c>
      <c r="J12" s="7">
        <f>+J10-J11</f>
        <v>28.457000000000001</v>
      </c>
      <c r="K12" s="7"/>
      <c r="L12" s="7"/>
      <c r="M12" s="7"/>
      <c r="N12" s="7"/>
      <c r="V12" s="2">
        <f>+V10-V11</f>
        <v>363.39749999999998</v>
      </c>
      <c r="W12" s="2">
        <f>+W10-W11</f>
        <v>580.48612500000002</v>
      </c>
      <c r="X12" s="2">
        <f>+X10-X11</f>
        <v>681.93230625000001</v>
      </c>
      <c r="Y12" s="2">
        <f>+Y10-Y11</f>
        <v>735.34142156250005</v>
      </c>
      <c r="Z12" s="2">
        <f>+Z10-Z11</f>
        <v>789.00693014062495</v>
      </c>
    </row>
    <row r="13" spans="1:33" x14ac:dyDescent="0.2">
      <c r="B13" t="s">
        <v>38</v>
      </c>
      <c r="G13" s="7">
        <v>79.783000000000001</v>
      </c>
      <c r="H13" s="7">
        <v>62.084000000000003</v>
      </c>
      <c r="I13" s="7">
        <v>68.245000000000005</v>
      </c>
      <c r="J13" s="7">
        <v>72.224000000000004</v>
      </c>
      <c r="K13" s="7"/>
      <c r="L13" s="7"/>
      <c r="M13" s="7"/>
      <c r="N13" s="7"/>
    </row>
    <row r="14" spans="1:33" x14ac:dyDescent="0.2">
      <c r="B14" t="s">
        <v>39</v>
      </c>
      <c r="G14" s="7">
        <v>31.393000000000001</v>
      </c>
      <c r="H14" s="7">
        <v>31.367999999999999</v>
      </c>
      <c r="I14" s="7">
        <v>39.552999999999997</v>
      </c>
      <c r="J14" s="7">
        <v>42.503</v>
      </c>
      <c r="K14" s="7"/>
      <c r="L14" s="7"/>
      <c r="M14" s="7"/>
      <c r="N14" s="7"/>
      <c r="V14" s="2">
        <f>SUM(G14:J14)</f>
        <v>144.81700000000001</v>
      </c>
      <c r="W14" s="2">
        <f>+V14</f>
        <v>144.81700000000001</v>
      </c>
      <c r="X14" s="2">
        <f>+W14</f>
        <v>144.81700000000001</v>
      </c>
      <c r="Y14" s="2">
        <f>+X14</f>
        <v>144.81700000000001</v>
      </c>
      <c r="Z14" s="2">
        <f>+Y14</f>
        <v>144.81700000000001</v>
      </c>
    </row>
    <row r="15" spans="1:33" x14ac:dyDescent="0.2">
      <c r="B15" t="s">
        <v>40</v>
      </c>
      <c r="G15" s="7">
        <f>+G13+G14</f>
        <v>111.176</v>
      </c>
      <c r="H15" s="7">
        <f>+H13+H14</f>
        <v>93.451999999999998</v>
      </c>
      <c r="I15" s="7">
        <f>+I13+I14</f>
        <v>107.798</v>
      </c>
      <c r="J15" s="7">
        <f>+J13+J14</f>
        <v>114.727</v>
      </c>
      <c r="K15" s="7"/>
      <c r="L15" s="7"/>
      <c r="M15" s="7"/>
      <c r="N15" s="7"/>
      <c r="V15" s="2">
        <f>+V14+V13</f>
        <v>144.81700000000001</v>
      </c>
      <c r="W15" s="2">
        <f>+W14+W13</f>
        <v>144.81700000000001</v>
      </c>
      <c r="X15" s="2">
        <f>+X14+X13</f>
        <v>144.81700000000001</v>
      </c>
      <c r="Y15" s="2">
        <f>+Y14+Y13</f>
        <v>144.81700000000001</v>
      </c>
      <c r="Z15" s="2">
        <f>+Z14+Z13</f>
        <v>144.81700000000001</v>
      </c>
    </row>
    <row r="16" spans="1:33" x14ac:dyDescent="0.2">
      <c r="B16" t="s">
        <v>41</v>
      </c>
      <c r="G16" s="7">
        <f>+G12-G15</f>
        <v>-117.72200000000001</v>
      </c>
      <c r="H16" s="7">
        <f>+H12-H15</f>
        <v>-93.72</v>
      </c>
      <c r="I16" s="7">
        <f>+I12-I15</f>
        <v>-89.021000000000001</v>
      </c>
      <c r="J16" s="7">
        <f>+J12-J15</f>
        <v>-86.27000000000001</v>
      </c>
      <c r="K16" s="7"/>
      <c r="L16" s="7"/>
      <c r="M16" s="7"/>
      <c r="N16" s="7"/>
      <c r="V16" s="2">
        <f>+V12-V15</f>
        <v>218.58049999999997</v>
      </c>
      <c r="W16" s="2">
        <f>+W12-W15</f>
        <v>435.66912500000001</v>
      </c>
      <c r="X16" s="2">
        <f>+X12-X15</f>
        <v>537.11530625</v>
      </c>
      <c r="Y16" s="2">
        <f>+Y12-Y15</f>
        <v>590.52442156250004</v>
      </c>
      <c r="Z16" s="2">
        <f>+Z12-Z15</f>
        <v>644.18993014062494</v>
      </c>
    </row>
    <row r="17" spans="2:108" x14ac:dyDescent="0.2">
      <c r="B17" t="s">
        <v>42</v>
      </c>
      <c r="G17" s="7">
        <v>3.3380000000000001</v>
      </c>
      <c r="H17" s="7">
        <v>3.355</v>
      </c>
      <c r="J17" s="7">
        <v>9.5749999999999993</v>
      </c>
      <c r="K17" s="7"/>
      <c r="L17" s="7"/>
      <c r="M17" s="7"/>
      <c r="N17" s="7"/>
    </row>
    <row r="18" spans="2:108" x14ac:dyDescent="0.2">
      <c r="B18" t="s">
        <v>43</v>
      </c>
      <c r="G18" s="7">
        <f>+G16+G17</f>
        <v>-114.38400000000001</v>
      </c>
      <c r="H18" s="7">
        <f>+H16+H17</f>
        <v>-90.364999999999995</v>
      </c>
      <c r="I18" s="7">
        <f>+I16+I17</f>
        <v>-89.021000000000001</v>
      </c>
      <c r="J18" s="7">
        <f>+J16+J17</f>
        <v>-76.695000000000007</v>
      </c>
      <c r="K18" s="7"/>
      <c r="L18" s="7"/>
      <c r="M18" s="7"/>
      <c r="N18" s="7"/>
      <c r="V18" s="2">
        <f>+V16+V17</f>
        <v>218.58049999999997</v>
      </c>
      <c r="W18" s="2">
        <f>+W16+W17</f>
        <v>435.66912500000001</v>
      </c>
      <c r="X18" s="2">
        <f>+X16+X17</f>
        <v>537.11530625</v>
      </c>
      <c r="Y18" s="2">
        <f>+Y16+Y17</f>
        <v>590.52442156250004</v>
      </c>
      <c r="Z18" s="2">
        <f>+Z16+Z17</f>
        <v>644.18993014062494</v>
      </c>
    </row>
    <row r="19" spans="2:108" x14ac:dyDescent="0.2">
      <c r="B19" t="s">
        <v>44</v>
      </c>
      <c r="G19" s="7">
        <v>-1.4079999999999999</v>
      </c>
      <c r="H19" s="7">
        <v>-1.458</v>
      </c>
      <c r="J19" s="7">
        <v>1.5580000000000001</v>
      </c>
      <c r="K19" s="7"/>
      <c r="L19" s="7"/>
      <c r="M19" s="7"/>
      <c r="N19" s="7"/>
      <c r="V19" s="2">
        <f>+V18*0.25</f>
        <v>54.645124999999993</v>
      </c>
      <c r="W19" s="2">
        <f>+W18*0.25</f>
        <v>108.91728125</v>
      </c>
      <c r="X19" s="2">
        <f>+X18*0.25</f>
        <v>134.2788265625</v>
      </c>
      <c r="Y19" s="2">
        <f>+Y18*0.25</f>
        <v>147.63110539062501</v>
      </c>
      <c r="Z19" s="2">
        <f>+Z18*0.25</f>
        <v>161.04748253515623</v>
      </c>
    </row>
    <row r="20" spans="2:108" x14ac:dyDescent="0.2">
      <c r="B20" t="s">
        <v>45</v>
      </c>
      <c r="G20" s="7">
        <f>+G18-G19</f>
        <v>-112.97600000000001</v>
      </c>
      <c r="H20" s="7">
        <f>+H18-H19</f>
        <v>-88.906999999999996</v>
      </c>
      <c r="I20" s="7">
        <f>+I18-I19</f>
        <v>-89.021000000000001</v>
      </c>
      <c r="J20" s="7">
        <f>+J18-J19</f>
        <v>-78.253000000000014</v>
      </c>
      <c r="K20" s="7"/>
      <c r="L20" s="7"/>
      <c r="M20" s="7"/>
      <c r="N20" s="7"/>
      <c r="V20" s="2">
        <f>+V18-V19</f>
        <v>163.93537499999996</v>
      </c>
      <c r="W20" s="2">
        <f>+W18-W19</f>
        <v>326.75184375000003</v>
      </c>
      <c r="X20" s="2">
        <f>+X18-X19</f>
        <v>402.8364796875</v>
      </c>
      <c r="Y20" s="2">
        <f>+Y18-Y19</f>
        <v>442.89331617187503</v>
      </c>
      <c r="Z20" s="2">
        <f>+Z18-Z19</f>
        <v>483.1424476054687</v>
      </c>
      <c r="AA20" s="2">
        <f>+Z20*(1+$AE$22)</f>
        <v>487.97387208152338</v>
      </c>
      <c r="AB20" s="2">
        <f t="shared" ref="AB20:CM20" si="4">+AA20*(1+$AE$22)</f>
        <v>492.85361080233861</v>
      </c>
      <c r="AC20" s="2">
        <f t="shared" si="4"/>
        <v>497.78214691036197</v>
      </c>
      <c r="AD20" s="2">
        <f t="shared" si="4"/>
        <v>502.75996837946559</v>
      </c>
      <c r="AE20" s="2">
        <f t="shared" si="4"/>
        <v>507.78756806326027</v>
      </c>
      <c r="AF20" s="2">
        <f t="shared" si="4"/>
        <v>512.86544374389291</v>
      </c>
      <c r="AG20" s="2">
        <f t="shared" si="4"/>
        <v>517.99409818133188</v>
      </c>
      <c r="AH20" s="2">
        <f t="shared" si="4"/>
        <v>523.17403916314515</v>
      </c>
      <c r="AI20" s="2">
        <f t="shared" si="4"/>
        <v>528.40577955477659</v>
      </c>
      <c r="AJ20" s="2">
        <f t="shared" si="4"/>
        <v>533.68983735032441</v>
      </c>
      <c r="AK20" s="2">
        <f t="shared" si="4"/>
        <v>539.02673572382764</v>
      </c>
      <c r="AL20" s="2">
        <f t="shared" si="4"/>
        <v>544.4170030810659</v>
      </c>
      <c r="AM20" s="2">
        <f t="shared" si="4"/>
        <v>549.86117311187661</v>
      </c>
      <c r="AN20" s="2">
        <f t="shared" si="4"/>
        <v>555.3597848429954</v>
      </c>
      <c r="AO20" s="2">
        <f t="shared" si="4"/>
        <v>560.91338269142534</v>
      </c>
      <c r="AP20" s="2">
        <f t="shared" si="4"/>
        <v>566.52251651833956</v>
      </c>
      <c r="AQ20" s="2">
        <f t="shared" si="4"/>
        <v>572.18774168352297</v>
      </c>
      <c r="AR20" s="2">
        <f t="shared" si="4"/>
        <v>577.90961910035821</v>
      </c>
      <c r="AS20" s="2">
        <f t="shared" si="4"/>
        <v>583.68871529136175</v>
      </c>
      <c r="AT20" s="2">
        <f t="shared" si="4"/>
        <v>589.52560244427536</v>
      </c>
      <c r="AU20" s="2">
        <f t="shared" si="4"/>
        <v>595.42085846871817</v>
      </c>
      <c r="AV20" s="2">
        <f t="shared" si="4"/>
        <v>601.37506705340536</v>
      </c>
      <c r="AW20" s="2">
        <f t="shared" si="4"/>
        <v>607.38881772393938</v>
      </c>
      <c r="AX20" s="2">
        <f t="shared" si="4"/>
        <v>613.46270590117877</v>
      </c>
      <c r="AY20" s="2">
        <f t="shared" si="4"/>
        <v>619.59733296019056</v>
      </c>
      <c r="AZ20" s="2">
        <f t="shared" si="4"/>
        <v>625.79330628979244</v>
      </c>
      <c r="BA20" s="2">
        <f t="shared" si="4"/>
        <v>632.05123935269035</v>
      </c>
      <c r="BB20" s="2">
        <f t="shared" si="4"/>
        <v>638.37175174621723</v>
      </c>
      <c r="BC20" s="2">
        <f t="shared" si="4"/>
        <v>644.7554692636794</v>
      </c>
      <c r="BD20" s="2">
        <f t="shared" si="4"/>
        <v>651.2030239563162</v>
      </c>
      <c r="BE20" s="2">
        <f t="shared" si="4"/>
        <v>657.71505419587936</v>
      </c>
      <c r="BF20" s="2">
        <f t="shared" si="4"/>
        <v>664.29220473783812</v>
      </c>
      <c r="BG20" s="2">
        <f t="shared" si="4"/>
        <v>670.93512678521654</v>
      </c>
      <c r="BH20" s="2">
        <f t="shared" si="4"/>
        <v>677.64447805306872</v>
      </c>
      <c r="BI20" s="2">
        <f t="shared" si="4"/>
        <v>684.42092283359943</v>
      </c>
      <c r="BJ20" s="2">
        <f t="shared" si="4"/>
        <v>691.26513206193545</v>
      </c>
      <c r="BK20" s="2">
        <f t="shared" si="4"/>
        <v>698.17778338255482</v>
      </c>
      <c r="BL20" s="2">
        <f t="shared" si="4"/>
        <v>705.15956121638033</v>
      </c>
      <c r="BM20" s="2">
        <f t="shared" si="4"/>
        <v>712.21115682854418</v>
      </c>
      <c r="BN20" s="2">
        <f t="shared" si="4"/>
        <v>719.33326839682968</v>
      </c>
      <c r="BO20" s="2">
        <f t="shared" si="4"/>
        <v>726.52660108079795</v>
      </c>
      <c r="BP20" s="2">
        <f t="shared" si="4"/>
        <v>733.79186709160592</v>
      </c>
      <c r="BQ20" s="2">
        <f t="shared" si="4"/>
        <v>741.12978576252203</v>
      </c>
      <c r="BR20" s="2">
        <f t="shared" si="4"/>
        <v>748.54108362014722</v>
      </c>
      <c r="BS20" s="2">
        <f t="shared" si="4"/>
        <v>756.0264944563487</v>
      </c>
      <c r="BT20" s="2">
        <f t="shared" si="4"/>
        <v>763.58675940091223</v>
      </c>
      <c r="BU20" s="2">
        <f t="shared" si="4"/>
        <v>771.22262699492137</v>
      </c>
      <c r="BV20" s="2">
        <f t="shared" si="4"/>
        <v>778.93485326487064</v>
      </c>
      <c r="BW20" s="2">
        <f t="shared" si="4"/>
        <v>786.7242017975193</v>
      </c>
      <c r="BX20" s="2">
        <f t="shared" si="4"/>
        <v>794.59144381549447</v>
      </c>
      <c r="BY20" s="2">
        <f t="shared" si="4"/>
        <v>802.53735825364947</v>
      </c>
      <c r="BZ20" s="2">
        <f t="shared" si="4"/>
        <v>810.562731836186</v>
      </c>
      <c r="CA20" s="2">
        <f t="shared" si="4"/>
        <v>818.66835915454783</v>
      </c>
      <c r="CB20" s="2">
        <f t="shared" si="4"/>
        <v>826.85504274609332</v>
      </c>
      <c r="CC20" s="2">
        <f t="shared" si="4"/>
        <v>835.12359317355424</v>
      </c>
      <c r="CD20" s="2">
        <f t="shared" si="4"/>
        <v>843.47482910528981</v>
      </c>
      <c r="CE20" s="2">
        <f t="shared" si="4"/>
        <v>851.90957739634268</v>
      </c>
      <c r="CF20" s="2">
        <f t="shared" si="4"/>
        <v>860.42867317030607</v>
      </c>
      <c r="CG20" s="2">
        <f t="shared" si="4"/>
        <v>869.03295990200911</v>
      </c>
      <c r="CH20" s="2">
        <f t="shared" si="4"/>
        <v>877.72328950102917</v>
      </c>
      <c r="CI20" s="2">
        <f t="shared" si="4"/>
        <v>886.50052239603951</v>
      </c>
      <c r="CJ20" s="2">
        <f t="shared" si="4"/>
        <v>895.36552761999997</v>
      </c>
      <c r="CK20" s="2">
        <f t="shared" si="4"/>
        <v>904.3191828962</v>
      </c>
      <c r="CL20" s="2">
        <f t="shared" si="4"/>
        <v>913.362374725162</v>
      </c>
      <c r="CM20" s="2">
        <f t="shared" si="4"/>
        <v>922.49599847241359</v>
      </c>
      <c r="CN20" s="2">
        <f t="shared" ref="CN20:DD20" si="5">+CM20*(1+$AE$22)</f>
        <v>931.72095845713773</v>
      </c>
      <c r="CO20" s="2">
        <f t="shared" si="5"/>
        <v>941.03816804170913</v>
      </c>
      <c r="CP20" s="2">
        <f t="shared" si="5"/>
        <v>950.44854972212624</v>
      </c>
      <c r="CQ20" s="2">
        <f t="shared" si="5"/>
        <v>959.9530352193475</v>
      </c>
      <c r="CR20" s="2">
        <f t="shared" si="5"/>
        <v>969.55256557154098</v>
      </c>
      <c r="CS20" s="2">
        <f t="shared" si="5"/>
        <v>979.2480912272564</v>
      </c>
      <c r="CT20" s="2">
        <f t="shared" si="5"/>
        <v>989.04057213952899</v>
      </c>
      <c r="CU20" s="2">
        <f t="shared" si="5"/>
        <v>998.93097786092426</v>
      </c>
      <c r="CV20" s="2">
        <f t="shared" si="5"/>
        <v>1008.9202876395335</v>
      </c>
      <c r="CW20" s="2">
        <f t="shared" si="5"/>
        <v>1019.0094905159289</v>
      </c>
      <c r="CX20" s="2">
        <f t="shared" si="5"/>
        <v>1029.1995854210882</v>
      </c>
      <c r="CY20" s="2">
        <f t="shared" si="5"/>
        <v>1039.491581275299</v>
      </c>
      <c r="CZ20" s="2">
        <f t="shared" si="5"/>
        <v>1049.886497088052</v>
      </c>
      <c r="DA20" s="2">
        <f t="shared" si="5"/>
        <v>1060.3853620589325</v>
      </c>
      <c r="DB20" s="2">
        <f t="shared" si="5"/>
        <v>1070.9892156795217</v>
      </c>
      <c r="DC20" s="2">
        <f t="shared" si="5"/>
        <v>1081.6991078363169</v>
      </c>
      <c r="DD20" s="2">
        <f t="shared" si="5"/>
        <v>1092.51609891468</v>
      </c>
    </row>
    <row r="21" spans="2:108" x14ac:dyDescent="0.2">
      <c r="B21" t="s">
        <v>46</v>
      </c>
      <c r="G21" s="6">
        <f>+G20/G22</f>
        <v>-0.42437082112538504</v>
      </c>
      <c r="H21" s="6">
        <f>+H20/H22</f>
        <v>-0.31215482221917934</v>
      </c>
      <c r="I21" s="6">
        <f>+I20/I22</f>
        <v>-0.31255507922631021</v>
      </c>
      <c r="J21" s="6">
        <f>+J20/J22</f>
        <v>-0.25665977893666575</v>
      </c>
      <c r="K21" s="6"/>
      <c r="L21" s="6"/>
      <c r="M21" s="6"/>
      <c r="N21" s="6"/>
      <c r="V21" s="23">
        <f>+V20/V22</f>
        <v>0.53768695267145517</v>
      </c>
      <c r="W21" s="23">
        <f>+W20/W22</f>
        <v>1.0717040367017614</v>
      </c>
      <c r="X21" s="23">
        <f>+X20/X22</f>
        <v>1.3212518603020762</v>
      </c>
      <c r="Y21" s="23">
        <f>+Y20/Y22</f>
        <v>1.4526331338249043</v>
      </c>
      <c r="Z21" s="23">
        <f>+Z20/Z22</f>
        <v>1.5846451100576231</v>
      </c>
    </row>
    <row r="22" spans="2:108" x14ac:dyDescent="0.2">
      <c r="B22" t="s">
        <v>1</v>
      </c>
      <c r="G22" s="7">
        <v>266.22000000000003</v>
      </c>
      <c r="H22" s="7">
        <v>284.81700000000001</v>
      </c>
      <c r="I22" s="7">
        <f>+H22</f>
        <v>284.81700000000001</v>
      </c>
      <c r="J22" s="7">
        <v>304.89</v>
      </c>
      <c r="K22" s="7"/>
      <c r="L22" s="7"/>
      <c r="M22" s="7"/>
      <c r="N22" s="7"/>
      <c r="V22" s="2">
        <f>J22</f>
        <v>304.89</v>
      </c>
      <c r="W22" s="2">
        <f>+V22</f>
        <v>304.89</v>
      </c>
      <c r="X22" s="2">
        <f>+W22</f>
        <v>304.89</v>
      </c>
      <c r="Y22" s="2">
        <f>+X22</f>
        <v>304.89</v>
      </c>
      <c r="Z22" s="2">
        <f>+Y22</f>
        <v>304.89</v>
      </c>
      <c r="AD22" t="s">
        <v>72</v>
      </c>
      <c r="AE22" s="24">
        <v>0.01</v>
      </c>
    </row>
    <row r="23" spans="2:108" x14ac:dyDescent="0.2">
      <c r="AD23" t="s">
        <v>73</v>
      </c>
      <c r="AE23" s="24">
        <v>0.01</v>
      </c>
    </row>
    <row r="24" spans="2:108" x14ac:dyDescent="0.2">
      <c r="AD24" t="s">
        <v>74</v>
      </c>
      <c r="AE24" s="24">
        <v>0.09</v>
      </c>
    </row>
    <row r="25" spans="2:108" x14ac:dyDescent="0.2">
      <c r="AD25" t="s">
        <v>75</v>
      </c>
      <c r="AE25" s="2">
        <f>NPV(AE24,V20:DD20)+Main!I5-Main!I6</f>
        <v>5738.9429060401908</v>
      </c>
    </row>
  </sheetData>
  <hyperlinks>
    <hyperlink ref="A1" location="Main!A1" display="Main" xr:uid="{98EB58D4-A9F0-4B22-B34A-DC03455969FD}"/>
  </hyperlink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1A01D-9C2A-46BD-9B78-0DEFBECBAD8A}">
  <dimension ref="A1:H60"/>
  <sheetViews>
    <sheetView zoomScale="160" zoomScaleNormal="160" workbookViewId="0">
      <selection activeCell="I3" sqref="I3"/>
    </sheetView>
  </sheetViews>
  <sheetFormatPr defaultRowHeight="12.75" x14ac:dyDescent="0.2"/>
  <cols>
    <col min="1" max="1" width="5" bestFit="1" customWidth="1"/>
    <col min="2" max="2" width="13.28515625" customWidth="1"/>
    <col min="7" max="7" width="15.7109375" bestFit="1" customWidth="1"/>
    <col min="8" max="8" width="14.140625" bestFit="1" customWidth="1"/>
  </cols>
  <sheetData>
    <row r="1" spans="1:3" x14ac:dyDescent="0.2">
      <c r="A1" s="9" t="s">
        <v>16</v>
      </c>
    </row>
    <row r="2" spans="1:3" x14ac:dyDescent="0.2">
      <c r="B2" t="s">
        <v>8</v>
      </c>
      <c r="C2" t="s">
        <v>58</v>
      </c>
    </row>
    <row r="3" spans="1:3" x14ac:dyDescent="0.2">
      <c r="B3" t="s">
        <v>56</v>
      </c>
      <c r="C3" t="s">
        <v>57</v>
      </c>
    </row>
    <row r="4" spans="1:3" x14ac:dyDescent="0.2">
      <c r="B4" t="s">
        <v>11</v>
      </c>
      <c r="C4" t="s">
        <v>53</v>
      </c>
    </row>
    <row r="5" spans="1:3" x14ac:dyDescent="0.2">
      <c r="B5" t="s">
        <v>17</v>
      </c>
      <c r="C5" t="s">
        <v>63</v>
      </c>
    </row>
    <row r="6" spans="1:3" x14ac:dyDescent="0.2">
      <c r="B6" t="s">
        <v>13</v>
      </c>
      <c r="C6" t="s">
        <v>55</v>
      </c>
    </row>
    <row r="7" spans="1:3" x14ac:dyDescent="0.2">
      <c r="C7" t="s">
        <v>18</v>
      </c>
    </row>
    <row r="8" spans="1:3" x14ac:dyDescent="0.2">
      <c r="B8" t="s">
        <v>21</v>
      </c>
      <c r="C8" t="s">
        <v>47</v>
      </c>
    </row>
    <row r="9" spans="1:3" x14ac:dyDescent="0.2">
      <c r="C9" t="s">
        <v>60</v>
      </c>
    </row>
    <row r="10" spans="1:3" x14ac:dyDescent="0.2">
      <c r="B10" t="s">
        <v>88</v>
      </c>
      <c r="C10" t="s">
        <v>89</v>
      </c>
    </row>
    <row r="11" spans="1:3" x14ac:dyDescent="0.2">
      <c r="C11" t="s">
        <v>90</v>
      </c>
    </row>
    <row r="12" spans="1:3" x14ac:dyDescent="0.2">
      <c r="B12" t="s">
        <v>0</v>
      </c>
      <c r="C12" t="s">
        <v>64</v>
      </c>
    </row>
    <row r="13" spans="1:3" x14ac:dyDescent="0.2">
      <c r="B13" t="s">
        <v>19</v>
      </c>
    </row>
    <row r="14" spans="1:3" x14ac:dyDescent="0.2">
      <c r="C14" s="4" t="s">
        <v>59</v>
      </c>
    </row>
    <row r="15" spans="1:3" x14ac:dyDescent="0.2">
      <c r="C15" t="s">
        <v>61</v>
      </c>
    </row>
    <row r="16" spans="1:3" x14ac:dyDescent="0.2">
      <c r="C16" t="s">
        <v>62</v>
      </c>
    </row>
    <row r="17" spans="3:8" x14ac:dyDescent="0.2">
      <c r="C17" t="s">
        <v>48</v>
      </c>
    </row>
    <row r="18" spans="3:8" x14ac:dyDescent="0.2">
      <c r="C18" t="s">
        <v>49</v>
      </c>
    </row>
    <row r="19" spans="3:8" x14ac:dyDescent="0.2">
      <c r="C19" t="s">
        <v>50</v>
      </c>
    </row>
    <row r="20" spans="3:8" x14ac:dyDescent="0.2">
      <c r="C20" t="s">
        <v>52</v>
      </c>
    </row>
    <row r="21" spans="3:8" x14ac:dyDescent="0.2">
      <c r="C21" t="s">
        <v>54</v>
      </c>
    </row>
    <row r="22" spans="3:8" x14ac:dyDescent="0.2">
      <c r="C22" t="s">
        <v>51</v>
      </c>
    </row>
    <row r="24" spans="3:8" x14ac:dyDescent="0.2">
      <c r="C24" t="s">
        <v>20</v>
      </c>
    </row>
    <row r="25" spans="3:8" x14ac:dyDescent="0.2">
      <c r="C25" t="s">
        <v>22</v>
      </c>
    </row>
    <row r="26" spans="3:8" x14ac:dyDescent="0.2">
      <c r="C26" t="s">
        <v>23</v>
      </c>
      <c r="G26" s="2"/>
    </row>
    <row r="27" spans="3:8" x14ac:dyDescent="0.2">
      <c r="C27" t="s">
        <v>24</v>
      </c>
      <c r="G27" s="2"/>
      <c r="H27" s="2"/>
    </row>
    <row r="28" spans="3:8" x14ac:dyDescent="0.2">
      <c r="G28" s="2"/>
      <c r="H28" s="2"/>
    </row>
    <row r="29" spans="3:8" x14ac:dyDescent="0.2">
      <c r="C29" s="4" t="s">
        <v>76</v>
      </c>
      <c r="G29" s="2"/>
    </row>
    <row r="30" spans="3:8" x14ac:dyDescent="0.2">
      <c r="C30" t="s">
        <v>91</v>
      </c>
    </row>
    <row r="32" spans="3:8" x14ac:dyDescent="0.2">
      <c r="C32" s="4" t="s">
        <v>27</v>
      </c>
    </row>
    <row r="34" spans="3:3" x14ac:dyDescent="0.2">
      <c r="C34" s="4" t="s">
        <v>94</v>
      </c>
    </row>
    <row r="35" spans="3:3" x14ac:dyDescent="0.2">
      <c r="C35" t="s">
        <v>93</v>
      </c>
    </row>
    <row r="36" spans="3:3" x14ac:dyDescent="0.2">
      <c r="C36" t="s">
        <v>77</v>
      </c>
    </row>
    <row r="37" spans="3:3" x14ac:dyDescent="0.2">
      <c r="C37" t="s">
        <v>92</v>
      </c>
    </row>
    <row r="38" spans="3:3" x14ac:dyDescent="0.2">
      <c r="C38" t="s">
        <v>97</v>
      </c>
    </row>
    <row r="39" spans="3:3" x14ac:dyDescent="0.2">
      <c r="C39" t="s">
        <v>95</v>
      </c>
    </row>
    <row r="40" spans="3:3" x14ac:dyDescent="0.2">
      <c r="C40" t="s">
        <v>96</v>
      </c>
    </row>
    <row r="42" spans="3:3" x14ac:dyDescent="0.2">
      <c r="C42" s="4" t="s">
        <v>78</v>
      </c>
    </row>
    <row r="58" spans="3:3" x14ac:dyDescent="0.2">
      <c r="C58" s="4" t="s">
        <v>66</v>
      </c>
    </row>
    <row r="59" spans="3:3" x14ac:dyDescent="0.2">
      <c r="C59" t="s">
        <v>68</v>
      </c>
    </row>
    <row r="60" spans="3:3" x14ac:dyDescent="0.2">
      <c r="C60" t="s">
        <v>67</v>
      </c>
    </row>
  </sheetData>
  <hyperlinks>
    <hyperlink ref="A1" location="Main!A1" display="Main" xr:uid="{1BECEA9B-F447-4AAF-B161-10E0EC7F62F2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Model</vt:lpstr>
      <vt:lpstr>Amtagvi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2024-08-15T16:05:11Z</dcterms:created>
  <dcterms:modified xsi:type="dcterms:W3CDTF">2025-03-03T17:27:16Z</dcterms:modified>
</cp:coreProperties>
</file>