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9F7686E-43DC-4756-87A0-4980AC99160C}" xr6:coauthVersionLast="47" xr6:coauthVersionMax="47" xr10:uidLastSave="{00000000-0000-0000-0000-000000000000}"/>
  <bookViews>
    <workbookView xWindow="-29970" yWindow="990" windowWidth="25080" windowHeight="19755" activeTab="2" xr2:uid="{413E4C43-4A93-498F-B252-2A83071CEB55}"/>
  </bookViews>
  <sheets>
    <sheet name="Main" sheetId="1" r:id="rId1"/>
    <sheet name="Model" sheetId="2" r:id="rId2"/>
    <sheet name="Caply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W5" i="2"/>
  <c r="V5" i="2"/>
  <c r="U5" i="2"/>
  <c r="X10" i="2"/>
  <c r="W10" i="2"/>
  <c r="V10" i="2"/>
  <c r="U10" i="2"/>
  <c r="U6" i="2"/>
  <c r="U7" i="2" s="1"/>
  <c r="U11" i="2" s="1"/>
  <c r="U13" i="2" s="1"/>
  <c r="T5" i="2"/>
  <c r="J5" i="2"/>
  <c r="F5" i="2"/>
  <c r="C10" i="2"/>
  <c r="C5" i="2"/>
  <c r="C7" i="2" s="1"/>
  <c r="G10" i="2"/>
  <c r="G5" i="2"/>
  <c r="G7" i="2" s="1"/>
  <c r="D15" i="2"/>
  <c r="D16" i="2" s="1"/>
  <c r="D13" i="2"/>
  <c r="D5" i="2"/>
  <c r="D7" i="2" s="1"/>
  <c r="H5" i="2"/>
  <c r="I7" i="2"/>
  <c r="I10" i="2"/>
  <c r="I11" i="2" s="1"/>
  <c r="I13" i="2" s="1"/>
  <c r="I15" i="2" s="1"/>
  <c r="I16" i="2" s="1"/>
  <c r="E16" i="2"/>
  <c r="E15" i="2"/>
  <c r="E13" i="2"/>
  <c r="E7" i="2"/>
  <c r="E5" i="2"/>
  <c r="I5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F10" i="2"/>
  <c r="F11" i="2" s="1"/>
  <c r="E10" i="2"/>
  <c r="E11" i="2" s="1"/>
  <c r="D10" i="2"/>
  <c r="H10" i="2"/>
  <c r="H7" i="2"/>
  <c r="H11" i="2" s="1"/>
  <c r="H13" i="2" s="1"/>
  <c r="H15" i="2" s="1"/>
  <c r="H16" i="2" s="1"/>
  <c r="L5" i="1"/>
  <c r="W19" i="2" s="1"/>
  <c r="L4" i="1"/>
  <c r="L7" i="1" s="1"/>
  <c r="U14" i="2" l="1"/>
  <c r="U15" i="2" s="1"/>
  <c r="V6" i="2"/>
  <c r="V7" i="2" s="1"/>
  <c r="V11" i="2" s="1"/>
  <c r="V13" i="2" s="1"/>
  <c r="V14" i="2"/>
  <c r="V15" i="2" s="1"/>
  <c r="C11" i="2"/>
  <c r="C13" i="2" s="1"/>
  <c r="C15" i="2" s="1"/>
  <c r="C16" i="2" s="1"/>
  <c r="G11" i="2"/>
  <c r="G13" i="2" s="1"/>
  <c r="G15" i="2" s="1"/>
  <c r="G16" i="2" s="1"/>
  <c r="D11" i="2"/>
  <c r="X6" i="2" l="1"/>
  <c r="X7" i="2" s="1"/>
  <c r="X11" i="2" s="1"/>
  <c r="X13" i="2" s="1"/>
  <c r="W6" i="2"/>
  <c r="W7" i="2" s="1"/>
  <c r="W11" i="2" s="1"/>
  <c r="W13" i="2" s="1"/>
  <c r="W14" i="2" s="1"/>
  <c r="W15" i="2" s="1"/>
  <c r="X14" i="2"/>
  <c r="X15" i="2" s="1"/>
  <c r="W18" i="2" s="1"/>
  <c r="W20" i="2" s="1"/>
  <c r="W23" i="2" s="1"/>
</calcChain>
</file>

<file path=xl/sharedStrings.xml><?xml version="1.0" encoding="utf-8"?>
<sst xmlns="http://schemas.openxmlformats.org/spreadsheetml/2006/main" count="80" uniqueCount="68">
  <si>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</si>
  <si>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</si>
  <si>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</si>
  <si>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</si>
  <si>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</si>
  <si>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</si>
  <si>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</si>
  <si>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</si>
  <si>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</si>
  <si>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</si>
  <si>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</si>
  <si>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</si>
  <si>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</si>
  <si>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</si>
  <si>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</si>
  <si>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</si>
  <si>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</si>
  <si>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</si>
  <si>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Operating Expenses</t>
  </si>
  <si>
    <t>Operating Income</t>
  </si>
  <si>
    <t>SG&amp;A</t>
  </si>
  <si>
    <t>R&amp;D</t>
  </si>
  <si>
    <t>Net Income</t>
  </si>
  <si>
    <t>Taxes</t>
  </si>
  <si>
    <t>Pretax Income</t>
  </si>
  <si>
    <t>Interest Income</t>
  </si>
  <si>
    <t>Name</t>
  </si>
  <si>
    <t>Caplyta (lumateperone)</t>
  </si>
  <si>
    <t>Indication</t>
  </si>
  <si>
    <t>Schizophrenia</t>
  </si>
  <si>
    <t>Approval</t>
  </si>
  <si>
    <t>Admin</t>
  </si>
  <si>
    <t>MOA</t>
  </si>
  <si>
    <t>IP</t>
  </si>
  <si>
    <t>2028</t>
  </si>
  <si>
    <t>Caplyta</t>
  </si>
  <si>
    <t>Other</t>
  </si>
  <si>
    <t>EPS</t>
  </si>
  <si>
    <t>Brand</t>
  </si>
  <si>
    <t>Generic</t>
  </si>
  <si>
    <t>lumateperone</t>
  </si>
  <si>
    <t>Oral</t>
  </si>
  <si>
    <t xml:space="preserve">  Provisional filed 3/12/2007</t>
  </si>
  <si>
    <t>10464938 COM expires 3/12/2028, filed 2019/6/12, issuance 2019/11/5</t>
  </si>
  <si>
    <t>8309722 synthesis patent</t>
  </si>
  <si>
    <t>11753419 COM for a different molecule - expires 2040</t>
  </si>
  <si>
    <t>Discount</t>
  </si>
  <si>
    <t>Luma</t>
  </si>
  <si>
    <t>Value</t>
  </si>
  <si>
    <t>lumateperone LAI</t>
  </si>
  <si>
    <t>PDE1</t>
  </si>
  <si>
    <t>ITI-1020</t>
  </si>
  <si>
    <t>lenrisopdun</t>
  </si>
  <si>
    <t>Parkinson's</t>
  </si>
  <si>
    <t>Oncology</t>
  </si>
  <si>
    <t>GAD</t>
  </si>
  <si>
    <t>ITI-333</t>
  </si>
  <si>
    <t>ITI-1500</t>
  </si>
  <si>
    <t>ITI-1284 (lumateperone)</t>
  </si>
  <si>
    <t>deuterated lumateperone</t>
  </si>
  <si>
    <t>9586960 crystal patent</t>
  </si>
  <si>
    <t>8598119 MOU patent</t>
  </si>
  <si>
    <t>8648077 crystal patent</t>
  </si>
  <si>
    <t>9199995 crystal patent</t>
  </si>
  <si>
    <t>9616061 formulation patent</t>
  </si>
  <si>
    <t>9956227 MOU patent</t>
  </si>
  <si>
    <t>10117867 MOU patent</t>
  </si>
  <si>
    <t>RE48839 MOU patent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</si>
</sst>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4" fontId="0" fillId="0" borderId="0" xfId="0" applyNumberFormat="1" applyAlignment="1">
      <alignment horizontal="right"/>
    </xf>
    <xf numFmtId="0" fontId="2" fillId="0" borderId="0" xfId="1"/>
    <xf numFmtId="0" fontId="2" fillId="0" borderId="1" xfId="1" applyBorder="1"/>
    <xf numFmtId="9" fontId="0" fillId="0" borderId="0" xfId="0" applyNumberFormat="1"/>
    <xf numFmtId="4" fontId="0" fillId="0" borderId="0" xfId="0" applyNumberFormat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F9B37A4-4E66-487D-AD41-6F4EDE8F51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37896</xdr:colOff>
      <xdr:row>0</xdr:row>
      <xdr:rowOff>35984</xdr:rowOff>
    </xdr:from>
    <xdr:to>
      <xdr:col>9</xdr:col>
      <xdr:colOff>37896</xdr:colOff>
      <xdr:row>25</xdr:row>
      <xdr:rowOff>114346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5E6E80-729A-016C-BD6A-5B461CF2EB4D}"/>
            </a:ext>
          </a:extLst>
        </xdr:cNvPr>
        <xdr:cNvCxnSpPr/>
      </xdr:nvCxnSpPr>
      <xdr:spPr>
        <a:xfrm>
          <a:off x="6146286" y="35984"/>
          <a:ext cx="0" cy="40401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20053</xdr:colOff>
      <xdr:row>0</xdr:row>
      <xdr:rowOff>26737</xdr:rowOff>
    </xdr:from>
    <xdr:to>
      <xdr:col>20</xdr:col>
      <xdr:colOff>20053</xdr:colOff>
      <xdr:row>32</xdr:row>
      <xdr:rowOff>6684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85A455E-273F-CABC-0375-BA5C4E166652}"/>
            </a:ext>
          </a:extLst>
        </xdr:cNvPr>
        <xdr:cNvCxnSpPr/>
      </xdr:nvCxnSpPr>
      <xdr:spPr>
        <a:xfrm>
          <a:off x="12857079" y="26737"/>
          <a:ext cx="0" cy="512010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22D9-B857-4D07-ADA2-BFB54AFAF7D9}">
  <dimension ref="B2:M10"/>
  <sheetViews>
    <sheetView zoomScale="160" zoomScaleNormal="160" workbookViewId="0">
      <selection activeCell="B3" sqref="B3"/>
    </sheetView>
  </sheetViews>
  <sheetFormatPr defaultRowHeight="12.75" x14ac:dyDescent="0.2"/>
  <cols>
    <col min="1" max="1" width="2.42578125" customWidth="1"/>
    <col min="2" max="2" width="20.42578125" bestFit="1" customWidth="1"/>
    <col min="3" max="3" width="12.140625" bestFit="1" customWidth="1"/>
    <col min="4" max="4" width="10.5703125" bestFit="1" customWidth="1"/>
    <col min="6" max="6" width="21.140625" bestFit="1" customWidth="1"/>
    <col min="10" max="10" width="2.7109375" customWidth="1"/>
  </cols>
  <sheetData>
    <row r="2" spans="2:13" x14ac:dyDescent="0.2">
      <c r="B2" s="12" t="s">
        <v>26</v>
      </c>
      <c r="C2" s="13" t="s">
        <v>28</v>
      </c>
      <c r="D2" s="13" t="s">
        <v>30</v>
      </c>
      <c r="E2" s="13" t="s">
        <v>31</v>
      </c>
      <c r="F2" s="13" t="s">
        <v>32</v>
      </c>
      <c r="G2" s="13" t="s">
        <v>33</v>
      </c>
      <c r="H2" s="14"/>
      <c r="K2" t="s">
        <v>0</v>
      </c>
      <c r="L2" s="20">
        <v>84</v>
      </c>
    </row>
    <row r="3" spans="2:13" x14ac:dyDescent="0.2">
      <c r="B3" s="18" t="s">
        <v>27</v>
      </c>
      <c r="C3" t="s">
        <v>29</v>
      </c>
      <c r="D3" s="7">
        <v>43819</v>
      </c>
      <c r="E3" t="s">
        <v>41</v>
      </c>
      <c r="G3" s="15" t="s">
        <v>34</v>
      </c>
      <c r="H3" s="8"/>
      <c r="K3" t="s">
        <v>1</v>
      </c>
      <c r="L3" s="1">
        <v>105.66692500000001</v>
      </c>
      <c r="M3" s="2" t="s">
        <v>6</v>
      </c>
    </row>
    <row r="4" spans="2:13" x14ac:dyDescent="0.2">
      <c r="B4" s="21" t="s">
        <v>58</v>
      </c>
      <c r="C4" t="s">
        <v>55</v>
      </c>
      <c r="F4" t="s">
        <v>59</v>
      </c>
      <c r="H4" s="8"/>
      <c r="K4" t="s">
        <v>2</v>
      </c>
      <c r="L4" s="1">
        <f>+L2*L3</f>
        <v>8876.0217000000011</v>
      </c>
    </row>
    <row r="5" spans="2:13" x14ac:dyDescent="0.2">
      <c r="B5" s="6" t="s">
        <v>49</v>
      </c>
      <c r="C5" t="s">
        <v>29</v>
      </c>
      <c r="H5" s="8"/>
      <c r="K5" t="s">
        <v>3</v>
      </c>
      <c r="L5" s="1">
        <f>693.306+329.601+1.75</f>
        <v>1024.6570000000002</v>
      </c>
      <c r="M5" s="2" t="s">
        <v>6</v>
      </c>
    </row>
    <row r="6" spans="2:13" x14ac:dyDescent="0.2">
      <c r="B6" s="6"/>
      <c r="F6" t="s">
        <v>50</v>
      </c>
      <c r="H6" s="8"/>
      <c r="K6" t="s">
        <v>4</v>
      </c>
      <c r="L6" s="1">
        <v>0</v>
      </c>
      <c r="M6" s="2" t="s">
        <v>6</v>
      </c>
    </row>
    <row r="7" spans="2:13" x14ac:dyDescent="0.2">
      <c r="B7" s="6" t="s">
        <v>51</v>
      </c>
      <c r="C7" t="s">
        <v>54</v>
      </c>
      <c r="H7" s="8"/>
      <c r="K7" t="s">
        <v>5</v>
      </c>
      <c r="L7" s="1">
        <f>+L4-L5+L6</f>
        <v>7851.364700000001</v>
      </c>
    </row>
    <row r="8" spans="2:13" x14ac:dyDescent="0.2">
      <c r="B8" s="6" t="s">
        <v>52</v>
      </c>
      <c r="C8" t="s">
        <v>53</v>
      </c>
      <c r="H8" s="8"/>
      <c r="L8" s="1"/>
    </row>
    <row r="9" spans="2:13" x14ac:dyDescent="0.2">
      <c r="B9" s="6" t="s">
        <v>56</v>
      </c>
      <c r="H9" s="8"/>
      <c r="L9" s="1"/>
    </row>
    <row r="10" spans="2:13" x14ac:dyDescent="0.2">
      <c r="B10" s="9" t="s">
        <v>57</v>
      </c>
      <c r="C10" s="10"/>
      <c r="D10" s="10"/>
      <c r="E10" s="10"/>
      <c r="F10" s="10"/>
      <c r="G10" s="10"/>
      <c r="H10" s="11"/>
    </row>
  </sheetData>
  <hyperlinks>
    <hyperlink ref="B3" location="Caplyta!A1" display="Caplyta (lumateperone)" xr:uid="{B33AE6AE-EA79-4532-AB9F-86E767284A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5F3B-5C68-469A-B43A-91747303D79C}">
  <dimension ref="A1:AE23"/>
  <sheetViews>
    <sheetView zoomScale="160" zoomScaleNormal="16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U32" sqref="U32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  <col min="20" max="20" width="8.7109375" customWidth="1"/>
    <col min="22" max="22" width="9.5703125" bestFit="1" customWidth="1"/>
  </cols>
  <sheetData>
    <row r="1" spans="1:31" x14ac:dyDescent="0.2">
      <c r="A1" t="s">
        <v>7</v>
      </c>
    </row>
    <row r="2" spans="1:31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6</v>
      </c>
      <c r="I2" s="2" t="s">
        <v>14</v>
      </c>
      <c r="J2" s="2" t="s">
        <v>15</v>
      </c>
      <c r="M2">
        <v>2017</v>
      </c>
      <c r="N2">
        <v>2018</v>
      </c>
      <c r="O2">
        <v>2019</v>
      </c>
      <c r="P2">
        <v>2020</v>
      </c>
      <c r="Q2">
        <f>+P2+1</f>
        <v>2021</v>
      </c>
      <c r="R2">
        <f>+Q2+1</f>
        <v>2022</v>
      </c>
      <c r="S2">
        <f t="shared" ref="S2:AE2" si="0">+R2+1</f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 t="shared" si="0"/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 s="1" customFormat="1" x14ac:dyDescent="0.2">
      <c r="B3" s="1" t="s">
        <v>35</v>
      </c>
      <c r="C3" s="3">
        <v>94.730999999999995</v>
      </c>
      <c r="D3" s="3">
        <v>110.128</v>
      </c>
      <c r="E3" s="3">
        <v>125.81</v>
      </c>
      <c r="F3" s="3"/>
      <c r="G3" s="3">
        <v>144.84299999999999</v>
      </c>
      <c r="H3" s="3">
        <v>161.27600000000001</v>
      </c>
      <c r="I3" s="3">
        <v>175.15899999999999</v>
      </c>
      <c r="J3" s="3"/>
    </row>
    <row r="4" spans="1:31" s="1" customFormat="1" x14ac:dyDescent="0.2">
      <c r="B4" s="1" t="s">
        <v>36</v>
      </c>
      <c r="C4" s="3">
        <v>0.57499999999999996</v>
      </c>
      <c r="D4" s="3">
        <v>0.66400000000000003</v>
      </c>
      <c r="E4" s="3">
        <v>0.36299999999999999</v>
      </c>
      <c r="F4" s="3"/>
      <c r="G4" s="3">
        <v>2.3E-2</v>
      </c>
      <c r="H4" s="3">
        <v>0.112</v>
      </c>
      <c r="I4" s="3">
        <v>0.216</v>
      </c>
      <c r="J4" s="3"/>
    </row>
    <row r="5" spans="1:31" s="4" customFormat="1" x14ac:dyDescent="0.2">
      <c r="B5" s="4" t="s">
        <v>8</v>
      </c>
      <c r="C5" s="5">
        <f>+C3+C4</f>
        <v>95.305999999999997</v>
      </c>
      <c r="D5" s="5">
        <f>+D3+D4</f>
        <v>110.792</v>
      </c>
      <c r="E5" s="5">
        <f>+E3+E4</f>
        <v>126.173</v>
      </c>
      <c r="F5" s="5">
        <f>+S5-E5-D5-C5</f>
        <v>129.904</v>
      </c>
      <c r="G5" s="5">
        <f>+G4+G3</f>
        <v>144.86599999999999</v>
      </c>
      <c r="H5" s="5">
        <f>+H4+H3</f>
        <v>161.38800000000001</v>
      </c>
      <c r="I5" s="5">
        <f>+I3+I4</f>
        <v>175.375</v>
      </c>
      <c r="J5" s="5">
        <f>+I5+15</f>
        <v>190.375</v>
      </c>
      <c r="P5" s="4">
        <v>22.53</v>
      </c>
      <c r="Q5" s="4">
        <v>81.707999999999998</v>
      </c>
      <c r="R5" s="4">
        <v>249.13200000000001</v>
      </c>
      <c r="S5" s="4">
        <v>462.17500000000001</v>
      </c>
      <c r="T5" s="4">
        <f>SUM(G5:J5)</f>
        <v>672.00400000000002</v>
      </c>
      <c r="U5" s="4">
        <f>+T5*2</f>
        <v>1344.008</v>
      </c>
      <c r="V5" s="4">
        <f>+U5*1.5</f>
        <v>2016.0120000000002</v>
      </c>
      <c r="W5" s="4">
        <f>+V5*1.5</f>
        <v>3024.018</v>
      </c>
      <c r="X5" s="4">
        <f>+W5*1.5</f>
        <v>4536.027</v>
      </c>
    </row>
    <row r="6" spans="1:31" s="1" customFormat="1" x14ac:dyDescent="0.2">
      <c r="B6" s="1" t="s">
        <v>16</v>
      </c>
      <c r="C6" s="3">
        <v>6.7510000000000003</v>
      </c>
      <c r="D6" s="3">
        <v>7.1630000000000003</v>
      </c>
      <c r="E6" s="3">
        <v>9.1289999999999996</v>
      </c>
      <c r="F6" s="3"/>
      <c r="G6" s="3">
        <v>9.9</v>
      </c>
      <c r="H6" s="3">
        <v>11.353999999999999</v>
      </c>
      <c r="I6" s="3">
        <v>15.304</v>
      </c>
      <c r="J6" s="3"/>
      <c r="U6" s="1">
        <f>+U5*0.1</f>
        <v>134.4008</v>
      </c>
      <c r="V6" s="1">
        <f>+V5*0.1</f>
        <v>201.60120000000003</v>
      </c>
      <c r="W6" s="1">
        <f>+W5*0.1</f>
        <v>302.40180000000004</v>
      </c>
      <c r="X6" s="1">
        <f>+X5*0.1</f>
        <v>453.60270000000003</v>
      </c>
    </row>
    <row r="7" spans="1:31" s="1" customFormat="1" x14ac:dyDescent="0.2">
      <c r="B7" s="1" t="s">
        <v>17</v>
      </c>
      <c r="C7" s="3">
        <f>+C5-C6</f>
        <v>88.554999999999993</v>
      </c>
      <c r="D7" s="3">
        <f>+D5-D6</f>
        <v>103.629</v>
      </c>
      <c r="E7" s="3">
        <f>+E5-E6</f>
        <v>117.044</v>
      </c>
      <c r="F7" s="3"/>
      <c r="G7" s="3">
        <f>+G5-G6</f>
        <v>134.96599999999998</v>
      </c>
      <c r="H7" s="3">
        <f>+H5-H6</f>
        <v>150.03399999999999</v>
      </c>
      <c r="I7" s="3">
        <f>+I5-I6</f>
        <v>160.071</v>
      </c>
      <c r="J7" s="3"/>
      <c r="U7" s="1">
        <f>+U5-U6</f>
        <v>1209.6071999999999</v>
      </c>
      <c r="V7" s="1">
        <f>+V5-V6</f>
        <v>1814.4108000000001</v>
      </c>
      <c r="W7" s="1">
        <f>+W5-W6</f>
        <v>2721.6161999999999</v>
      </c>
      <c r="X7" s="1">
        <f>+X5-X6</f>
        <v>4082.4243000000001</v>
      </c>
    </row>
    <row r="8" spans="1:31" s="1" customFormat="1" x14ac:dyDescent="0.2">
      <c r="B8" s="1" t="s">
        <v>20</v>
      </c>
      <c r="C8" s="3">
        <v>98.923000000000002</v>
      </c>
      <c r="D8" s="3">
        <v>101.014</v>
      </c>
      <c r="E8" s="3">
        <v>105.20699999999999</v>
      </c>
      <c r="F8" s="3"/>
      <c r="G8" s="3">
        <v>113.08499999999999</v>
      </c>
      <c r="H8" s="3">
        <v>121.574</v>
      </c>
      <c r="I8" s="3">
        <v>132.101</v>
      </c>
      <c r="J8" s="3"/>
      <c r="U8" s="1">
        <v>50</v>
      </c>
      <c r="V8" s="1">
        <v>50</v>
      </c>
      <c r="W8" s="1">
        <v>50</v>
      </c>
      <c r="X8" s="1">
        <v>50</v>
      </c>
    </row>
    <row r="9" spans="1:31" s="1" customFormat="1" x14ac:dyDescent="0.2">
      <c r="B9" s="1" t="s">
        <v>21</v>
      </c>
      <c r="C9" s="3">
        <v>38.024000000000001</v>
      </c>
      <c r="D9" s="3">
        <v>49.793999999999997</v>
      </c>
      <c r="E9" s="3">
        <v>41.55</v>
      </c>
      <c r="F9" s="3"/>
      <c r="G9" s="3">
        <v>42.832999999999998</v>
      </c>
      <c r="H9" s="3">
        <v>56.183</v>
      </c>
      <c r="I9" s="3">
        <v>66.819000000000003</v>
      </c>
      <c r="J9" s="3"/>
    </row>
    <row r="10" spans="1:31" s="1" customFormat="1" x14ac:dyDescent="0.2">
      <c r="B10" s="1" t="s">
        <v>18</v>
      </c>
      <c r="C10" s="3">
        <f t="shared" ref="C10" si="1">+C8+C9</f>
        <v>136.947</v>
      </c>
      <c r="D10" s="3">
        <f t="shared" ref="D10:F10" si="2">+D8+D9</f>
        <v>150.80799999999999</v>
      </c>
      <c r="E10" s="3">
        <f t="shared" si="2"/>
        <v>146.75700000000001</v>
      </c>
      <c r="F10" s="3">
        <f t="shared" si="2"/>
        <v>0</v>
      </c>
      <c r="G10" s="3">
        <f>+G8+G9</f>
        <v>155.91800000000001</v>
      </c>
      <c r="H10" s="3">
        <f>+H8+H9</f>
        <v>177.75700000000001</v>
      </c>
      <c r="I10" s="3">
        <f>+I8+I9</f>
        <v>198.92000000000002</v>
      </c>
      <c r="J10" s="3"/>
      <c r="L10" s="4"/>
      <c r="M10" s="4"/>
      <c r="N10" s="4"/>
      <c r="O10" s="4"/>
      <c r="U10" s="1">
        <f>+U8+U9</f>
        <v>50</v>
      </c>
      <c r="V10" s="1">
        <f>+V8+V9</f>
        <v>50</v>
      </c>
      <c r="W10" s="1">
        <f>+W8+W9</f>
        <v>50</v>
      </c>
      <c r="X10" s="1">
        <f>+X8+X9</f>
        <v>50</v>
      </c>
    </row>
    <row r="11" spans="1:31" s="1" customFormat="1" x14ac:dyDescent="0.2">
      <c r="B11" s="1" t="s">
        <v>19</v>
      </c>
      <c r="C11" s="3">
        <f t="shared" ref="C11" si="3">+C7-C10</f>
        <v>-48.39200000000001</v>
      </c>
      <c r="D11" s="3">
        <f t="shared" ref="D11:F11" si="4">+D7-D10</f>
        <v>-47.178999999999988</v>
      </c>
      <c r="E11" s="3">
        <f t="shared" si="4"/>
        <v>-29.713000000000008</v>
      </c>
      <c r="F11" s="3">
        <f t="shared" si="4"/>
        <v>0</v>
      </c>
      <c r="G11" s="3">
        <f>+G7-G10</f>
        <v>-20.952000000000027</v>
      </c>
      <c r="H11" s="3">
        <f>+H7-H10</f>
        <v>-27.723000000000013</v>
      </c>
      <c r="I11" s="3">
        <f>+I7-I10</f>
        <v>-38.849000000000018</v>
      </c>
      <c r="J11" s="3"/>
      <c r="U11" s="1">
        <f>+U7-U10</f>
        <v>1159.6071999999999</v>
      </c>
      <c r="V11" s="1">
        <f>+V7-V10</f>
        <v>1764.4108000000001</v>
      </c>
      <c r="W11" s="1">
        <f>+W7-W10</f>
        <v>2671.6161999999999</v>
      </c>
      <c r="X11" s="1">
        <f>+X7-X10</f>
        <v>4032.4243000000001</v>
      </c>
    </row>
    <row r="12" spans="1:31" s="1" customFormat="1" x14ac:dyDescent="0.2">
      <c r="B12" s="1" t="s">
        <v>25</v>
      </c>
      <c r="C12" s="3">
        <v>4.3490000000000002</v>
      </c>
      <c r="D12" s="3">
        <v>4.53</v>
      </c>
      <c r="E12" s="3">
        <v>5.4980000000000002</v>
      </c>
      <c r="F12" s="3"/>
      <c r="G12" s="3">
        <v>6.0640000000000001</v>
      </c>
      <c r="H12" s="3">
        <v>11.56</v>
      </c>
      <c r="I12" s="3">
        <v>12.898999999999999</v>
      </c>
      <c r="J12" s="3"/>
      <c r="U12" s="1">
        <v>0</v>
      </c>
      <c r="V12" s="1">
        <v>0</v>
      </c>
      <c r="W12" s="1">
        <v>0</v>
      </c>
      <c r="X12" s="1">
        <v>0</v>
      </c>
    </row>
    <row r="13" spans="1:31" s="1" customFormat="1" x14ac:dyDescent="0.2">
      <c r="B13" s="1" t="s">
        <v>24</v>
      </c>
      <c r="C13" s="3">
        <f>+C11+C12</f>
        <v>-44.043000000000006</v>
      </c>
      <c r="D13" s="3">
        <f>+D11+D12</f>
        <v>-42.648999999999987</v>
      </c>
      <c r="E13" s="3">
        <f>+E11+E12</f>
        <v>-24.215000000000007</v>
      </c>
      <c r="F13" s="3"/>
      <c r="G13" s="3">
        <f>+G11+G12</f>
        <v>-14.888000000000027</v>
      </c>
      <c r="H13" s="3">
        <f>+H11+H12</f>
        <v>-16.163000000000011</v>
      </c>
      <c r="I13" s="3">
        <f>+I11+I12</f>
        <v>-25.950000000000017</v>
      </c>
      <c r="J13" s="3"/>
      <c r="U13" s="1">
        <f>+U11+U12</f>
        <v>1159.6071999999999</v>
      </c>
      <c r="V13" s="1">
        <f>+V11+V12</f>
        <v>1764.4108000000001</v>
      </c>
      <c r="W13" s="1">
        <f>+W11+W12</f>
        <v>2671.6161999999999</v>
      </c>
      <c r="X13" s="1">
        <f>+X11+X12</f>
        <v>4032.4243000000001</v>
      </c>
    </row>
    <row r="14" spans="1:31" s="1" customFormat="1" x14ac:dyDescent="0.2">
      <c r="B14" s="1" t="s">
        <v>23</v>
      </c>
      <c r="C14" s="3">
        <v>0</v>
      </c>
      <c r="D14" s="3">
        <v>0</v>
      </c>
      <c r="E14" s="3">
        <v>0</v>
      </c>
      <c r="F14" s="3"/>
      <c r="G14" s="3">
        <v>5.7000000000000002E-2</v>
      </c>
      <c r="H14" s="3">
        <v>5.7000000000000002E-2</v>
      </c>
      <c r="I14" s="3">
        <v>0</v>
      </c>
      <c r="J14" s="3"/>
      <c r="U14" s="1">
        <f>+U13*0.1</f>
        <v>115.96071999999999</v>
      </c>
      <c r="V14" s="1">
        <f>+V13*0.1</f>
        <v>176.44108000000003</v>
      </c>
      <c r="W14" s="1">
        <f>+W13*0.1</f>
        <v>267.16162000000003</v>
      </c>
      <c r="X14" s="1">
        <f>+X13*0.1</f>
        <v>403.24243000000001</v>
      </c>
    </row>
    <row r="15" spans="1:31" s="1" customFormat="1" x14ac:dyDescent="0.2">
      <c r="B15" s="1" t="s">
        <v>22</v>
      </c>
      <c r="C15" s="3">
        <f>+C13-C14</f>
        <v>-44.043000000000006</v>
      </c>
      <c r="D15" s="3">
        <f>+D13-D14</f>
        <v>-42.648999999999987</v>
      </c>
      <c r="E15" s="3">
        <f>+E13-E14</f>
        <v>-24.215000000000007</v>
      </c>
      <c r="F15" s="3"/>
      <c r="G15" s="3">
        <f>+G13-G14</f>
        <v>-14.945000000000027</v>
      </c>
      <c r="H15" s="3">
        <f>+H13-H14</f>
        <v>-16.22000000000001</v>
      </c>
      <c r="I15" s="3">
        <f>+I13-I14</f>
        <v>-25.950000000000017</v>
      </c>
      <c r="J15" s="3"/>
      <c r="U15" s="1">
        <f>+U13-U14</f>
        <v>1043.6464799999999</v>
      </c>
      <c r="V15" s="1">
        <f>+V13-V14</f>
        <v>1587.9697200000001</v>
      </c>
      <c r="W15" s="1">
        <f>+W13-W14</f>
        <v>2404.4545800000001</v>
      </c>
      <c r="X15" s="1">
        <f>+X13-X14</f>
        <v>3629.1818700000003</v>
      </c>
    </row>
    <row r="16" spans="1:31" x14ac:dyDescent="0.2">
      <c r="B16" s="1" t="s">
        <v>37</v>
      </c>
      <c r="C16" s="16">
        <f>+C15/C17</f>
        <v>-0.46295413532312418</v>
      </c>
      <c r="D16" s="16">
        <f>+D15/D17</f>
        <v>-0.44450089628177264</v>
      </c>
      <c r="E16" s="16">
        <f>+E15/E17</f>
        <v>-0.25186419287178469</v>
      </c>
      <c r="G16" s="16">
        <f>+G15/G17</f>
        <v>-0.15427052981268985</v>
      </c>
      <c r="H16" s="16">
        <f>+H15/H17</f>
        <v>-0.15637803481728996</v>
      </c>
      <c r="I16" s="16">
        <f>+I15/I17</f>
        <v>-0.24534741411294689</v>
      </c>
    </row>
    <row r="17" spans="2:23" x14ac:dyDescent="0.2">
      <c r="B17" s="1" t="s">
        <v>1</v>
      </c>
      <c r="C17" s="3">
        <v>95.134693999999996</v>
      </c>
      <c r="D17" s="3">
        <v>95.948063000000005</v>
      </c>
      <c r="E17" s="3">
        <v>96.143083000000004</v>
      </c>
      <c r="G17" s="3">
        <v>96.875275000000002</v>
      </c>
      <c r="H17" s="3">
        <v>103.723007</v>
      </c>
      <c r="I17" s="3">
        <v>105.76838600000001</v>
      </c>
      <c r="V17" t="s">
        <v>46</v>
      </c>
      <c r="W17" s="19">
        <v>7.0000000000000007E-2</v>
      </c>
    </row>
    <row r="18" spans="2:23" x14ac:dyDescent="0.2">
      <c r="V18" t="s">
        <v>47</v>
      </c>
      <c r="W18" s="1">
        <f>NPV(W17,U15:X15)</f>
        <v>7093.8014358364126</v>
      </c>
    </row>
    <row r="19" spans="2:23" x14ac:dyDescent="0.2">
      <c r="V19" t="s">
        <v>3</v>
      </c>
      <c r="W19" s="1">
        <f>+Main!L5</f>
        <v>1024.6570000000002</v>
      </c>
    </row>
    <row r="20" spans="2:23" x14ac:dyDescent="0.2">
      <c r="V20" t="s">
        <v>48</v>
      </c>
      <c r="W20" s="1">
        <f>+W19+W18</f>
        <v>8118.4584358364127</v>
      </c>
    </row>
    <row r="22" spans="2:23" x14ac:dyDescent="0.2">
      <c r="V22" t="s">
        <v>2</v>
      </c>
      <c r="W22" s="1">
        <v>8876</v>
      </c>
    </row>
    <row r="23" spans="2:23" x14ac:dyDescent="0.2">
      <c r="W23" s="19">
        <f>+W20/W22-1</f>
        <v>-8.5347179378502447E-2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16E4-A0A2-4368-8227-5BC8BE7544B3}">
  <dimension ref="A1:C16"/>
  <sheetViews>
    <sheetView tabSelected="1" zoomScale="160" zoomScaleNormal="160" workbookViewId="0">
      <selection activeCell="C17" sqref="C17"/>
    </sheetView>
  </sheetViews>
  <sheetFormatPr defaultRowHeight="12.75" x14ac:dyDescent="0.2"/>
  <cols>
    <col min="1" max="1" width="4.7109375" bestFit="1" customWidth="1"/>
  </cols>
  <sheetData>
    <row r="1" spans="1:3" x14ac:dyDescent="0.2">
      <c r="A1" s="17" t="s">
        <v>7</v>
      </c>
    </row>
    <row r="2" spans="1:3" x14ac:dyDescent="0.2">
      <c r="B2" t="s">
        <v>38</v>
      </c>
      <c r="C2" t="s">
        <v>35</v>
      </c>
    </row>
    <row r="3" spans="1:3" x14ac:dyDescent="0.2">
      <c r="B3" t="s">
        <v>39</v>
      </c>
      <c r="C3" t="s">
        <v>40</v>
      </c>
    </row>
    <row r="4" spans="1:3" x14ac:dyDescent="0.2">
      <c r="B4" t="s">
        <v>28</v>
      </c>
      <c r="C4" t="s">
        <v>29</v>
      </c>
    </row>
    <row r="5" spans="1:3" x14ac:dyDescent="0.2">
      <c r="B5" t="s">
        <v>33</v>
      </c>
      <c r="C5" t="s">
        <v>43</v>
      </c>
    </row>
    <row r="6" spans="1:3" x14ac:dyDescent="0.2">
      <c r="C6" t="s">
        <v>42</v>
      </c>
    </row>
    <row r="7" spans="1:3" x14ac:dyDescent="0.2">
      <c r="C7" s="15" t="s">
        <v>44</v>
      </c>
    </row>
    <row r="8" spans="1:3" x14ac:dyDescent="0.2">
      <c r="C8" t="s">
        <v>45</v>
      </c>
    </row>
    <row r="9" spans="1:3" x14ac:dyDescent="0.2">
      <c r="C9" t="s">
        <v>60</v>
      </c>
    </row>
    <row r="10" spans="1:3" x14ac:dyDescent="0.2">
      <c r="C10" s="15" t="s">
        <v>61</v>
      </c>
    </row>
    <row r="11" spans="1:3" x14ac:dyDescent="0.2">
      <c r="C11" s="15" t="s">
        <v>62</v>
      </c>
    </row>
    <row r="12" spans="1:3" x14ac:dyDescent="0.2">
      <c r="C12" s="15" t="s">
        <v>63</v>
      </c>
    </row>
    <row r="13" spans="1:3" x14ac:dyDescent="0.2">
      <c r="C13" s="15" t="s">
        <v>64</v>
      </c>
    </row>
    <row r="14" spans="1:3" x14ac:dyDescent="0.2">
      <c r="C14" s="15" t="s">
        <v>65</v>
      </c>
    </row>
    <row r="15" spans="1:3" x14ac:dyDescent="0.2">
      <c r="C15" s="15" t="s">
        <v>66</v>
      </c>
    </row>
    <row r="16" spans="1:3" x14ac:dyDescent="0.2">
      <c r="C16" s="15" t="s">
        <v>67</v>
      </c>
    </row>
  </sheetData>
  <hyperlinks>
    <hyperlink ref="A1" location="Main!A1" display="Main" xr:uid="{324EC9A5-F6BD-4AD8-BB49-1F6E4B9915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Caplyta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2024-09-11T02:32:36Z</dcterms:created>
  <dcterms:modified xsi:type="dcterms:W3CDTF">2025-01-16T15:18:28Z</dcterms:modified>
</cp:coreProperties>
</file>