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98C02AD8-9B8D-490D-9CE8-9C8E96193F9D}" xr6:coauthVersionLast="47" xr6:coauthVersionMax="47" xr10:uidLastSave="{00000000-0000-0000-0000-000000000000}"/>
  <bookViews>
    <workbookView xWindow="-23130" yWindow="1740" windowWidth="22140" windowHeight="18900" activeTab="1" xr2:uid="{61366869-16D4-446F-B39F-24BBF769A425}"/>
  </bookViews>
  <sheets>
    <sheet name="Main" sheetId="1" r:id="rId1"/>
    <sheet name="Model" sheetId="2" r:id="rId2"/>
    <sheet name="Pemgard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G3" i="2"/>
  <c r="H7" i="2"/>
  <c r="G7" i="2"/>
  <c r="H6" i="2"/>
  <c r="G6" i="2"/>
  <c r="H8" i="2"/>
  <c r="G8" i="2"/>
  <c r="G4" i="2"/>
  <c r="G5" i="2" s="1"/>
  <c r="C14" i="3"/>
  <c r="F7" i="2"/>
  <c r="F8" i="2" s="1"/>
  <c r="F6" i="2"/>
  <c r="F4" i="2"/>
  <c r="F5" i="2" s="1"/>
  <c r="C8" i="2"/>
  <c r="C9" i="2" s="1"/>
  <c r="D8" i="2"/>
  <c r="D5" i="2"/>
  <c r="E8" i="2"/>
  <c r="F29" i="2"/>
  <c r="E24" i="2"/>
  <c r="E26" i="2" s="1"/>
  <c r="E19" i="2"/>
  <c r="E5" i="2"/>
  <c r="E9" i="2" s="1"/>
  <c r="F26" i="2"/>
  <c r="F19" i="2"/>
  <c r="M4" i="1"/>
  <c r="M7" i="1" s="1"/>
  <c r="G9" i="2" l="1"/>
  <c r="H4" i="2"/>
  <c r="H5" i="2" s="1"/>
  <c r="H9" i="2" s="1"/>
  <c r="F9" i="2"/>
  <c r="D9" i="2"/>
</calcChain>
</file>

<file path=xl/sharedStrings.xml><?xml version="1.0" encoding="utf-8"?>
<sst xmlns="http://schemas.openxmlformats.org/spreadsheetml/2006/main" count="57" uniqueCount="49">
  <si>
    <t>Price</t>
  </si>
  <si>
    <t>Shares</t>
  </si>
  <si>
    <t>MC</t>
  </si>
  <si>
    <t>Cash</t>
  </si>
  <si>
    <t>Debt</t>
  </si>
  <si>
    <t>EV</t>
  </si>
  <si>
    <t>Q324</t>
  </si>
  <si>
    <t>Name</t>
  </si>
  <si>
    <t>Indication</t>
  </si>
  <si>
    <t>Covid-19</t>
  </si>
  <si>
    <t>Pemgarda (pemivibart)</t>
  </si>
  <si>
    <t>Founded: 2020</t>
  </si>
  <si>
    <t>Economics</t>
  </si>
  <si>
    <t>Adimab?</t>
  </si>
  <si>
    <t>VYD2311</t>
  </si>
  <si>
    <t>Q424</t>
  </si>
  <si>
    <t>Main</t>
  </si>
  <si>
    <t>Revenue</t>
  </si>
  <si>
    <t>Q124</t>
  </si>
  <si>
    <t>Q224</t>
  </si>
  <si>
    <t>Assets</t>
  </si>
  <si>
    <t>AR</t>
  </si>
  <si>
    <t>Prepaid</t>
  </si>
  <si>
    <t>Inventory</t>
  </si>
  <si>
    <t>PP&amp;E</t>
  </si>
  <si>
    <t>Lease</t>
  </si>
  <si>
    <t>ONCA</t>
  </si>
  <si>
    <t>L+SE</t>
  </si>
  <si>
    <t>SE</t>
  </si>
  <si>
    <t>AP</t>
  </si>
  <si>
    <t>Accrued</t>
  </si>
  <si>
    <t>OCL</t>
  </si>
  <si>
    <t>COGS</t>
  </si>
  <si>
    <t>Gross Profit</t>
  </si>
  <si>
    <t>R&amp;D</t>
  </si>
  <si>
    <t>SG&amp;A</t>
  </si>
  <si>
    <t>Operating Expenses</t>
  </si>
  <si>
    <t>Operating Income</t>
  </si>
  <si>
    <t>Q125</t>
  </si>
  <si>
    <t>Q225</t>
  </si>
  <si>
    <t>Q325</t>
  </si>
  <si>
    <t>Q425</t>
  </si>
  <si>
    <t>LP.8.1, KP.3.1.1 and XEC</t>
  </si>
  <si>
    <t>Brand</t>
  </si>
  <si>
    <t>PEMGARDA</t>
  </si>
  <si>
    <t>Generic</t>
  </si>
  <si>
    <t>pemivibart</t>
  </si>
  <si>
    <t>Clinical Trials</t>
  </si>
  <si>
    <t>Phase III "CANOPY"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</si>
</sst>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3" fontId="2" fillId="0" borderId="0" xfId="0" applyNumberFormat="1" applyFont="1"/>
    <xf numFmtId="0" fontId="2" fillId="0" borderId="0" xfId="0" applyFont="1" applyAlignment="1">
      <alignment horizontal="right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0" borderId="0" xfId="0" applyFont="1" applyAlignment="1">
      <alignment horizontal="right"/>
    </xf>
    <xf numFmtId="0" fontId="1" fillId="0" borderId="0" xfId="0" applyFont="1"/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/>
    <xf numFmtId="0" fontId="5" fillId="0" borderId="0" xfId="1" applyFont="1"/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F687988E-B228-413C-8845-E3E56EFE3DD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32656</xdr:colOff>
      <xdr:row>0</xdr:row>
      <xdr:rowOff>0</xdr:rowOff>
    </xdr:from>
    <xdr:to>
      <xdr:col>6</xdr:col>
      <xdr:colOff>32656</xdr:colOff>
      <xdr:row>35</xdr:row>
      <xdr:rowOff>5443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D2FA247C-7C53-C774-6050-3C3647AB3D00}"/>
            </a:ext>
          </a:extLst>
        </xdr:cNvPr>
        <xdr:cNvCxnSpPr/>
      </xdr:nvCxnSpPr>
      <xdr:spPr>
        <a:xfrm>
          <a:off x="4109356" y="0"/>
          <a:ext cx="0" cy="572044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FF298-642F-4A79-A7A4-50EEB766F0D8}">
  <dimension ref="B2:N13"/>
  <sheetViews>
    <sheetView zoomScale="145" zoomScaleNormal="145" workbookViewId="0">
      <selection activeCell="B3" sqref="B3"/>
    </sheetView>
  </sheetViews>
  <sheetFormatPr defaultColWidth="8.7109375" defaultRowHeight="12.75" x14ac:dyDescent="0.2"/>
  <cols>
    <col min="1" max="1" width="3.140625" style="1" customWidth="1"/>
    <col min="2" max="2" width="21.42578125" style="1" bestFit="1" customWidth="1"/>
    <col min="3" max="16384" width="8.7109375" style="1"/>
  </cols>
  <sheetData>
    <row r="2" spans="2:14" x14ac:dyDescent="0.2">
      <c r="B2" s="9" t="s">
        <v>7</v>
      </c>
      <c r="C2" s="10" t="s">
        <v>8</v>
      </c>
      <c r="D2" s="10" t="s">
        <v>12</v>
      </c>
      <c r="E2" s="10"/>
      <c r="F2" s="10"/>
      <c r="G2" s="10"/>
      <c r="H2" s="11"/>
      <c r="L2" s="1" t="s">
        <v>0</v>
      </c>
      <c r="M2" s="1">
        <v>0.54</v>
      </c>
    </row>
    <row r="3" spans="2:14" x14ac:dyDescent="0.2">
      <c r="B3" s="4" t="s">
        <v>10</v>
      </c>
      <c r="C3" s="1" t="s">
        <v>9</v>
      </c>
      <c r="D3" s="1" t="s">
        <v>13</v>
      </c>
      <c r="H3" s="5"/>
      <c r="L3" s="1" t="s">
        <v>1</v>
      </c>
      <c r="M3" s="2">
        <v>119.961445</v>
      </c>
      <c r="N3" s="12" t="s">
        <v>15</v>
      </c>
    </row>
    <row r="4" spans="2:14" x14ac:dyDescent="0.2">
      <c r="B4" s="4" t="s">
        <v>14</v>
      </c>
      <c r="H4" s="5"/>
      <c r="L4" s="1" t="s">
        <v>2</v>
      </c>
      <c r="M4" s="2">
        <f>+M2*M3</f>
        <v>64.779180300000007</v>
      </c>
    </row>
    <row r="5" spans="2:14" x14ac:dyDescent="0.2">
      <c r="B5" s="4"/>
      <c r="H5" s="5"/>
      <c r="L5" s="1" t="s">
        <v>3</v>
      </c>
      <c r="M5" s="2">
        <v>69.349000000000004</v>
      </c>
      <c r="N5" s="3" t="s">
        <v>6</v>
      </c>
    </row>
    <row r="6" spans="2:14" x14ac:dyDescent="0.2">
      <c r="B6" s="4"/>
      <c r="H6" s="5"/>
      <c r="L6" s="1" t="s">
        <v>4</v>
      </c>
      <c r="M6" s="2">
        <v>0</v>
      </c>
      <c r="N6" s="3" t="s">
        <v>6</v>
      </c>
    </row>
    <row r="7" spans="2:14" x14ac:dyDescent="0.2">
      <c r="B7" s="4"/>
      <c r="H7" s="5"/>
      <c r="L7" s="1" t="s">
        <v>5</v>
      </c>
      <c r="M7" s="2">
        <f>+M4-M5+M6</f>
        <v>-4.5698196999999965</v>
      </c>
    </row>
    <row r="8" spans="2:14" x14ac:dyDescent="0.2">
      <c r="B8" s="6"/>
      <c r="C8" s="7"/>
      <c r="D8" s="7"/>
      <c r="E8" s="7"/>
      <c r="F8" s="7"/>
      <c r="G8" s="7"/>
      <c r="H8" s="8"/>
    </row>
    <row r="9" spans="2:14" x14ac:dyDescent="0.2">
      <c r="K9" s="1" t="s">
        <v>11</v>
      </c>
    </row>
    <row r="13" spans="2:14" x14ac:dyDescent="0.2">
      <c r="B13" s="13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6D558-BC7E-4B63-893B-A725DF1873B6}">
  <dimension ref="A1:M29"/>
  <sheetViews>
    <sheetView tabSelected="1"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8" sqref="J8"/>
    </sheetView>
  </sheetViews>
  <sheetFormatPr defaultRowHeight="12.75" x14ac:dyDescent="0.2"/>
  <cols>
    <col min="1" max="1" width="5" style="13" bestFit="1" customWidth="1"/>
    <col min="2" max="2" width="19.5703125" style="13" customWidth="1"/>
    <col min="3" max="10" width="9.140625" style="12"/>
    <col min="11" max="16384" width="9.140625" style="13"/>
  </cols>
  <sheetData>
    <row r="1" spans="1:13" x14ac:dyDescent="0.2">
      <c r="A1" s="18" t="s">
        <v>16</v>
      </c>
    </row>
    <row r="2" spans="1:13" x14ac:dyDescent="0.2">
      <c r="C2" s="12" t="s">
        <v>18</v>
      </c>
      <c r="D2" s="12" t="s">
        <v>19</v>
      </c>
      <c r="E2" s="12" t="s">
        <v>6</v>
      </c>
      <c r="F2" s="12" t="s">
        <v>15</v>
      </c>
      <c r="G2" s="12" t="s">
        <v>38</v>
      </c>
      <c r="H2" s="12" t="s">
        <v>39</v>
      </c>
      <c r="I2" s="12" t="s">
        <v>40</v>
      </c>
      <c r="J2" s="12" t="s">
        <v>41</v>
      </c>
      <c r="L2" s="13">
        <v>2023</v>
      </c>
      <c r="M2" s="13">
        <v>2024</v>
      </c>
    </row>
    <row r="3" spans="1:13" s="17" customFormat="1" x14ac:dyDescent="0.2">
      <c r="B3" s="17" t="s">
        <v>17</v>
      </c>
      <c r="C3" s="16">
        <v>0</v>
      </c>
      <c r="D3" s="16">
        <v>2264</v>
      </c>
      <c r="E3" s="16">
        <v>9300</v>
      </c>
      <c r="F3" s="16">
        <v>13800</v>
      </c>
      <c r="G3" s="16">
        <f>+F3+8000</f>
        <v>21800</v>
      </c>
      <c r="H3" s="16">
        <f>+G3+8000</f>
        <v>29800</v>
      </c>
      <c r="I3" s="16"/>
      <c r="J3" s="16"/>
      <c r="L3" s="17">
        <v>0</v>
      </c>
      <c r="M3" s="17">
        <v>25384</v>
      </c>
    </row>
    <row r="4" spans="1:13" s="14" customFormat="1" x14ac:dyDescent="0.2">
      <c r="B4" s="14" t="s">
        <v>32</v>
      </c>
      <c r="C4" s="15">
        <v>0</v>
      </c>
      <c r="D4" s="15">
        <v>88</v>
      </c>
      <c r="E4" s="15">
        <v>806</v>
      </c>
      <c r="F4" s="15">
        <f>1618-E4-D4</f>
        <v>724</v>
      </c>
      <c r="G4" s="15">
        <f>+G3*0.1</f>
        <v>2180</v>
      </c>
      <c r="H4" s="15">
        <f>+H3*0.1</f>
        <v>2980</v>
      </c>
      <c r="I4" s="15"/>
      <c r="J4" s="15"/>
    </row>
    <row r="5" spans="1:13" s="14" customFormat="1" x14ac:dyDescent="0.2">
      <c r="B5" s="14" t="s">
        <v>33</v>
      </c>
      <c r="C5" s="15">
        <v>0</v>
      </c>
      <c r="D5" s="15">
        <f>+D3-D4</f>
        <v>2176</v>
      </c>
      <c r="E5" s="15">
        <f>+E3-E4</f>
        <v>8494</v>
      </c>
      <c r="F5" s="15">
        <f>+F3-F4</f>
        <v>13076</v>
      </c>
      <c r="G5" s="15">
        <f>+G3-G4</f>
        <v>19620</v>
      </c>
      <c r="H5" s="15">
        <f>+H3-H4</f>
        <v>26820</v>
      </c>
      <c r="I5" s="15"/>
      <c r="J5" s="15"/>
    </row>
    <row r="6" spans="1:13" s="14" customFormat="1" x14ac:dyDescent="0.2">
      <c r="B6" s="14" t="s">
        <v>34</v>
      </c>
      <c r="C6" s="15">
        <v>31160</v>
      </c>
      <c r="D6" s="15">
        <v>30334</v>
      </c>
      <c r="E6" s="15">
        <v>57850</v>
      </c>
      <c r="F6" s="15">
        <f>137254-E6-D6-C6</f>
        <v>17910</v>
      </c>
      <c r="G6" s="15">
        <f>+F6+-1500</f>
        <v>16410</v>
      </c>
      <c r="H6" s="15">
        <f>+G6+-1500</f>
        <v>14910</v>
      </c>
      <c r="I6" s="15"/>
      <c r="J6" s="15"/>
    </row>
    <row r="7" spans="1:13" s="14" customFormat="1" x14ac:dyDescent="0.2">
      <c r="B7" s="14" t="s">
        <v>35</v>
      </c>
      <c r="C7" s="15">
        <v>14929</v>
      </c>
      <c r="D7" s="15">
        <v>21089</v>
      </c>
      <c r="E7" s="15">
        <v>12955</v>
      </c>
      <c r="F7" s="15">
        <f>63388-E7-D7-C7</f>
        <v>14415</v>
      </c>
      <c r="G7" s="15">
        <f>+F7</f>
        <v>14415</v>
      </c>
      <c r="H7" s="15">
        <f>+G7</f>
        <v>14415</v>
      </c>
      <c r="I7" s="15"/>
      <c r="J7" s="15"/>
    </row>
    <row r="8" spans="1:13" s="14" customFormat="1" x14ac:dyDescent="0.2">
      <c r="B8" s="14" t="s">
        <v>36</v>
      </c>
      <c r="C8" s="15">
        <f t="shared" ref="C8" si="0">+C7+C6</f>
        <v>46089</v>
      </c>
      <c r="D8" s="15">
        <f t="shared" ref="D8" si="1">+D7+D6</f>
        <v>51423</v>
      </c>
      <c r="E8" s="15">
        <f>+E7+E6</f>
        <v>70805</v>
      </c>
      <c r="F8" s="15">
        <f>+F7+F6</f>
        <v>32325</v>
      </c>
      <c r="G8" s="15">
        <f>+G7+G6</f>
        <v>30825</v>
      </c>
      <c r="H8" s="15">
        <f>+H7+H6</f>
        <v>29325</v>
      </c>
      <c r="I8" s="15"/>
      <c r="J8" s="15"/>
    </row>
    <row r="9" spans="1:13" x14ac:dyDescent="0.2">
      <c r="B9" s="13" t="s">
        <v>37</v>
      </c>
      <c r="C9" s="15">
        <f t="shared" ref="C9" si="2">+C5-C8</f>
        <v>-46089</v>
      </c>
      <c r="D9" s="15">
        <f t="shared" ref="D9" si="3">+D5-D8</f>
        <v>-49247</v>
      </c>
      <c r="E9" s="15">
        <f>+E5-E8</f>
        <v>-62311</v>
      </c>
      <c r="F9" s="15">
        <f>+F5-F8</f>
        <v>-19249</v>
      </c>
      <c r="G9" s="15">
        <f>+G5-G8</f>
        <v>-11205</v>
      </c>
      <c r="H9" s="15">
        <f>+H5-H8</f>
        <v>-2505</v>
      </c>
      <c r="I9" s="15"/>
    </row>
    <row r="12" spans="1:13" s="14" customFormat="1" x14ac:dyDescent="0.2">
      <c r="B12" s="14" t="s">
        <v>3</v>
      </c>
      <c r="C12" s="15"/>
      <c r="D12" s="15"/>
      <c r="E12" s="15">
        <v>106869</v>
      </c>
      <c r="F12" s="15">
        <v>69349</v>
      </c>
      <c r="G12" s="15"/>
      <c r="H12" s="15"/>
      <c r="I12" s="15"/>
      <c r="J12" s="15"/>
    </row>
    <row r="13" spans="1:13" s="14" customFormat="1" x14ac:dyDescent="0.2">
      <c r="B13" s="14" t="s">
        <v>21</v>
      </c>
      <c r="C13" s="15"/>
      <c r="D13" s="15"/>
      <c r="E13" s="15">
        <v>8154</v>
      </c>
      <c r="F13" s="15">
        <v>10906</v>
      </c>
      <c r="G13" s="15"/>
      <c r="H13" s="15"/>
      <c r="I13" s="15"/>
      <c r="J13" s="15"/>
    </row>
    <row r="14" spans="1:13" s="14" customFormat="1" x14ac:dyDescent="0.2">
      <c r="B14" s="14" t="s">
        <v>22</v>
      </c>
      <c r="C14" s="15"/>
      <c r="D14" s="15"/>
      <c r="E14" s="15">
        <v>9011</v>
      </c>
      <c r="F14" s="15">
        <v>20426</v>
      </c>
      <c r="G14" s="15"/>
      <c r="H14" s="15"/>
      <c r="I14" s="15"/>
      <c r="J14" s="15"/>
    </row>
    <row r="15" spans="1:13" s="17" customFormat="1" x14ac:dyDescent="0.2">
      <c r="B15" s="17" t="s">
        <v>23</v>
      </c>
      <c r="C15" s="16"/>
      <c r="D15" s="16"/>
      <c r="E15" s="16">
        <v>27067</v>
      </c>
      <c r="F15" s="16">
        <v>25907</v>
      </c>
      <c r="G15" s="16"/>
      <c r="H15" s="16"/>
      <c r="I15" s="16"/>
      <c r="J15" s="16"/>
    </row>
    <row r="16" spans="1:13" s="14" customFormat="1" x14ac:dyDescent="0.2">
      <c r="B16" s="14" t="s">
        <v>24</v>
      </c>
      <c r="C16" s="15"/>
      <c r="D16" s="15"/>
      <c r="E16" s="15">
        <v>1640</v>
      </c>
      <c r="F16" s="15">
        <v>1508</v>
      </c>
      <c r="G16" s="15"/>
      <c r="H16" s="15"/>
      <c r="I16" s="15"/>
      <c r="J16" s="15"/>
    </row>
    <row r="17" spans="2:10" s="14" customFormat="1" x14ac:dyDescent="0.2">
      <c r="B17" s="14" t="s">
        <v>25</v>
      </c>
      <c r="C17" s="15"/>
      <c r="D17" s="15"/>
      <c r="E17" s="15">
        <v>1729</v>
      </c>
      <c r="F17" s="15">
        <v>1385</v>
      </c>
      <c r="G17" s="15"/>
      <c r="H17" s="15"/>
      <c r="I17" s="15"/>
      <c r="J17" s="15"/>
    </row>
    <row r="18" spans="2:10" s="14" customFormat="1" x14ac:dyDescent="0.2">
      <c r="B18" s="14" t="s">
        <v>26</v>
      </c>
      <c r="C18" s="15"/>
      <c r="D18" s="15"/>
      <c r="E18" s="15">
        <v>7452</v>
      </c>
      <c r="F18" s="15">
        <v>34</v>
      </c>
      <c r="G18" s="15"/>
      <c r="H18" s="15"/>
      <c r="I18" s="15"/>
      <c r="J18" s="15"/>
    </row>
    <row r="19" spans="2:10" s="14" customFormat="1" x14ac:dyDescent="0.2">
      <c r="B19" s="14" t="s">
        <v>20</v>
      </c>
      <c r="C19" s="15"/>
      <c r="D19" s="15"/>
      <c r="E19" s="15">
        <f>SUM(E12:E18)</f>
        <v>161922</v>
      </c>
      <c r="F19" s="15">
        <f>SUM(F12:F18)</f>
        <v>129515</v>
      </c>
      <c r="G19" s="15"/>
      <c r="H19" s="15"/>
      <c r="I19" s="15"/>
      <c r="J19" s="15"/>
    </row>
    <row r="21" spans="2:10" s="14" customFormat="1" x14ac:dyDescent="0.2">
      <c r="B21" s="14" t="s">
        <v>29</v>
      </c>
      <c r="C21" s="15"/>
      <c r="D21" s="15"/>
      <c r="E21" s="15">
        <v>17707</v>
      </c>
      <c r="F21" s="15">
        <v>10448</v>
      </c>
      <c r="G21" s="15"/>
      <c r="H21" s="15"/>
      <c r="I21" s="15"/>
      <c r="J21" s="15"/>
    </row>
    <row r="22" spans="2:10" s="14" customFormat="1" x14ac:dyDescent="0.2">
      <c r="B22" s="14" t="s">
        <v>30</v>
      </c>
      <c r="C22" s="15"/>
      <c r="D22" s="15"/>
      <c r="E22" s="15">
        <v>59401</v>
      </c>
      <c r="F22" s="15">
        <v>50197</v>
      </c>
      <c r="G22" s="15"/>
      <c r="H22" s="15"/>
      <c r="I22" s="15"/>
      <c r="J22" s="15"/>
    </row>
    <row r="23" spans="2:10" s="14" customFormat="1" x14ac:dyDescent="0.2">
      <c r="B23" s="14" t="s">
        <v>25</v>
      </c>
      <c r="C23" s="15"/>
      <c r="D23" s="15"/>
      <c r="E23" s="15">
        <v>1414</v>
      </c>
      <c r="F23" s="15">
        <v>1304</v>
      </c>
      <c r="G23" s="15"/>
      <c r="H23" s="15"/>
      <c r="I23" s="15"/>
      <c r="J23" s="15"/>
    </row>
    <row r="24" spans="2:10" s="14" customFormat="1" x14ac:dyDescent="0.2">
      <c r="B24" s="14" t="s">
        <v>31</v>
      </c>
      <c r="C24" s="15"/>
      <c r="D24" s="15"/>
      <c r="E24" s="15">
        <f>20+219</f>
        <v>239</v>
      </c>
      <c r="F24" s="15">
        <v>27</v>
      </c>
      <c r="G24" s="15"/>
      <c r="H24" s="15"/>
      <c r="I24" s="15"/>
      <c r="J24" s="15"/>
    </row>
    <row r="25" spans="2:10" s="14" customFormat="1" x14ac:dyDescent="0.2">
      <c r="B25" s="14" t="s">
        <v>28</v>
      </c>
      <c r="C25" s="15"/>
      <c r="D25" s="15"/>
      <c r="E25" s="15">
        <v>83161</v>
      </c>
      <c r="F25" s="15">
        <v>67539</v>
      </c>
      <c r="G25" s="15"/>
      <c r="H25" s="15"/>
      <c r="I25" s="15"/>
      <c r="J25" s="15"/>
    </row>
    <row r="26" spans="2:10" s="14" customFormat="1" x14ac:dyDescent="0.2">
      <c r="B26" s="14" t="s">
        <v>27</v>
      </c>
      <c r="C26" s="15"/>
      <c r="D26" s="15"/>
      <c r="E26" s="15">
        <f>SUM(E21:E25)</f>
        <v>161922</v>
      </c>
      <c r="F26" s="15">
        <f>SUM(F21:F25)</f>
        <v>129515</v>
      </c>
      <c r="G26" s="15"/>
      <c r="H26" s="15"/>
      <c r="I26" s="15"/>
      <c r="J26" s="15"/>
    </row>
    <row r="29" spans="2:10" x14ac:dyDescent="0.2">
      <c r="F29" s="15">
        <f>+F12-E12</f>
        <v>-37520</v>
      </c>
      <c r="G29" s="15"/>
      <c r="H29" s="15"/>
      <c r="I29" s="15"/>
    </row>
  </sheetData>
  <hyperlinks>
    <hyperlink ref="A1" location="Main!A1" display="Main" xr:uid="{7FA85A5C-3DF6-4F9C-BABD-6D90ADF69743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CF6BC-D956-4882-8A95-78F37CA185A7}">
  <dimension ref="A1:D14"/>
  <sheetViews>
    <sheetView zoomScale="205" zoomScaleNormal="205" workbookViewId="0">
      <selection activeCell="C14" sqref="C14"/>
    </sheetView>
  </sheetViews>
  <sheetFormatPr defaultRowHeight="12.75" x14ac:dyDescent="0.2"/>
  <cols>
    <col min="1" max="1" width="5" style="13" bestFit="1" customWidth="1"/>
    <col min="2" max="2" width="12.140625" style="13" bestFit="1" customWidth="1"/>
    <col min="3" max="16384" width="9.140625" style="13"/>
  </cols>
  <sheetData>
    <row r="1" spans="1:4" x14ac:dyDescent="0.2">
      <c r="A1" s="13" t="s">
        <v>16</v>
      </c>
    </row>
    <row r="2" spans="1:4" x14ac:dyDescent="0.2">
      <c r="B2" s="13" t="s">
        <v>43</v>
      </c>
      <c r="C2" s="13" t="s">
        <v>44</v>
      </c>
    </row>
    <row r="3" spans="1:4" x14ac:dyDescent="0.2">
      <c r="B3" s="13" t="s">
        <v>45</v>
      </c>
      <c r="C3" s="13" t="s">
        <v>46</v>
      </c>
    </row>
    <row r="4" spans="1:4" x14ac:dyDescent="0.2">
      <c r="B4" s="13" t="s">
        <v>8</v>
      </c>
    </row>
    <row r="5" spans="1:4" x14ac:dyDescent="0.2">
      <c r="B5" s="13" t="s">
        <v>12</v>
      </c>
    </row>
    <row r="6" spans="1:4" x14ac:dyDescent="0.2">
      <c r="B6" s="13" t="s">
        <v>47</v>
      </c>
    </row>
    <row r="7" spans="1:4" x14ac:dyDescent="0.2">
      <c r="C7" s="19" t="s">
        <v>48</v>
      </c>
    </row>
    <row r="13" spans="1:4" x14ac:dyDescent="0.2">
      <c r="C13" s="13">
        <v>62.9</v>
      </c>
      <c r="D13" s="13">
        <v>100000</v>
      </c>
    </row>
    <row r="14" spans="1:4" x14ac:dyDescent="0.2">
      <c r="C14" s="14">
        <f>300000/D13*C13*1000</f>
        <v>188700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Pemgarda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2025-02-03T15:51:55Z</dcterms:created>
  <dcterms:modified xsi:type="dcterms:W3CDTF">2025-04-03T18:10:06Z</dcterms:modified>
</cp:coreProperties>
</file>