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F89C383-E167-41B7-B5AC-21C28D4C0323}" xr6:coauthVersionLast="47" xr6:coauthVersionMax="47" xr10:uidLastSave="{00000000-0000-0000-0000-000000000000}"/>
  <bookViews>
    <workbookView xWindow="-51030" yWindow="675" windowWidth="27150" windowHeight="18675" xr2:uid="{33C7C26D-0188-413E-9F63-FE8DEDAC27B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D42" i="2"/>
  <c r="C42" i="2"/>
  <c r="J7" i="1"/>
  <c r="E36" i="2"/>
  <c r="E34" i="2"/>
  <c r="E31" i="2"/>
  <c r="E37" i="2" s="1"/>
  <c r="E26" i="2"/>
  <c r="E21" i="2"/>
  <c r="E28" i="2" s="1"/>
  <c r="E23" i="2"/>
  <c r="E46" i="2" s="1"/>
  <c r="D17" i="2"/>
  <c r="E17" i="2"/>
  <c r="C12" i="2"/>
  <c r="C10" i="2"/>
  <c r="C8" i="2"/>
  <c r="C5" i="2"/>
  <c r="C18" i="2" s="1"/>
  <c r="D12" i="2"/>
  <c r="D10" i="2"/>
  <c r="D8" i="2"/>
  <c r="D5" i="2"/>
  <c r="D9" i="2" s="1"/>
  <c r="D11" i="2" s="1"/>
  <c r="E12" i="2"/>
  <c r="E10" i="2"/>
  <c r="E8" i="2"/>
  <c r="E5" i="2"/>
  <c r="D2" i="2"/>
  <c r="E2" i="2" s="1"/>
  <c r="F2" i="2" s="1"/>
  <c r="J4" i="1"/>
  <c r="D19" i="2" l="1"/>
  <c r="D18" i="2"/>
  <c r="C9" i="2"/>
  <c r="D13" i="2"/>
  <c r="D14" i="2" s="1"/>
  <c r="E9" i="2"/>
  <c r="E18" i="2"/>
  <c r="C11" i="2" l="1"/>
  <c r="C13" i="2" s="1"/>
  <c r="C14" i="2" s="1"/>
  <c r="C19" i="2"/>
  <c r="E19" i="2"/>
  <c r="E11" i="2"/>
  <c r="E13" i="2" s="1"/>
  <c r="E47" i="2" l="1"/>
  <c r="E14" i="2"/>
</calcChain>
</file>

<file path=xl/sharedStrings.xml><?xml version="1.0" encoding="utf-8"?>
<sst xmlns="http://schemas.openxmlformats.org/spreadsheetml/2006/main" count="47" uniqueCount="40">
  <si>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</si>
  <si>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</si>
  <si>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</si>
  <si>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</si>
  <si>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</si>
  <si>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</si>
  <si>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</si>
  <si>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</si>
  <si>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</si>
  <si>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</si>
  <si>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Gross Margin</t>
  </si>
  <si>
    <t>SG&amp;A</t>
  </si>
  <si>
    <t>R&amp;D</t>
  </si>
  <si>
    <t>Operating Margin</t>
  </si>
  <si>
    <t>Operating Income</t>
  </si>
  <si>
    <t>Operating Expenses</t>
  </si>
  <si>
    <t>Interest Income</t>
  </si>
  <si>
    <t>Pretax Income</t>
  </si>
  <si>
    <t>Taxes</t>
  </si>
  <si>
    <t>Net Income</t>
  </si>
  <si>
    <t>EPS</t>
  </si>
  <si>
    <t>Revenue y/y</t>
  </si>
  <si>
    <t>PP&amp;E</t>
  </si>
  <si>
    <t>Prepaids</t>
  </si>
  <si>
    <t>Inventories</t>
  </si>
  <si>
    <t>AR</t>
  </si>
  <si>
    <t>Other</t>
  </si>
  <si>
    <t>Goodwill</t>
  </si>
  <si>
    <t>Assets</t>
  </si>
  <si>
    <t>AP</t>
  </si>
  <si>
    <t>Contract</t>
  </si>
  <si>
    <t>Credits</t>
  </si>
  <si>
    <t>SE</t>
  </si>
  <si>
    <t>L+SE</t>
  </si>
  <si>
    <t>Q424</t>
  </si>
  <si>
    <t>CFFO</t>
  </si>
  <si>
    <t>CX</t>
  </si>
  <si>
    <t>FCF</t>
  </si>
  <si>
    <t>ROTA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</si>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</sst>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2" fillId="0" borderId="0" xfId="1"/>
    <xf numFmtId="9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851396C-6CB7-4179-AA62-6BE8348710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7D5B-873E-460F-A6D7-D105909C0F3A}">
  <dimension ref="I2:K8"/>
  <sheetViews>
    <sheetView tabSelected="1" zoomScale="205" zoomScaleNormal="205" workbookViewId="0">
      <selection activeCell="B2" sqref="B2"/>
    </sheetView>
  </sheetViews>
  <sheetFormatPr defaultRowHeight="12.75" x14ac:dyDescent="0.2"/>
  <sheetData>
    <row r="2" spans="9:11" x14ac:dyDescent="0.2">
      <c r="I2" s="1" t="s">
        <v>0</v>
      </c>
      <c r="J2" s="1">
        <v>462</v>
      </c>
    </row>
    <row r="3" spans="9:11" x14ac:dyDescent="0.2">
      <c r="I3" t="s">
        <v>1</v>
      </c>
      <c r="J3" s="2">
        <v>482.09199999999998</v>
      </c>
      <c r="K3" s="6" t="s">
        <v>34</v>
      </c>
    </row>
    <row r="4" spans="9:11" x14ac:dyDescent="0.2">
      <c r="I4" t="s">
        <v>2</v>
      </c>
      <c r="J4" s="2">
        <f>+J2*J3</f>
        <v>222726.50399999999</v>
      </c>
    </row>
    <row r="5" spans="9:11" x14ac:dyDescent="0.2">
      <c r="I5" t="s">
        <v>3</v>
      </c>
      <c r="J5" s="2">
        <v>6980</v>
      </c>
      <c r="K5" s="6" t="s">
        <v>34</v>
      </c>
    </row>
    <row r="6" spans="9:11" x14ac:dyDescent="0.2">
      <c r="I6" t="s">
        <v>4</v>
      </c>
      <c r="J6" s="2">
        <v>21623</v>
      </c>
      <c r="K6" s="6" t="s">
        <v>34</v>
      </c>
    </row>
    <row r="7" spans="9:11" x14ac:dyDescent="0.2">
      <c r="I7" t="s">
        <v>5</v>
      </c>
      <c r="J7" s="2">
        <f>+J4-J5+J6</f>
        <v>237369.50399999999</v>
      </c>
    </row>
    <row r="8" spans="9:11" x14ac:dyDescent="0.2">
      <c r="J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610F-780A-4489-B410-4A59B9A0ECAE}">
  <dimension ref="A1:J62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5" sqref="C15"/>
    </sheetView>
  </sheetViews>
  <sheetFormatPr defaultRowHeight="12.75" x14ac:dyDescent="0.2"/>
  <cols>
    <col min="1" max="1" width="5" bestFit="1" customWidth="1"/>
    <col min="2" max="2" width="19.5703125" customWidth="1"/>
    <col min="5" max="5" width="9.7109375" bestFit="1" customWidth="1"/>
    <col min="6" max="7" width="9.28515625" bestFit="1" customWidth="1"/>
    <col min="8" max="9" width="10.140625" bestFit="1" customWidth="1"/>
  </cols>
  <sheetData>
    <row r="1" spans="1:6" x14ac:dyDescent="0.2">
      <c r="A1" s="3" t="s">
        <v>6</v>
      </c>
    </row>
    <row r="2" spans="1:6" x14ac:dyDescent="0.2">
      <c r="C2">
        <v>2022</v>
      </c>
      <c r="D2">
        <f>+C2+1</f>
        <v>2023</v>
      </c>
      <c r="E2">
        <f>+D2+1</f>
        <v>2024</v>
      </c>
      <c r="F2">
        <f>+E2+1</f>
        <v>2025</v>
      </c>
    </row>
    <row r="3" spans="1:6" s="5" customFormat="1" x14ac:dyDescent="0.2">
      <c r="B3" s="5" t="s">
        <v>7</v>
      </c>
      <c r="C3" s="5">
        <v>33364</v>
      </c>
      <c r="D3" s="5">
        <v>32854</v>
      </c>
      <c r="E3" s="5">
        <v>33005</v>
      </c>
    </row>
    <row r="4" spans="1:6" x14ac:dyDescent="0.2">
      <c r="B4" t="s">
        <v>8</v>
      </c>
      <c r="C4" s="2">
        <v>19450</v>
      </c>
      <c r="D4" s="2">
        <v>17492</v>
      </c>
      <c r="E4" s="2">
        <v>17143</v>
      </c>
    </row>
    <row r="5" spans="1:6" x14ac:dyDescent="0.2">
      <c r="B5" t="s">
        <v>9</v>
      </c>
      <c r="C5" s="2">
        <f>+C3-C4</f>
        <v>13914</v>
      </c>
      <c r="D5" s="2">
        <f>+D3-D4</f>
        <v>15362</v>
      </c>
      <c r="E5" s="2">
        <f>+E3-E4</f>
        <v>15862</v>
      </c>
    </row>
    <row r="6" spans="1:6" x14ac:dyDescent="0.2">
      <c r="B6" t="s">
        <v>11</v>
      </c>
      <c r="C6" s="2">
        <v>3107</v>
      </c>
      <c r="D6" s="2">
        <v>3295</v>
      </c>
      <c r="E6" s="2">
        <v>3337</v>
      </c>
    </row>
    <row r="7" spans="1:6" x14ac:dyDescent="0.2">
      <c r="B7" t="s">
        <v>12</v>
      </c>
      <c r="C7" s="2">
        <v>143</v>
      </c>
      <c r="D7" s="2">
        <v>146</v>
      </c>
      <c r="E7" s="2">
        <v>150</v>
      </c>
    </row>
    <row r="8" spans="1:6" x14ac:dyDescent="0.2">
      <c r="B8" t="s">
        <v>15</v>
      </c>
      <c r="C8" s="2">
        <f>+C7+C6</f>
        <v>3250</v>
      </c>
      <c r="D8" s="2">
        <f>+D7+D6</f>
        <v>3441</v>
      </c>
      <c r="E8" s="2">
        <f>+E7+E6</f>
        <v>3487</v>
      </c>
    </row>
    <row r="9" spans="1:6" x14ac:dyDescent="0.2">
      <c r="B9" t="s">
        <v>14</v>
      </c>
      <c r="C9" s="2">
        <f>+C5-C8</f>
        <v>10664</v>
      </c>
      <c r="D9" s="2">
        <f>+D5-D8</f>
        <v>11921</v>
      </c>
      <c r="E9" s="2">
        <f>+E5-E8</f>
        <v>12375</v>
      </c>
    </row>
    <row r="10" spans="1:6" x14ac:dyDescent="0.2">
      <c r="B10" t="s">
        <v>16</v>
      </c>
      <c r="C10" s="2">
        <f>-62-63</f>
        <v>-125</v>
      </c>
      <c r="D10" s="2">
        <f>-164-41</f>
        <v>-205</v>
      </c>
      <c r="E10" s="2">
        <f>-256+185</f>
        <v>-71</v>
      </c>
    </row>
    <row r="11" spans="1:6" x14ac:dyDescent="0.2">
      <c r="B11" t="s">
        <v>17</v>
      </c>
      <c r="C11" s="2">
        <f>+C9+C10</f>
        <v>10539</v>
      </c>
      <c r="D11" s="2">
        <f>+D9+D10</f>
        <v>11716</v>
      </c>
      <c r="E11" s="2">
        <f>+E9+E10</f>
        <v>12304</v>
      </c>
    </row>
    <row r="12" spans="1:6" s="2" customFormat="1" x14ac:dyDescent="0.2">
      <c r="B12" s="2" t="s">
        <v>18</v>
      </c>
      <c r="C12" s="2">
        <f>1434+172-134</f>
        <v>1472</v>
      </c>
      <c r="D12" s="2">
        <f>1814+167-142</f>
        <v>1839</v>
      </c>
      <c r="E12" s="2">
        <f>2002+170-172</f>
        <v>2000</v>
      </c>
    </row>
    <row r="13" spans="1:6" x14ac:dyDescent="0.2">
      <c r="B13" t="s">
        <v>19</v>
      </c>
      <c r="C13" s="2">
        <f>+C11-C12</f>
        <v>9067</v>
      </c>
      <c r="D13" s="2">
        <f>+D11-D12</f>
        <v>9877</v>
      </c>
      <c r="E13" s="2">
        <f>+E11-E12</f>
        <v>10304</v>
      </c>
    </row>
    <row r="14" spans="1:6" x14ac:dyDescent="0.2">
      <c r="B14" t="s">
        <v>20</v>
      </c>
      <c r="C14" s="1">
        <f>+C13/C15</f>
        <v>17.990079365079364</v>
      </c>
      <c r="D14" s="1">
        <f t="shared" ref="D14:E14" si="0">+D13/D15</f>
        <v>20.063377277620912</v>
      </c>
      <c r="E14" s="1">
        <f t="shared" si="0"/>
        <v>21.373513769156094</v>
      </c>
    </row>
    <row r="15" spans="1:6" x14ac:dyDescent="0.2">
      <c r="B15" t="s">
        <v>1</v>
      </c>
      <c r="C15" s="2">
        <v>504</v>
      </c>
      <c r="D15" s="2">
        <v>492.29</v>
      </c>
      <c r="E15" s="2">
        <v>482.09199999999998</v>
      </c>
    </row>
    <row r="17" spans="2:5" x14ac:dyDescent="0.2">
      <c r="B17" t="s">
        <v>21</v>
      </c>
      <c r="D17" s="4">
        <f>+D3/C3-1</f>
        <v>-1.5285936938017053E-2</v>
      </c>
      <c r="E17" s="4">
        <f>+E3/D3-1</f>
        <v>4.5960918000851336E-3</v>
      </c>
    </row>
    <row r="18" spans="2:5" x14ac:dyDescent="0.2">
      <c r="B18" t="s">
        <v>10</v>
      </c>
      <c r="C18" s="4">
        <f t="shared" ref="C18:D18" si="1">+C5/C3</f>
        <v>0.41703632657954681</v>
      </c>
      <c r="D18" s="4">
        <f t="shared" si="1"/>
        <v>0.46758385584708101</v>
      </c>
      <c r="E18" s="4">
        <f>+E5/E3</f>
        <v>0.48059384941675504</v>
      </c>
    </row>
    <row r="19" spans="2:5" x14ac:dyDescent="0.2">
      <c r="B19" t="s">
        <v>13</v>
      </c>
      <c r="C19" s="4">
        <f t="shared" ref="C19:D19" si="2">+C9/C3</f>
        <v>0.31962594413139911</v>
      </c>
      <c r="D19" s="4">
        <f t="shared" si="2"/>
        <v>0.36284775065441044</v>
      </c>
      <c r="E19" s="4">
        <f>+E9/E3</f>
        <v>0.37494319042569307</v>
      </c>
    </row>
    <row r="21" spans="2:5" s="2" customFormat="1" x14ac:dyDescent="0.2">
      <c r="B21" s="2" t="s">
        <v>3</v>
      </c>
      <c r="E21" s="2">
        <f>4850+2130</f>
        <v>6980</v>
      </c>
    </row>
    <row r="22" spans="2:5" s="2" customFormat="1" x14ac:dyDescent="0.2">
      <c r="B22" s="2" t="s">
        <v>25</v>
      </c>
      <c r="E22" s="2">
        <v>4622</v>
      </c>
    </row>
    <row r="23" spans="2:5" s="2" customFormat="1" x14ac:dyDescent="0.2">
      <c r="B23" s="2" t="s">
        <v>24</v>
      </c>
      <c r="E23" s="2">
        <f>263+1946</f>
        <v>2209</v>
      </c>
    </row>
    <row r="24" spans="2:5" s="2" customFormat="1" x14ac:dyDescent="0.2">
      <c r="B24" s="2" t="s">
        <v>23</v>
      </c>
      <c r="E24" s="2">
        <v>1264</v>
      </c>
    </row>
    <row r="25" spans="2:5" s="2" customFormat="1" x14ac:dyDescent="0.2">
      <c r="B25" s="2" t="s">
        <v>22</v>
      </c>
      <c r="E25" s="2">
        <v>24775</v>
      </c>
    </row>
    <row r="26" spans="2:5" x14ac:dyDescent="0.2">
      <c r="B26" s="2" t="s">
        <v>27</v>
      </c>
      <c r="E26" s="2">
        <f>25937+11330</f>
        <v>37267</v>
      </c>
    </row>
    <row r="27" spans="2:5" x14ac:dyDescent="0.2">
      <c r="B27" s="2" t="s">
        <v>26</v>
      </c>
      <c r="E27" s="2">
        <v>3030</v>
      </c>
    </row>
    <row r="28" spans="2:5" x14ac:dyDescent="0.2">
      <c r="B28" s="2" t="s">
        <v>28</v>
      </c>
      <c r="E28" s="2">
        <f>SUM(E21:E27)</f>
        <v>80147</v>
      </c>
    </row>
    <row r="30" spans="2:5" s="2" customFormat="1" x14ac:dyDescent="0.2">
      <c r="B30" s="2" t="s">
        <v>29</v>
      </c>
      <c r="E30" s="2">
        <v>2507</v>
      </c>
    </row>
    <row r="31" spans="2:5" s="2" customFormat="1" x14ac:dyDescent="0.2">
      <c r="B31" s="2" t="s">
        <v>4</v>
      </c>
      <c r="E31" s="2">
        <f>15343+4223+2057</f>
        <v>21623</v>
      </c>
    </row>
    <row r="32" spans="2:5" s="2" customFormat="1" x14ac:dyDescent="0.2">
      <c r="B32" s="2" t="s">
        <v>30</v>
      </c>
      <c r="E32" s="2">
        <v>1194</v>
      </c>
    </row>
    <row r="33" spans="2:5" s="2" customFormat="1" x14ac:dyDescent="0.2">
      <c r="B33" s="2" t="s">
        <v>18</v>
      </c>
      <c r="E33" s="2">
        <v>637</v>
      </c>
    </row>
    <row r="34" spans="2:5" s="2" customFormat="1" x14ac:dyDescent="0.2">
      <c r="B34" s="2" t="s">
        <v>26</v>
      </c>
      <c r="E34" s="2">
        <f>3926+4015</f>
        <v>7941</v>
      </c>
    </row>
    <row r="35" spans="2:5" s="2" customFormat="1" x14ac:dyDescent="0.2">
      <c r="B35" s="2" t="s">
        <v>31</v>
      </c>
      <c r="E35" s="2">
        <v>6757</v>
      </c>
    </row>
    <row r="36" spans="2:5" s="2" customFormat="1" x14ac:dyDescent="0.2">
      <c r="B36" s="2" t="s">
        <v>32</v>
      </c>
      <c r="E36" s="2">
        <f>39475+13</f>
        <v>39488</v>
      </c>
    </row>
    <row r="37" spans="2:5" s="2" customFormat="1" x14ac:dyDescent="0.2">
      <c r="B37" s="2" t="s">
        <v>33</v>
      </c>
      <c r="E37" s="2">
        <f>SUM(E30:E36)</f>
        <v>80147</v>
      </c>
    </row>
    <row r="40" spans="2:5" s="2" customFormat="1" x14ac:dyDescent="0.2">
      <c r="B40" s="2" t="s">
        <v>35</v>
      </c>
      <c r="C40" s="2">
        <v>8864</v>
      </c>
      <c r="D40" s="2">
        <v>9305</v>
      </c>
      <c r="E40" s="2">
        <v>9423</v>
      </c>
    </row>
    <row r="41" spans="2:5" s="2" customFormat="1" x14ac:dyDescent="0.2">
      <c r="B41" s="2" t="s">
        <v>36</v>
      </c>
      <c r="C41" s="2">
        <v>3173</v>
      </c>
      <c r="D41" s="2">
        <v>3787</v>
      </c>
      <c r="E41" s="2">
        <v>4497</v>
      </c>
    </row>
    <row r="42" spans="2:5" s="2" customFormat="1" x14ac:dyDescent="0.2">
      <c r="B42" s="2" t="s">
        <v>37</v>
      </c>
      <c r="C42" s="2">
        <f>+C40-C41</f>
        <v>5691</v>
      </c>
      <c r="D42" s="2">
        <f>+D40-D41</f>
        <v>5518</v>
      </c>
      <c r="E42" s="2">
        <f>+E40-E41</f>
        <v>4926</v>
      </c>
    </row>
    <row r="46" spans="2:5" x14ac:dyDescent="0.2">
      <c r="B46" t="s">
        <v>39</v>
      </c>
      <c r="E46" s="2">
        <f>+E22+E23+E25</f>
        <v>31606</v>
      </c>
    </row>
    <row r="47" spans="2:5" x14ac:dyDescent="0.2">
      <c r="B47" t="s">
        <v>38</v>
      </c>
      <c r="E47" s="4">
        <f>+E13/E46</f>
        <v>0.32601404796557615</v>
      </c>
    </row>
    <row r="51" spans="4:10" x14ac:dyDescent="0.2">
      <c r="E51" s="2"/>
      <c r="F51" s="2"/>
      <c r="G51" s="2"/>
      <c r="H51" s="2"/>
    </row>
    <row r="52" spans="4:10" x14ac:dyDescent="0.2">
      <c r="E52" s="2"/>
      <c r="F52" s="2"/>
      <c r="G52" s="2"/>
      <c r="H52" s="2"/>
      <c r="I52" s="2"/>
      <c r="J52" s="2"/>
    </row>
    <row r="53" spans="4:10" x14ac:dyDescent="0.2">
      <c r="E53" s="2"/>
      <c r="F53" s="2"/>
      <c r="G53" s="2"/>
      <c r="H53" s="2"/>
    </row>
    <row r="54" spans="4:10" x14ac:dyDescent="0.2">
      <c r="E54" s="2"/>
      <c r="F54" s="2"/>
      <c r="G54" s="2"/>
      <c r="H54" s="2"/>
      <c r="I54" s="2"/>
    </row>
    <row r="55" spans="4:10" x14ac:dyDescent="0.2">
      <c r="E55" s="2"/>
      <c r="F55" s="2"/>
      <c r="G55" s="2"/>
      <c r="H55" s="2"/>
    </row>
    <row r="56" spans="4:10" x14ac:dyDescent="0.2">
      <c r="D56" s="2"/>
      <c r="E56" s="2"/>
      <c r="F56" s="2"/>
      <c r="G56" s="2"/>
      <c r="H56" s="2"/>
      <c r="I56" s="2"/>
      <c r="J56" s="2"/>
    </row>
    <row r="57" spans="4:10" x14ac:dyDescent="0.2">
      <c r="D57" s="2"/>
      <c r="E57" s="2"/>
      <c r="F57" s="2"/>
      <c r="G57" s="2"/>
      <c r="H57" s="2"/>
      <c r="I57" s="2"/>
      <c r="J57" s="2"/>
    </row>
    <row r="58" spans="4:10" x14ac:dyDescent="0.2">
      <c r="D58" s="2"/>
      <c r="E58" s="2"/>
      <c r="F58" s="2"/>
      <c r="G58" s="2"/>
      <c r="H58" s="2"/>
      <c r="I58" s="2"/>
      <c r="J58" s="2"/>
    </row>
    <row r="59" spans="4:10" x14ac:dyDescent="0.2">
      <c r="D59" s="2"/>
      <c r="E59" s="2"/>
      <c r="F59" s="2"/>
      <c r="G59" s="2"/>
      <c r="H59" s="2"/>
      <c r="I59" s="2"/>
      <c r="J59" s="2"/>
    </row>
    <row r="60" spans="4:10" x14ac:dyDescent="0.2">
      <c r="G60" s="2"/>
      <c r="H60" s="2"/>
      <c r="I60" s="2"/>
      <c r="J60" s="2"/>
    </row>
    <row r="61" spans="4:10" x14ac:dyDescent="0.2">
      <c r="H61" s="2"/>
      <c r="I61" s="2"/>
    </row>
    <row r="62" spans="4:10" x14ac:dyDescent="0.2">
      <c r="E62" s="2"/>
      <c r="F62" s="2"/>
      <c r="G62" s="2"/>
      <c r="H62" s="2"/>
      <c r="I62" s="2"/>
      <c r="J62" s="2"/>
    </row>
  </sheetData>
  <hyperlinks>
    <hyperlink ref="A1" location="Main!A1" display="Main" xr:uid="{1854FD70-EA96-4CA9-9BBA-082433941A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2025-03-26T15:06:09Z</dcterms:created>
  <dcterms:modified xsi:type="dcterms:W3CDTF">2025-03-26T15:42:50Z</dcterms:modified>
</cp:coreProperties>
</file>