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rtin Shkreli - DL\models\"/>
    </mc:Choice>
  </mc:AlternateContent>
  <xr:revisionPtr revIDLastSave="0" documentId="13_ncr:1_{13961351-6C07-42D4-BE88-C40650C85452}" xr6:coauthVersionLast="47" xr6:coauthVersionMax="47" xr10:uidLastSave="{00000000-0000-0000-0000-000000000000}"/>
  <bookViews>
    <workbookView xWindow="18960" yWindow="2280" windowWidth="21500" windowHeight="17570" xr2:uid="{5B4EA0AC-DA0D-4887-B0E1-D758D30BF9FA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0" i="2" l="1"/>
  <c r="J39" i="2"/>
  <c r="J38" i="2"/>
  <c r="J37" i="2"/>
  <c r="H38" i="2"/>
  <c r="I38" i="2" s="1"/>
  <c r="H37" i="2"/>
  <c r="G40" i="2"/>
  <c r="I37" i="2"/>
  <c r="J12" i="2"/>
  <c r="J13" i="2"/>
  <c r="J11" i="2"/>
  <c r="J10" i="2"/>
  <c r="J9" i="2"/>
  <c r="J8" i="2"/>
  <c r="J7" i="2"/>
  <c r="J6" i="2"/>
  <c r="J5" i="2"/>
  <c r="S4" i="2"/>
  <c r="T4" i="2"/>
  <c r="J4" i="2" s="1"/>
  <c r="J3" i="2"/>
  <c r="E4" i="2"/>
  <c r="E5" i="2" s="1"/>
  <c r="E7" i="2" s="1"/>
  <c r="E9" i="2" s="1"/>
  <c r="E11" i="2" s="1"/>
  <c r="E12" i="2" s="1"/>
  <c r="I4" i="2"/>
  <c r="I5" i="2" s="1"/>
  <c r="I7" i="2" s="1"/>
  <c r="I9" i="2" s="1"/>
  <c r="I11" i="2" s="1"/>
  <c r="I12" i="2" s="1"/>
  <c r="L40" i="2"/>
  <c r="K40" i="2"/>
  <c r="N3" i="2"/>
  <c r="M3" i="2"/>
  <c r="T40" i="2"/>
  <c r="S40" i="2"/>
  <c r="R40" i="2"/>
  <c r="S15" i="2"/>
  <c r="T15" i="2"/>
  <c r="R39" i="2"/>
  <c r="S39" i="2"/>
  <c r="T39" i="2"/>
  <c r="R12" i="2"/>
  <c r="R11" i="2"/>
  <c r="T5" i="2"/>
  <c r="T7" i="2" s="1"/>
  <c r="T9" i="2" s="1"/>
  <c r="T11" i="2" s="1"/>
  <c r="T12" i="2" s="1"/>
  <c r="S5" i="2"/>
  <c r="S7" i="2" s="1"/>
  <c r="S9" i="2" s="1"/>
  <c r="S11" i="2" s="1"/>
  <c r="S12" i="2" s="1"/>
  <c r="R7" i="2"/>
  <c r="R9" i="2" s="1"/>
  <c r="R5" i="2"/>
  <c r="R4" i="2"/>
  <c r="X2" i="2"/>
  <c r="W2" i="2"/>
  <c r="V2" i="2"/>
  <c r="U2" i="2"/>
  <c r="T2" i="2"/>
  <c r="S2" i="2"/>
  <c r="R2" i="2"/>
  <c r="L39" i="2"/>
  <c r="L38" i="2"/>
  <c r="L37" i="2"/>
  <c r="G39" i="2"/>
  <c r="K39" i="2"/>
  <c r="K4" i="2"/>
  <c r="K5" i="2" s="1"/>
  <c r="K7" i="2" s="1"/>
  <c r="K9" i="2" s="1"/>
  <c r="K11" i="2" s="1"/>
  <c r="K12" i="2" s="1"/>
  <c r="G4" i="2"/>
  <c r="G5" i="2" s="1"/>
  <c r="G7" i="2" s="1"/>
  <c r="G9" i="2" s="1"/>
  <c r="G11" i="2" s="1"/>
  <c r="G12" i="2" s="1"/>
  <c r="L15" i="2"/>
  <c r="L33" i="2"/>
  <c r="L28" i="2"/>
  <c r="L27" i="2"/>
  <c r="L25" i="2"/>
  <c r="L23" i="2"/>
  <c r="L21" i="2"/>
  <c r="H12" i="2"/>
  <c r="L12" i="2"/>
  <c r="L11" i="2"/>
  <c r="H11" i="2"/>
  <c r="L9" i="2"/>
  <c r="H9" i="2"/>
  <c r="L5" i="2"/>
  <c r="L7" i="2" s="1"/>
  <c r="L4" i="2"/>
  <c r="H4" i="2"/>
  <c r="H5" i="2"/>
  <c r="H7" i="2" s="1"/>
  <c r="K7" i="1"/>
  <c r="K6" i="1"/>
  <c r="K4" i="1"/>
  <c r="H39" i="2" l="1"/>
  <c r="H40" i="2" s="1"/>
  <c r="I39" i="2"/>
  <c r="I40" i="2" s="1"/>
</calcChain>
</file>

<file path=xl/sharedStrings.xml><?xml version="1.0" encoding="utf-8"?>
<sst xmlns="http://schemas.openxmlformats.org/spreadsheetml/2006/main" count="54" uniqueCount="46">
  <si>
    <t>Price</t>
  </si>
  <si>
    <t>Shares</t>
  </si>
  <si>
    <t>MC</t>
  </si>
  <si>
    <t>Cash</t>
  </si>
  <si>
    <t>Debt</t>
  </si>
  <si>
    <t>EV</t>
  </si>
  <si>
    <t>Q224</t>
  </si>
  <si>
    <t>Main</t>
  </si>
  <si>
    <t>Revenue</t>
  </si>
  <si>
    <t>Q122</t>
  </si>
  <si>
    <t>Q222</t>
  </si>
  <si>
    <t>Q322</t>
  </si>
  <si>
    <t>Q422</t>
  </si>
  <si>
    <t>Q123</t>
  </si>
  <si>
    <t>Q223</t>
  </si>
  <si>
    <t>Q323</t>
  </si>
  <si>
    <t>Q423</t>
  </si>
  <si>
    <t>Q124</t>
  </si>
  <si>
    <t>Q324</t>
  </si>
  <si>
    <t>Q424</t>
  </si>
  <si>
    <t>Gross Margin</t>
  </si>
  <si>
    <t>SG&amp;A</t>
  </si>
  <si>
    <t>COGS+D&amp;A</t>
  </si>
  <si>
    <t>Operating Income</t>
  </si>
  <si>
    <t>Interest Expense</t>
  </si>
  <si>
    <t>Pretax Income</t>
  </si>
  <si>
    <t>Taxes</t>
  </si>
  <si>
    <t>Net Income</t>
  </si>
  <si>
    <t>EPS</t>
  </si>
  <si>
    <t>AR</t>
  </si>
  <si>
    <t>Other</t>
  </si>
  <si>
    <t>PP&amp;E</t>
  </si>
  <si>
    <t>Goodwill</t>
  </si>
  <si>
    <t>Assets</t>
  </si>
  <si>
    <t>AP</t>
  </si>
  <si>
    <t>Accrued</t>
  </si>
  <si>
    <t>DR</t>
  </si>
  <si>
    <t>DT</t>
  </si>
  <si>
    <t>Pension</t>
  </si>
  <si>
    <t>SE</t>
  </si>
  <si>
    <t>L+SE</t>
  </si>
  <si>
    <t>Revenue y/y</t>
  </si>
  <si>
    <t>CFFO</t>
  </si>
  <si>
    <t>FCF</t>
  </si>
  <si>
    <t>CX</t>
  </si>
  <si>
    <t>+ Interest Expense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</si>
</sst>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4" fontId="1" fillId="0" borderId="0" xfId="0" applyNumberFormat="1" applyFont="1"/>
    <xf numFmtId="0" fontId="1" fillId="0" borderId="0" xfId="0" applyFont="1" applyAlignment="1">
      <alignment horizontal="right"/>
    </xf>
    <xf numFmtId="3" fontId="1" fillId="0" borderId="0" xfId="0" applyNumberFormat="1" applyFont="1"/>
    <xf numFmtId="4" fontId="1" fillId="0" borderId="0" xfId="0" applyNumberFormat="1" applyFont="1" applyAlignment="1">
      <alignment horizontal="right"/>
    </xf>
    <xf numFmtId="3" fontId="1" fillId="0" borderId="0" xfId="0" applyNumberFormat="1" applyFont="1" applyAlignment="1">
      <alignment horizontal="right"/>
    </xf>
    <xf numFmtId="9" fontId="1" fillId="0" borderId="0" xfId="0" applyNumberFormat="1" applyFont="1" applyAlignment="1">
      <alignment horizontal="right"/>
    </xf>
    <xf numFmtId="3" fontId="2" fillId="0" borderId="0" xfId="0" applyNumberFormat="1" applyFont="1"/>
    <xf numFmtId="3" fontId="2" fillId="0" borderId="0" xfId="0" applyNumberFormat="1" applyFont="1" applyAlignment="1">
      <alignment horizontal="right"/>
    </xf>
    <xf numFmtId="9" fontId="1" fillId="0" borderId="0" xfId="0" applyNumberFormat="1" applyFont="1"/>
    <xf numFmtId="0" fontId="1" fillId="0" borderId="0" xfId="0" quotePrefix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25400</xdr:colOff>
      <xdr:row>0</xdr:row>
      <xdr:rowOff>50800</xdr:rowOff>
    </xdr:from>
    <xdr:to>
      <xdr:col>12</xdr:col>
      <xdr:colOff>25400</xdr:colOff>
      <xdr:row>47</xdr:row>
      <xdr:rowOff>137886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55D2669F-A2E9-2127-78A7-D7E7A8C22AC7}"/>
            </a:ext>
          </a:extLst>
        </xdr:cNvPr>
        <xdr:cNvCxnSpPr/>
      </xdr:nvCxnSpPr>
      <xdr:spPr>
        <a:xfrm>
          <a:off x="7503886" y="50800"/>
          <a:ext cx="0" cy="7598229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606A2-CB03-47D1-BDBC-6A58775A1279}">
  <dimension ref="J2:L7"/>
  <sheetViews>
    <sheetView tabSelected="1" zoomScale="160" zoomScaleNormal="160" workbookViewId="0"/>
  </sheetViews>
  <sheetFormatPr defaultRowHeight="12.5" x14ac:dyDescent="0.25"/>
  <cols>
    <col min="1" max="16384" width="8.7265625" style="1"/>
  </cols>
  <sheetData>
    <row r="2" spans="10:12" x14ac:dyDescent="0.25">
      <c r="J2" s="1" t="s">
        <v>0</v>
      </c>
      <c r="K2" s="2">
        <v>6.21</v>
      </c>
    </row>
    <row r="3" spans="10:12" x14ac:dyDescent="0.25">
      <c r="J3" s="1" t="s">
        <v>1</v>
      </c>
      <c r="K3" s="4">
        <v>1016.810054</v>
      </c>
      <c r="L3" s="3" t="s">
        <v>6</v>
      </c>
    </row>
    <row r="4" spans="10:12" x14ac:dyDescent="0.25">
      <c r="J4" s="1" t="s">
        <v>2</v>
      </c>
      <c r="K4" s="4">
        <f>+K2*K3</f>
        <v>6314.3904353400003</v>
      </c>
    </row>
    <row r="5" spans="10:12" x14ac:dyDescent="0.25">
      <c r="J5" s="1" t="s">
        <v>3</v>
      </c>
      <c r="K5" s="4">
        <v>1495</v>
      </c>
      <c r="L5" s="3" t="s">
        <v>6</v>
      </c>
    </row>
    <row r="6" spans="10:12" x14ac:dyDescent="0.25">
      <c r="J6" s="1" t="s">
        <v>4</v>
      </c>
      <c r="K6" s="4">
        <f>192+18411</f>
        <v>18603</v>
      </c>
      <c r="L6" s="3" t="s">
        <v>6</v>
      </c>
    </row>
    <row r="7" spans="10:12" x14ac:dyDescent="0.25">
      <c r="J7" s="1" t="s">
        <v>5</v>
      </c>
      <c r="K7" s="4">
        <f>+K4-K5+K6</f>
        <v>23422.390435339999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56824-1755-43FB-9D8A-419C550D1CCB}">
  <dimension ref="A1:X40"/>
  <sheetViews>
    <sheetView zoomScale="175" zoomScaleNormal="175" workbookViewId="0">
      <pane xSplit="2" ySplit="2" topLeftCell="P30" activePane="bottomRight" state="frozen"/>
      <selection pane="topRight" activeCell="C1" sqref="C1"/>
      <selection pane="bottomLeft" activeCell="A3" sqref="A3"/>
      <selection pane="bottomRight" activeCell="P30" sqref="P30"/>
    </sheetView>
  </sheetViews>
  <sheetFormatPr defaultRowHeight="12.5" x14ac:dyDescent="0.25"/>
  <cols>
    <col min="1" max="1" width="4.6328125" style="1" bestFit="1" customWidth="1"/>
    <col min="2" max="2" width="15.1796875" style="1" bestFit="1" customWidth="1"/>
    <col min="3" max="14" width="8.7265625" style="3"/>
    <col min="15" max="16384" width="8.7265625" style="1"/>
  </cols>
  <sheetData>
    <row r="1" spans="1:24" x14ac:dyDescent="0.25">
      <c r="A1" s="1" t="s">
        <v>7</v>
      </c>
    </row>
    <row r="2" spans="1:24" x14ac:dyDescent="0.25"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  <c r="H2" s="3" t="s">
        <v>14</v>
      </c>
      <c r="I2" s="3" t="s">
        <v>15</v>
      </c>
      <c r="J2" s="3" t="s">
        <v>16</v>
      </c>
      <c r="K2" s="3" t="s">
        <v>17</v>
      </c>
      <c r="L2" s="3" t="s">
        <v>6</v>
      </c>
      <c r="M2" s="3" t="s">
        <v>18</v>
      </c>
      <c r="N2" s="3" t="s">
        <v>19</v>
      </c>
      <c r="Q2" s="1">
        <v>2020</v>
      </c>
      <c r="R2" s="1">
        <f>+Q2+1</f>
        <v>2021</v>
      </c>
      <c r="S2" s="1">
        <f>+R2+1</f>
        <v>2022</v>
      </c>
      <c r="T2" s="1">
        <f>+S2+1</f>
        <v>2023</v>
      </c>
      <c r="U2" s="1">
        <f>+T2+1</f>
        <v>2024</v>
      </c>
      <c r="V2" s="1">
        <f>+U2+1</f>
        <v>2025</v>
      </c>
      <c r="W2" s="1">
        <f>+V2+1</f>
        <v>2026</v>
      </c>
      <c r="X2" s="1">
        <f>+W2+1</f>
        <v>2027</v>
      </c>
    </row>
    <row r="3" spans="1:24" s="8" customFormat="1" ht="13" x14ac:dyDescent="0.3">
      <c r="B3" s="8" t="s">
        <v>8</v>
      </c>
      <c r="C3" s="9"/>
      <c r="D3" s="9"/>
      <c r="E3" s="9">
        <v>4390</v>
      </c>
      <c r="F3" s="9"/>
      <c r="G3" s="9">
        <v>3738</v>
      </c>
      <c r="H3" s="9">
        <v>3661</v>
      </c>
      <c r="I3" s="9">
        <v>3641</v>
      </c>
      <c r="J3" s="9">
        <f>+T3-I3-H3-G3</f>
        <v>3517</v>
      </c>
      <c r="K3" s="9">
        <v>3290</v>
      </c>
      <c r="L3" s="9">
        <v>3268</v>
      </c>
      <c r="M3" s="9">
        <f>+L3</f>
        <v>3268</v>
      </c>
      <c r="N3" s="9">
        <f>+M3</f>
        <v>3268</v>
      </c>
      <c r="R3" s="8">
        <v>19687</v>
      </c>
      <c r="S3" s="8">
        <v>17478</v>
      </c>
      <c r="T3" s="8">
        <v>14557</v>
      </c>
    </row>
    <row r="4" spans="1:24" s="4" customFormat="1" x14ac:dyDescent="0.25">
      <c r="B4" s="4" t="s">
        <v>22</v>
      </c>
      <c r="C4" s="6"/>
      <c r="D4" s="6"/>
      <c r="E4" s="6">
        <f>1999+808</f>
        <v>2807</v>
      </c>
      <c r="F4" s="6"/>
      <c r="G4" s="6">
        <f>1817+733</f>
        <v>2550</v>
      </c>
      <c r="H4" s="6">
        <f>1740+746</f>
        <v>2486</v>
      </c>
      <c r="I4" s="6">
        <f>1850+755</f>
        <v>2605</v>
      </c>
      <c r="J4" s="6">
        <f>+T4-I4-H4-G4</f>
        <v>2488</v>
      </c>
      <c r="K4" s="6">
        <f>1652+748</f>
        <v>2400</v>
      </c>
      <c r="L4" s="6">
        <f>1653+743</f>
        <v>2396</v>
      </c>
      <c r="M4" s="6"/>
      <c r="N4" s="6"/>
      <c r="R4" s="4">
        <f>8488+4019</f>
        <v>12507</v>
      </c>
      <c r="S4" s="4">
        <f>7868+3239</f>
        <v>11107</v>
      </c>
      <c r="T4" s="4">
        <f>7144+2985</f>
        <v>10129</v>
      </c>
    </row>
    <row r="5" spans="1:24" s="4" customFormat="1" x14ac:dyDescent="0.25">
      <c r="B5" s="4" t="s">
        <v>20</v>
      </c>
      <c r="C5" s="6"/>
      <c r="D5" s="6"/>
      <c r="E5" s="6">
        <f>+E3-E4</f>
        <v>1583</v>
      </c>
      <c r="F5" s="6"/>
      <c r="G5" s="6">
        <f>+G3-G4</f>
        <v>1188</v>
      </c>
      <c r="H5" s="6">
        <f>+H3-H4</f>
        <v>1175</v>
      </c>
      <c r="I5" s="6">
        <f>+I3-I4</f>
        <v>1036</v>
      </c>
      <c r="J5" s="6">
        <f>+J3-J4</f>
        <v>1029</v>
      </c>
      <c r="K5" s="6">
        <f>+K3-K4</f>
        <v>890</v>
      </c>
      <c r="L5" s="6">
        <f>+L3-L4</f>
        <v>872</v>
      </c>
      <c r="M5" s="6"/>
      <c r="N5" s="6"/>
      <c r="R5" s="4">
        <f>+R3-R4</f>
        <v>7180</v>
      </c>
      <c r="S5" s="4">
        <f t="shared" ref="S5:T5" si="0">+S3-S4</f>
        <v>6371</v>
      </c>
      <c r="T5" s="4">
        <f t="shared" si="0"/>
        <v>4428</v>
      </c>
    </row>
    <row r="6" spans="1:24" s="4" customFormat="1" x14ac:dyDescent="0.25">
      <c r="B6" s="4" t="s">
        <v>21</v>
      </c>
      <c r="C6" s="6"/>
      <c r="D6" s="6"/>
      <c r="E6" s="6">
        <v>792</v>
      </c>
      <c r="F6" s="6"/>
      <c r="G6" s="6">
        <v>721</v>
      </c>
      <c r="H6" s="6">
        <v>790</v>
      </c>
      <c r="I6" s="6">
        <v>791</v>
      </c>
      <c r="J6" s="6">
        <f>+T6-I6-H6-G6</f>
        <v>896</v>
      </c>
      <c r="K6" s="6">
        <v>823</v>
      </c>
      <c r="L6" s="6">
        <v>742</v>
      </c>
      <c r="M6" s="6"/>
      <c r="N6" s="6"/>
      <c r="R6" s="4">
        <v>2895</v>
      </c>
      <c r="S6" s="4">
        <v>3078</v>
      </c>
      <c r="T6" s="4">
        <v>3198</v>
      </c>
    </row>
    <row r="7" spans="1:24" s="4" customFormat="1" x14ac:dyDescent="0.25">
      <c r="B7" s="4" t="s">
        <v>23</v>
      </c>
      <c r="C7" s="6"/>
      <c r="D7" s="6"/>
      <c r="E7" s="6">
        <f>+E5-E6</f>
        <v>791</v>
      </c>
      <c r="F7" s="6"/>
      <c r="G7" s="6">
        <f>+G5-G6</f>
        <v>467</v>
      </c>
      <c r="H7" s="6">
        <f>+H5-H6</f>
        <v>385</v>
      </c>
      <c r="I7" s="6">
        <f t="shared" ref="I7:L7" si="1">+I5-I6</f>
        <v>245</v>
      </c>
      <c r="J7" s="6">
        <f t="shared" si="1"/>
        <v>133</v>
      </c>
      <c r="K7" s="6">
        <f t="shared" si="1"/>
        <v>67</v>
      </c>
      <c r="L7" s="6">
        <f t="shared" si="1"/>
        <v>130</v>
      </c>
      <c r="M7" s="6"/>
      <c r="N7" s="6"/>
      <c r="R7" s="4">
        <f>+R5-R6</f>
        <v>4285</v>
      </c>
      <c r="S7" s="4">
        <f t="shared" ref="S7:T7" si="2">+S5-S6</f>
        <v>3293</v>
      </c>
      <c r="T7" s="4">
        <f t="shared" si="2"/>
        <v>1230</v>
      </c>
    </row>
    <row r="8" spans="1:24" s="4" customFormat="1" x14ac:dyDescent="0.25">
      <c r="B8" s="4" t="s">
        <v>24</v>
      </c>
      <c r="C8" s="6"/>
      <c r="D8" s="6"/>
      <c r="E8" s="6">
        <v>363</v>
      </c>
      <c r="F8" s="6"/>
      <c r="G8" s="6">
        <v>279</v>
      </c>
      <c r="H8" s="6">
        <v>294</v>
      </c>
      <c r="I8" s="6">
        <v>295</v>
      </c>
      <c r="J8" s="6">
        <f>+T8-I8-H8-G8</f>
        <v>290</v>
      </c>
      <c r="K8" s="6">
        <v>291</v>
      </c>
      <c r="L8" s="6">
        <v>373</v>
      </c>
      <c r="M8" s="6"/>
      <c r="N8" s="6"/>
      <c r="R8" s="4">
        <v>1522</v>
      </c>
      <c r="S8" s="4">
        <v>1332</v>
      </c>
      <c r="T8" s="4">
        <v>1158</v>
      </c>
    </row>
    <row r="9" spans="1:24" s="4" customFormat="1" x14ac:dyDescent="0.25">
      <c r="B9" s="4" t="s">
        <v>25</v>
      </c>
      <c r="C9" s="6"/>
      <c r="D9" s="6"/>
      <c r="E9" s="6">
        <f>+E7-E8</f>
        <v>428</v>
      </c>
      <c r="F9" s="6"/>
      <c r="G9" s="6">
        <f>+G7-G8</f>
        <v>188</v>
      </c>
      <c r="H9" s="6">
        <f>+H7-H8</f>
        <v>91</v>
      </c>
      <c r="I9" s="6">
        <f>+I7-I8</f>
        <v>-50</v>
      </c>
      <c r="J9" s="6">
        <f>+J7-J8</f>
        <v>-157</v>
      </c>
      <c r="K9" s="6">
        <f>+K7-K8</f>
        <v>-224</v>
      </c>
      <c r="L9" s="6">
        <f>+L7-L8</f>
        <v>-243</v>
      </c>
      <c r="M9" s="6"/>
      <c r="N9" s="6"/>
      <c r="R9" s="4">
        <f>+R7-R8</f>
        <v>2763</v>
      </c>
      <c r="S9" s="4">
        <f t="shared" ref="S9:T9" si="3">+S7-S8</f>
        <v>1961</v>
      </c>
      <c r="T9" s="4">
        <f t="shared" si="3"/>
        <v>72</v>
      </c>
    </row>
    <row r="10" spans="1:24" s="4" customFormat="1" x14ac:dyDescent="0.25">
      <c r="B10" s="4" t="s">
        <v>26</v>
      </c>
      <c r="C10" s="6"/>
      <c r="D10" s="6"/>
      <c r="E10" s="6">
        <v>0</v>
      </c>
      <c r="F10" s="6"/>
      <c r="G10" s="6">
        <v>46</v>
      </c>
      <c r="H10" s="6">
        <v>46</v>
      </c>
      <c r="I10" s="6">
        <v>0</v>
      </c>
      <c r="J10" s="6">
        <f>+T10-I10-H10-G10</f>
        <v>-31</v>
      </c>
      <c r="K10" s="6">
        <v>45</v>
      </c>
      <c r="L10" s="6">
        <v>8</v>
      </c>
      <c r="M10" s="6"/>
      <c r="N10" s="6"/>
      <c r="R10" s="4">
        <v>668</v>
      </c>
      <c r="S10" s="4">
        <v>557</v>
      </c>
      <c r="T10" s="4">
        <v>61</v>
      </c>
    </row>
    <row r="11" spans="1:24" s="4" customFormat="1" x14ac:dyDescent="0.25">
      <c r="B11" s="4" t="s">
        <v>27</v>
      </c>
      <c r="C11" s="6"/>
      <c r="D11" s="6"/>
      <c r="E11" s="6">
        <f>+E9-E10</f>
        <v>428</v>
      </c>
      <c r="F11" s="6"/>
      <c r="G11" s="6">
        <f>+G9-G10</f>
        <v>142</v>
      </c>
      <c r="H11" s="6">
        <f>+H9-H10</f>
        <v>45</v>
      </c>
      <c r="I11" s="6">
        <f>+I9-I10</f>
        <v>-50</v>
      </c>
      <c r="J11" s="6">
        <f>+J9-J10</f>
        <v>-126</v>
      </c>
      <c r="K11" s="6">
        <f>+K9-K10</f>
        <v>-269</v>
      </c>
      <c r="L11" s="6">
        <f>+L9-L10</f>
        <v>-251</v>
      </c>
      <c r="M11" s="6"/>
      <c r="N11" s="6"/>
      <c r="R11" s="4">
        <f>+R9-R10</f>
        <v>2095</v>
      </c>
      <c r="S11" s="4">
        <f>+S9-S10</f>
        <v>1404</v>
      </c>
      <c r="T11" s="4">
        <f>+T9-T10</f>
        <v>11</v>
      </c>
    </row>
    <row r="12" spans="1:24" x14ac:dyDescent="0.25">
      <c r="B12" s="1" t="s">
        <v>28</v>
      </c>
      <c r="E12" s="5">
        <f>+E11/E13</f>
        <v>0.4208402449132902</v>
      </c>
      <c r="F12" s="5"/>
      <c r="G12" s="5">
        <f>+G11/G13</f>
        <v>0.14438920822855794</v>
      </c>
      <c r="H12" s="5">
        <f>+H11/H13</f>
        <v>4.5757143452712028E-2</v>
      </c>
      <c r="I12" s="5">
        <f>+I11/I13</f>
        <v>-5.0836256418077375E-2</v>
      </c>
      <c r="J12" s="5">
        <f>+J11/J13</f>
        <v>-0.12816848255637125</v>
      </c>
      <c r="K12" s="5">
        <f>+K11/K13</f>
        <v>-0.27274699826212506</v>
      </c>
      <c r="L12" s="5">
        <f>+L11/L13</f>
        <v>-0.2542444129537022</v>
      </c>
      <c r="R12" s="2">
        <f>+R11/R13</f>
        <v>1.9638575223711026</v>
      </c>
      <c r="S12" s="2">
        <f>+S11/S13</f>
        <v>1.3935248735257071</v>
      </c>
      <c r="T12" s="2">
        <f>+T11/T13</f>
        <v>1.1189311969207014E-2</v>
      </c>
    </row>
    <row r="13" spans="1:24" s="4" customFormat="1" x14ac:dyDescent="0.25">
      <c r="B13" s="4" t="s">
        <v>1</v>
      </c>
      <c r="C13" s="6"/>
      <c r="D13" s="6"/>
      <c r="E13" s="6">
        <v>1017.013</v>
      </c>
      <c r="F13" s="6"/>
      <c r="G13" s="6">
        <v>983.45299999999997</v>
      </c>
      <c r="H13" s="6">
        <v>983.45299999999997</v>
      </c>
      <c r="I13" s="6">
        <v>983.55</v>
      </c>
      <c r="J13" s="6">
        <f>+T13</f>
        <v>983.08100000000002</v>
      </c>
      <c r="K13" s="6">
        <v>986.26199999999994</v>
      </c>
      <c r="L13" s="6">
        <v>987.23900000000003</v>
      </c>
      <c r="M13" s="6"/>
      <c r="N13" s="6"/>
      <c r="R13" s="4">
        <v>1066.778</v>
      </c>
      <c r="S13" s="4">
        <v>1007.5170000000001</v>
      </c>
      <c r="T13" s="4">
        <v>983.08100000000002</v>
      </c>
    </row>
    <row r="15" spans="1:24" x14ac:dyDescent="0.25">
      <c r="B15" s="1" t="s">
        <v>41</v>
      </c>
      <c r="L15" s="7">
        <f>+L3/H3-1</f>
        <v>-0.10734771920240371</v>
      </c>
      <c r="S15" s="10">
        <f>+S3/R3-1</f>
        <v>-0.11220602427998172</v>
      </c>
      <c r="T15" s="10">
        <f>+T3/S3-1</f>
        <v>-0.16712438494106874</v>
      </c>
    </row>
    <row r="17" spans="2:14" s="4" customFormat="1" x14ac:dyDescent="0.25">
      <c r="B17" s="4" t="s">
        <v>3</v>
      </c>
      <c r="C17" s="6"/>
      <c r="D17" s="6"/>
      <c r="E17" s="6"/>
      <c r="F17" s="6"/>
      <c r="G17" s="6"/>
      <c r="H17" s="6"/>
      <c r="I17" s="6"/>
      <c r="J17" s="6"/>
      <c r="K17" s="6"/>
      <c r="L17" s="6">
        <v>1495</v>
      </c>
      <c r="M17" s="6"/>
      <c r="N17" s="6"/>
    </row>
    <row r="18" spans="2:14" s="4" customFormat="1" x14ac:dyDescent="0.25">
      <c r="B18" s="4" t="s">
        <v>29</v>
      </c>
      <c r="C18" s="6"/>
      <c r="D18" s="6"/>
      <c r="E18" s="6"/>
      <c r="F18" s="6"/>
      <c r="G18" s="6"/>
      <c r="H18" s="6"/>
      <c r="I18" s="6"/>
      <c r="J18" s="6"/>
      <c r="K18" s="6"/>
      <c r="L18" s="6">
        <v>1294</v>
      </c>
      <c r="M18" s="6"/>
      <c r="N18" s="6"/>
    </row>
    <row r="19" spans="2:14" s="4" customFormat="1" x14ac:dyDescent="0.25">
      <c r="B19" s="4" t="s">
        <v>30</v>
      </c>
      <c r="C19" s="6"/>
      <c r="D19" s="6"/>
      <c r="E19" s="6"/>
      <c r="F19" s="6"/>
      <c r="G19" s="6"/>
      <c r="H19" s="6"/>
      <c r="I19" s="6"/>
      <c r="J19" s="6"/>
      <c r="K19" s="6"/>
      <c r="L19" s="6">
        <v>971</v>
      </c>
      <c r="M19" s="6"/>
      <c r="N19" s="6"/>
    </row>
    <row r="20" spans="2:14" s="4" customFormat="1" x14ac:dyDescent="0.25">
      <c r="B20" s="4" t="s">
        <v>31</v>
      </c>
      <c r="C20" s="6"/>
      <c r="D20" s="6"/>
      <c r="E20" s="6"/>
      <c r="F20" s="6"/>
      <c r="G20" s="6"/>
      <c r="H20" s="6"/>
      <c r="I20" s="6"/>
      <c r="J20" s="6"/>
      <c r="K20" s="6"/>
      <c r="L20" s="6">
        <v>20089</v>
      </c>
      <c r="M20" s="6"/>
      <c r="N20" s="6"/>
    </row>
    <row r="21" spans="2:14" s="4" customFormat="1" x14ac:dyDescent="0.25">
      <c r="B21" s="4" t="s">
        <v>32</v>
      </c>
      <c r="C21" s="6"/>
      <c r="D21" s="6"/>
      <c r="E21" s="6"/>
      <c r="F21" s="6"/>
      <c r="G21" s="6"/>
      <c r="H21" s="6"/>
      <c r="I21" s="6"/>
      <c r="J21" s="6"/>
      <c r="K21" s="6"/>
      <c r="L21" s="6">
        <f>1964+5127</f>
        <v>7091</v>
      </c>
      <c r="M21" s="6"/>
      <c r="N21" s="6"/>
    </row>
    <row r="22" spans="2:14" s="4" customFormat="1" x14ac:dyDescent="0.25">
      <c r="B22" s="4" t="s">
        <v>30</v>
      </c>
      <c r="C22" s="6"/>
      <c r="D22" s="6"/>
      <c r="E22" s="6"/>
      <c r="F22" s="6"/>
      <c r="G22" s="6"/>
      <c r="H22" s="6"/>
      <c r="I22" s="6"/>
      <c r="J22" s="6"/>
      <c r="K22" s="6"/>
      <c r="L22" s="6">
        <v>2003</v>
      </c>
      <c r="M22" s="6"/>
      <c r="N22" s="6"/>
    </row>
    <row r="23" spans="2:14" s="4" customFormat="1" x14ac:dyDescent="0.25">
      <c r="B23" s="4" t="s">
        <v>33</v>
      </c>
      <c r="C23" s="6"/>
      <c r="D23" s="6"/>
      <c r="E23" s="6"/>
      <c r="F23" s="6"/>
      <c r="G23" s="6"/>
      <c r="H23" s="6"/>
      <c r="I23" s="6"/>
      <c r="J23" s="6"/>
      <c r="K23" s="6"/>
      <c r="L23" s="6">
        <f>SUM(L17:L22)</f>
        <v>32943</v>
      </c>
      <c r="M23" s="6"/>
      <c r="N23" s="6"/>
    </row>
    <row r="24" spans="2:14" s="4" customFormat="1" x14ac:dyDescent="0.25"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</row>
    <row r="25" spans="2:14" s="4" customFormat="1" x14ac:dyDescent="0.25">
      <c r="B25" s="4" t="s">
        <v>4</v>
      </c>
      <c r="C25" s="6"/>
      <c r="D25" s="6"/>
      <c r="E25" s="6"/>
      <c r="F25" s="6"/>
      <c r="G25" s="6"/>
      <c r="H25" s="6"/>
      <c r="I25" s="6"/>
      <c r="J25" s="6"/>
      <c r="K25" s="6"/>
      <c r="L25" s="6">
        <f>192+18411</f>
        <v>18603</v>
      </c>
      <c r="M25" s="6"/>
      <c r="N25" s="6"/>
    </row>
    <row r="26" spans="2:14" s="4" customFormat="1" x14ac:dyDescent="0.25">
      <c r="B26" s="4" t="s">
        <v>34</v>
      </c>
      <c r="C26" s="6"/>
      <c r="D26" s="6"/>
      <c r="E26" s="6"/>
      <c r="F26" s="6"/>
      <c r="G26" s="6"/>
      <c r="H26" s="6"/>
      <c r="I26" s="6"/>
      <c r="J26" s="6"/>
      <c r="K26" s="6"/>
      <c r="L26" s="6">
        <v>995</v>
      </c>
      <c r="M26" s="6"/>
      <c r="N26" s="6"/>
    </row>
    <row r="27" spans="2:14" s="4" customFormat="1" x14ac:dyDescent="0.25">
      <c r="B27" s="4" t="s">
        <v>35</v>
      </c>
      <c r="C27" s="6"/>
      <c r="D27" s="6"/>
      <c r="E27" s="6"/>
      <c r="F27" s="6"/>
      <c r="G27" s="6"/>
      <c r="H27" s="6"/>
      <c r="I27" s="6"/>
      <c r="J27" s="6"/>
      <c r="K27" s="6"/>
      <c r="L27" s="6">
        <f>605+597+281+219+179</f>
        <v>1881</v>
      </c>
      <c r="M27" s="6"/>
      <c r="N27" s="6"/>
    </row>
    <row r="28" spans="2:14" s="4" customFormat="1" x14ac:dyDescent="0.25">
      <c r="B28" s="4" t="s">
        <v>36</v>
      </c>
      <c r="C28" s="6"/>
      <c r="D28" s="6"/>
      <c r="E28" s="6"/>
      <c r="F28" s="6"/>
      <c r="G28" s="6"/>
      <c r="H28" s="6"/>
      <c r="I28" s="6"/>
      <c r="J28" s="6"/>
      <c r="K28" s="6"/>
      <c r="L28" s="6">
        <f>670+2112</f>
        <v>2782</v>
      </c>
      <c r="M28" s="6"/>
      <c r="N28" s="6"/>
    </row>
    <row r="29" spans="2:14" s="4" customFormat="1" x14ac:dyDescent="0.25">
      <c r="B29" s="4" t="s">
        <v>37</v>
      </c>
      <c r="C29" s="6"/>
      <c r="D29" s="6"/>
      <c r="E29" s="6"/>
      <c r="F29" s="6"/>
      <c r="G29" s="6"/>
      <c r="H29" s="6"/>
      <c r="I29" s="6"/>
      <c r="J29" s="6"/>
      <c r="K29" s="6"/>
      <c r="L29" s="6">
        <v>3142</v>
      </c>
      <c r="M29" s="6"/>
      <c r="N29" s="6"/>
    </row>
    <row r="30" spans="2:14" s="4" customFormat="1" x14ac:dyDescent="0.25">
      <c r="B30" s="4" t="s">
        <v>38</v>
      </c>
      <c r="C30" s="6"/>
      <c r="D30" s="6"/>
      <c r="E30" s="6"/>
      <c r="F30" s="6"/>
      <c r="G30" s="6"/>
      <c r="H30" s="6"/>
      <c r="I30" s="6"/>
      <c r="J30" s="6"/>
      <c r="K30" s="6"/>
      <c r="L30" s="6">
        <v>2437</v>
      </c>
      <c r="M30" s="6"/>
      <c r="N30" s="6"/>
    </row>
    <row r="31" spans="2:14" s="4" customFormat="1" x14ac:dyDescent="0.25">
      <c r="B31" s="4" t="s">
        <v>30</v>
      </c>
      <c r="C31" s="6"/>
      <c r="D31" s="6"/>
      <c r="E31" s="6"/>
      <c r="F31" s="6"/>
      <c r="G31" s="6"/>
      <c r="H31" s="6"/>
      <c r="I31" s="6"/>
      <c r="J31" s="6"/>
      <c r="K31" s="6"/>
      <c r="L31" s="6">
        <v>2637</v>
      </c>
      <c r="M31" s="6"/>
      <c r="N31" s="6"/>
    </row>
    <row r="32" spans="2:14" s="4" customFormat="1" x14ac:dyDescent="0.25">
      <c r="B32" s="4" t="s">
        <v>39</v>
      </c>
      <c r="C32" s="6"/>
      <c r="D32" s="6"/>
      <c r="E32" s="6"/>
      <c r="F32" s="6"/>
      <c r="G32" s="6"/>
      <c r="H32" s="6"/>
      <c r="I32" s="6"/>
      <c r="J32" s="6"/>
      <c r="K32" s="6"/>
      <c r="L32" s="6">
        <v>466</v>
      </c>
      <c r="M32" s="6"/>
      <c r="N32" s="6"/>
    </row>
    <row r="33" spans="2:20" s="4" customFormat="1" x14ac:dyDescent="0.25">
      <c r="B33" s="4" t="s">
        <v>40</v>
      </c>
      <c r="C33" s="6"/>
      <c r="D33" s="6"/>
      <c r="E33" s="6"/>
      <c r="F33" s="6"/>
      <c r="G33" s="6"/>
      <c r="H33" s="6"/>
      <c r="I33" s="6"/>
      <c r="J33" s="6"/>
      <c r="K33" s="6"/>
      <c r="L33" s="6">
        <f>SUM(L25:L32)</f>
        <v>32943</v>
      </c>
      <c r="M33" s="6"/>
      <c r="N33" s="6"/>
    </row>
    <row r="37" spans="2:20" x14ac:dyDescent="0.25">
      <c r="B37" s="1" t="s">
        <v>42</v>
      </c>
      <c r="G37" s="6">
        <v>595</v>
      </c>
      <c r="H37" s="6">
        <f>495-G37</f>
        <v>-100</v>
      </c>
      <c r="I37" s="6">
        <f>1376-H37-G37</f>
        <v>881</v>
      </c>
      <c r="J37" s="6">
        <f>+T37-I37-H37-G37</f>
        <v>784</v>
      </c>
      <c r="K37" s="6">
        <v>1102</v>
      </c>
      <c r="L37" s="6">
        <f>1613-K37</f>
        <v>511</v>
      </c>
      <c r="R37" s="4">
        <v>6501</v>
      </c>
      <c r="S37" s="4">
        <v>4735</v>
      </c>
      <c r="T37" s="4">
        <v>2160</v>
      </c>
    </row>
    <row r="38" spans="2:20" x14ac:dyDescent="0.25">
      <c r="B38" s="1" t="s">
        <v>44</v>
      </c>
      <c r="G38" s="6">
        <v>640</v>
      </c>
      <c r="H38" s="6">
        <f>1436-G38</f>
        <v>796</v>
      </c>
      <c r="I38" s="6">
        <f>2279-H38-G38</f>
        <v>843</v>
      </c>
      <c r="J38" s="6">
        <f>+T38-I38-H38-G38</f>
        <v>821</v>
      </c>
      <c r="K38" s="6">
        <v>713</v>
      </c>
      <c r="L38" s="6">
        <f>1466-K38</f>
        <v>753</v>
      </c>
      <c r="R38" s="4">
        <v>2900</v>
      </c>
      <c r="S38" s="4">
        <v>3016</v>
      </c>
      <c r="T38" s="4">
        <v>3100</v>
      </c>
    </row>
    <row r="39" spans="2:20" x14ac:dyDescent="0.25">
      <c r="B39" s="1" t="s">
        <v>43</v>
      </c>
      <c r="G39" s="6">
        <f>+G37-G38</f>
        <v>-45</v>
      </c>
      <c r="H39" s="6">
        <f>+H37-H38</f>
        <v>-896</v>
      </c>
      <c r="I39" s="6">
        <f>+I37-I38</f>
        <v>38</v>
      </c>
      <c r="J39" s="6">
        <f>+J37-J38</f>
        <v>-37</v>
      </c>
      <c r="K39" s="6">
        <f>+K37-K38</f>
        <v>389</v>
      </c>
      <c r="L39" s="6">
        <f>+L37-L38</f>
        <v>-242</v>
      </c>
      <c r="R39" s="4">
        <f>+R37-R38</f>
        <v>3601</v>
      </c>
      <c r="S39" s="4">
        <f>+S37-S38</f>
        <v>1719</v>
      </c>
      <c r="T39" s="4">
        <f>+T37-T38</f>
        <v>-940</v>
      </c>
    </row>
    <row r="40" spans="2:20" x14ac:dyDescent="0.25">
      <c r="B40" s="11" t="s">
        <v>45</v>
      </c>
      <c r="G40" s="6">
        <f>+G39+G8</f>
        <v>234</v>
      </c>
      <c r="H40" s="6">
        <f>+H39+H8</f>
        <v>-602</v>
      </c>
      <c r="I40" s="6">
        <f>+I39+I8</f>
        <v>333</v>
      </c>
      <c r="J40" s="6">
        <f>+J39+J8</f>
        <v>253</v>
      </c>
      <c r="K40" s="6">
        <f>+K39+K8</f>
        <v>680</v>
      </c>
      <c r="L40" s="6">
        <f>+L39+L8</f>
        <v>131</v>
      </c>
      <c r="R40" s="4">
        <f>+R39+R8</f>
        <v>5123</v>
      </c>
      <c r="S40" s="4">
        <f>+S39+S8</f>
        <v>3051</v>
      </c>
      <c r="T40" s="4">
        <f>+T39+T8</f>
        <v>218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2024-10-16T19:00:19Z</dcterms:created>
  <dcterms:modified xsi:type="dcterms:W3CDTF">2024-10-16T20:04:59Z</dcterms:modified>
</cp:coreProperties>
</file>