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AF1C78E-8DCC-4F7E-8902-BB6D6FFC9877}" xr6:coauthVersionLast="47" xr6:coauthVersionMax="47" xr10:uidLastSave="{00000000-0000-0000-0000-000000000000}"/>
  <bookViews>
    <workbookView xWindow="-30465" yWindow="975" windowWidth="30015" windowHeight="18480" xr2:uid="{00000000-000D-0000-FFFF-FFFF00000000}"/>
  </bookViews>
  <sheets>
    <sheet name="Main" sheetId="7" r:id="rId1"/>
    <sheet name="Mod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7" i="8" l="1"/>
  <c r="BE77" i="8"/>
  <c r="BE71" i="8"/>
  <c r="BE80" i="8" s="1"/>
  <c r="BE82" i="8" s="1"/>
  <c r="BE62" i="8"/>
  <c r="BE57" i="8"/>
  <c r="BE69" i="8" s="1"/>
  <c r="BE45" i="8"/>
  <c r="BE3" i="8"/>
  <c r="BE4" i="8"/>
  <c r="BI4" i="8" s="1"/>
  <c r="BE7" i="8"/>
  <c r="BI7" i="8" s="1"/>
  <c r="BE10" i="8"/>
  <c r="BI10" i="8" s="1"/>
  <c r="BE36" i="8"/>
  <c r="BE41" i="8" s="1"/>
  <c r="BF43" i="8"/>
  <c r="BH40" i="8"/>
  <c r="BG40" i="8"/>
  <c r="BF40" i="8"/>
  <c r="BJ40" i="8" s="1"/>
  <c r="BI40" i="8"/>
  <c r="BH38" i="8"/>
  <c r="BG38" i="8"/>
  <c r="BF38" i="8"/>
  <c r="BJ38" i="8" s="1"/>
  <c r="BI38" i="8"/>
  <c r="BH6" i="8"/>
  <c r="BG6" i="8"/>
  <c r="BI6" i="8"/>
  <c r="BH5" i="8"/>
  <c r="BG5" i="8"/>
  <c r="BI5" i="8"/>
  <c r="BH3" i="8"/>
  <c r="BG3" i="8"/>
  <c r="BI3" i="8"/>
  <c r="BH9" i="8"/>
  <c r="BG9" i="8"/>
  <c r="BI9" i="8"/>
  <c r="BI8" i="8"/>
  <c r="BH8" i="8"/>
  <c r="BG8" i="8"/>
  <c r="BF8" i="8"/>
  <c r="BJ8" i="8" s="1"/>
  <c r="BI11" i="8"/>
  <c r="BH11" i="8"/>
  <c r="BG11" i="8"/>
  <c r="BI12" i="8"/>
  <c r="BH12" i="8"/>
  <c r="BG12" i="8"/>
  <c r="BI16" i="8"/>
  <c r="BH16" i="8"/>
  <c r="BG16" i="8"/>
  <c r="BH15" i="8"/>
  <c r="BG15" i="8"/>
  <c r="BI15" i="8"/>
  <c r="BH14" i="8"/>
  <c r="BG14" i="8"/>
  <c r="BI14" i="8"/>
  <c r="BH13" i="8"/>
  <c r="BG13" i="8"/>
  <c r="BF23" i="8"/>
  <c r="BG23" i="8" s="1"/>
  <c r="BH23" i="8" s="1"/>
  <c r="BI23" i="8" s="1"/>
  <c r="BJ23" i="8" s="1"/>
  <c r="BF22" i="8"/>
  <c r="BI24" i="8"/>
  <c r="BH24" i="8"/>
  <c r="BG24" i="8"/>
  <c r="BI28" i="8"/>
  <c r="BH28" i="8"/>
  <c r="BG28" i="8"/>
  <c r="BH27" i="8"/>
  <c r="BG27" i="8"/>
  <c r="BI27" i="8"/>
  <c r="BE30" i="8"/>
  <c r="BI29" i="8"/>
  <c r="BH29" i="8"/>
  <c r="BG29" i="8"/>
  <c r="BC25" i="8"/>
  <c r="BA25" i="8"/>
  <c r="BB24" i="8"/>
  <c r="BB21" i="8"/>
  <c r="BB20" i="8"/>
  <c r="AZ25" i="8"/>
  <c r="BD54" i="8" s="1"/>
  <c r="BB15" i="8"/>
  <c r="BF15" i="8" s="1"/>
  <c r="BJ15" i="8" s="1"/>
  <c r="BB14" i="8"/>
  <c r="BF14" i="8" s="1"/>
  <c r="BJ14" i="8" s="1"/>
  <c r="BB13" i="8"/>
  <c r="BF13" i="8" s="1"/>
  <c r="BB12" i="8"/>
  <c r="BF12" i="8" s="1"/>
  <c r="BJ12" i="8" s="1"/>
  <c r="BB10" i="8"/>
  <c r="BF10" i="8" s="1"/>
  <c r="BJ10" i="8" s="1"/>
  <c r="BB9" i="8"/>
  <c r="BF9" i="8" s="1"/>
  <c r="BJ9" i="8" s="1"/>
  <c r="BB8" i="8"/>
  <c r="BB11" i="8"/>
  <c r="BF11" i="8" s="1"/>
  <c r="BJ11" i="8" s="1"/>
  <c r="BB6" i="8"/>
  <c r="BF6" i="8" s="1"/>
  <c r="BJ6" i="8" s="1"/>
  <c r="BB5" i="8"/>
  <c r="BF5" i="8" s="1"/>
  <c r="BJ5" i="8" s="1"/>
  <c r="BB16" i="8"/>
  <c r="BF16" i="8" s="1"/>
  <c r="BJ16" i="8" s="1"/>
  <c r="AX17" i="8"/>
  <c r="AW3" i="8"/>
  <c r="BA3" i="8"/>
  <c r="AW4" i="8"/>
  <c r="BA4" i="8"/>
  <c r="AW7" i="8"/>
  <c r="BA7" i="8"/>
  <c r="AW10" i="8"/>
  <c r="BA10" i="8"/>
  <c r="BB29" i="8"/>
  <c r="BF29" i="8" s="1"/>
  <c r="BJ29" i="8" s="1"/>
  <c r="BB28" i="8"/>
  <c r="BF28" i="8" s="1"/>
  <c r="BJ28" i="8" s="1"/>
  <c r="BB27" i="8"/>
  <c r="BF27" i="8" s="1"/>
  <c r="BA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CC25" i="8"/>
  <c r="CB25" i="8"/>
  <c r="CL25" i="8"/>
  <c r="CK25" i="8"/>
  <c r="CJ25" i="8"/>
  <c r="CI25" i="8"/>
  <c r="CH25" i="8"/>
  <c r="CG25" i="8"/>
  <c r="CF25" i="8"/>
  <c r="CE25" i="8"/>
  <c r="CD25" i="8"/>
  <c r="CA25" i="8"/>
  <c r="BZ25" i="8"/>
  <c r="BY25" i="8"/>
  <c r="BX25" i="8"/>
  <c r="BW25" i="8"/>
  <c r="BV25" i="8"/>
  <c r="BU25" i="8"/>
  <c r="BT25" i="8"/>
  <c r="BD25" i="8"/>
  <c r="CL17" i="8"/>
  <c r="CK17" i="8"/>
  <c r="CJ17" i="8"/>
  <c r="CI17" i="8"/>
  <c r="CH17" i="8"/>
  <c r="CB3" i="8"/>
  <c r="CC3" i="8"/>
  <c r="CC4" i="8"/>
  <c r="CB4" i="8"/>
  <c r="CC7" i="8"/>
  <c r="BB7" i="8" s="1"/>
  <c r="BF7" i="8" s="1"/>
  <c r="BJ7" i="8" s="1"/>
  <c r="CB7" i="8"/>
  <c r="CB17" i="8" s="1"/>
  <c r="CC10" i="8"/>
  <c r="CB10" i="8"/>
  <c r="CG17" i="8"/>
  <c r="CF17" i="8"/>
  <c r="CE17" i="8"/>
  <c r="CD17" i="8"/>
  <c r="CA17" i="8"/>
  <c r="BZ17" i="8"/>
  <c r="BY17" i="8"/>
  <c r="BX17" i="8"/>
  <c r="BW17" i="8"/>
  <c r="AX36" i="8"/>
  <c r="AX41" i="8" s="1"/>
  <c r="AW36" i="8"/>
  <c r="AW41" i="8" s="1"/>
  <c r="AV36" i="8"/>
  <c r="AV41" i="8" s="1"/>
  <c r="AU36" i="8"/>
  <c r="AU41" i="8" s="1"/>
  <c r="AT36" i="8"/>
  <c r="AT41" i="8" s="1"/>
  <c r="AS36" i="8"/>
  <c r="AS41" i="8" s="1"/>
  <c r="AS42" i="8" s="1"/>
  <c r="AS44" i="8" s="1"/>
  <c r="AS46" i="8" s="1"/>
  <c r="AS47" i="8" s="1"/>
  <c r="AR36" i="8"/>
  <c r="AR41" i="8" s="1"/>
  <c r="AR42" i="8" s="1"/>
  <c r="AR44" i="8" s="1"/>
  <c r="AR46" i="8" s="1"/>
  <c r="AR47" i="8" s="1"/>
  <c r="AQ36" i="8"/>
  <c r="AQ41" i="8" s="1"/>
  <c r="AX34" i="8"/>
  <c r="AW34" i="8"/>
  <c r="AW35" i="8" s="1"/>
  <c r="AW50" i="8" s="1"/>
  <c r="AV34" i="8"/>
  <c r="AU34" i="8"/>
  <c r="AT34" i="8"/>
  <c r="AT35" i="8" s="1"/>
  <c r="AT50" i="8" s="1"/>
  <c r="AS34" i="8"/>
  <c r="AS35" i="8" s="1"/>
  <c r="AS50" i="8" s="1"/>
  <c r="AR34" i="8"/>
  <c r="AR35" i="8" s="1"/>
  <c r="AR50" i="8" s="1"/>
  <c r="AX35" i="8"/>
  <c r="AX50" i="8" s="1"/>
  <c r="AV35" i="8"/>
  <c r="AV50" i="8" s="1"/>
  <c r="AU35" i="8"/>
  <c r="AU50" i="8" s="1"/>
  <c r="AQ34" i="8"/>
  <c r="AQ35" i="8" s="1"/>
  <c r="AQ50" i="8" s="1"/>
  <c r="AU51" i="8"/>
  <c r="AX51" i="8"/>
  <c r="AW51" i="8"/>
  <c r="AV51" i="8"/>
  <c r="AX30" i="8"/>
  <c r="AW30" i="8"/>
  <c r="AV30" i="8"/>
  <c r="AU30" i="8"/>
  <c r="AT30" i="8"/>
  <c r="AS30" i="8"/>
  <c r="AR30" i="8"/>
  <c r="AQ30" i="8"/>
  <c r="AX25" i="8"/>
  <c r="AW25" i="8"/>
  <c r="AV25" i="8"/>
  <c r="AU25" i="8"/>
  <c r="AT25" i="8"/>
  <c r="AS25" i="8"/>
  <c r="AR25" i="8"/>
  <c r="AQ25" i="8"/>
  <c r="AV17" i="8"/>
  <c r="AU17" i="8"/>
  <c r="AT17" i="8"/>
  <c r="AS17" i="8"/>
  <c r="AR17" i="8"/>
  <c r="AQ17" i="8"/>
  <c r="AZ30" i="8"/>
  <c r="BD30" i="8"/>
  <c r="BD55" i="8" s="1"/>
  <c r="BC30" i="8"/>
  <c r="AZ7" i="8"/>
  <c r="BD7" i="8"/>
  <c r="BH7" i="8" s="1"/>
  <c r="BD3" i="8"/>
  <c r="AZ3" i="8"/>
  <c r="AZ4" i="8"/>
  <c r="BD4" i="8"/>
  <c r="BH4" i="8" s="1"/>
  <c r="AZ10" i="8"/>
  <c r="BD10" i="8"/>
  <c r="BH10" i="8" s="1"/>
  <c r="BD36" i="8"/>
  <c r="BD41" i="8" s="1"/>
  <c r="BC36" i="8"/>
  <c r="BC41" i="8" s="1"/>
  <c r="BB36" i="8"/>
  <c r="BB41" i="8" s="1"/>
  <c r="BA36" i="8"/>
  <c r="BA41" i="8" s="1"/>
  <c r="AZ36" i="8"/>
  <c r="AZ41" i="8" s="1"/>
  <c r="AY36" i="8"/>
  <c r="AY41" i="8" s="1"/>
  <c r="BD34" i="8"/>
  <c r="BC34" i="8"/>
  <c r="BA34" i="8"/>
  <c r="AZ34" i="8"/>
  <c r="AY34" i="8"/>
  <c r="AY30" i="8"/>
  <c r="AY7" i="8"/>
  <c r="BC7" i="8"/>
  <c r="BG7" i="8" s="1"/>
  <c r="BC10" i="8"/>
  <c r="BG10" i="8" s="1"/>
  <c r="AY10" i="8"/>
  <c r="AY3" i="8"/>
  <c r="BC3" i="8"/>
  <c r="AY4" i="8"/>
  <c r="BC4" i="8"/>
  <c r="BG4" i="8" s="1"/>
  <c r="AY25" i="8"/>
  <c r="BB3" i="8" l="1"/>
  <c r="BF3" i="8" s="1"/>
  <c r="BJ3" i="8" s="1"/>
  <c r="AV42" i="8"/>
  <c r="AV44" i="8" s="1"/>
  <c r="AV46" i="8" s="1"/>
  <c r="AV47" i="8" s="1"/>
  <c r="AX42" i="8"/>
  <c r="AX44" i="8" s="1"/>
  <c r="AX46" i="8" s="1"/>
  <c r="AX47" i="8" s="1"/>
  <c r="BB4" i="8"/>
  <c r="BF4" i="8" s="1"/>
  <c r="BJ4" i="8" s="1"/>
  <c r="BF36" i="8"/>
  <c r="BJ36" i="8" s="1"/>
  <c r="BJ41" i="8" s="1"/>
  <c r="BC54" i="8"/>
  <c r="BG36" i="8"/>
  <c r="BG41" i="8" s="1"/>
  <c r="BG30" i="8"/>
  <c r="BG55" i="8" s="1"/>
  <c r="BH36" i="8"/>
  <c r="BH41" i="8" s="1"/>
  <c r="BH30" i="8"/>
  <c r="BI36" i="8"/>
  <c r="BB25" i="8"/>
  <c r="CC17" i="8"/>
  <c r="BA17" i="8"/>
  <c r="BH55" i="8"/>
  <c r="AW17" i="8"/>
  <c r="AW42" i="8"/>
  <c r="AW44" i="8" s="1"/>
  <c r="AW46" i="8" s="1"/>
  <c r="AW47" i="8" s="1"/>
  <c r="BC17" i="8"/>
  <c r="BC52" i="8" s="1"/>
  <c r="BE55" i="8"/>
  <c r="AZ17" i="8"/>
  <c r="AZ33" i="8" s="1"/>
  <c r="AZ51" i="8" s="1"/>
  <c r="AY17" i="8"/>
  <c r="AY33" i="8" s="1"/>
  <c r="AT42" i="8"/>
  <c r="AT44" i="8" s="1"/>
  <c r="AT46" i="8" s="1"/>
  <c r="AT47" i="8" s="1"/>
  <c r="BD17" i="8"/>
  <c r="BD33" i="8" s="1"/>
  <c r="BD51" i="8" s="1"/>
  <c r="AU42" i="8"/>
  <c r="AU44" i="8" s="1"/>
  <c r="AU46" i="8" s="1"/>
  <c r="AU47" i="8" s="1"/>
  <c r="BF24" i="8"/>
  <c r="BJ24" i="8" s="1"/>
  <c r="BJ27" i="8"/>
  <c r="BJ30" i="8" s="1"/>
  <c r="BF30" i="8"/>
  <c r="BF55" i="8" s="1"/>
  <c r="BB17" i="8"/>
  <c r="BF25" i="8"/>
  <c r="BF41" i="8"/>
  <c r="BC55" i="8"/>
  <c r="AQ42" i="8"/>
  <c r="AQ44" i="8" s="1"/>
  <c r="AQ46" i="8" s="1"/>
  <c r="AQ47" i="8" s="1"/>
  <c r="BI41" i="8"/>
  <c r="BG43" i="8"/>
  <c r="BH17" i="8"/>
  <c r="BE52" i="8"/>
  <c r="BG17" i="8"/>
  <c r="BF17" i="8"/>
  <c r="BJ13" i="8"/>
  <c r="BJ17" i="8" s="1"/>
  <c r="BJ52" i="8" s="1"/>
  <c r="BI13" i="8"/>
  <c r="BI17" i="8" s="1"/>
  <c r="BI52" i="8" s="1"/>
  <c r="BG22" i="8"/>
  <c r="BE25" i="8"/>
  <c r="BE54" i="8" s="1"/>
  <c r="BI30" i="8"/>
  <c r="BI55" i="8" s="1"/>
  <c r="BA33" i="8"/>
  <c r="BA51" i="8" s="1"/>
  <c r="BS43" i="8"/>
  <c r="BS40" i="8"/>
  <c r="BS38" i="8"/>
  <c r="BS32" i="8"/>
  <c r="N45" i="8"/>
  <c r="M45" i="8"/>
  <c r="L45" i="8"/>
  <c r="M39" i="8"/>
  <c r="L39" i="8"/>
  <c r="M37" i="8"/>
  <c r="L37" i="8"/>
  <c r="M36" i="8"/>
  <c r="L36" i="8"/>
  <c r="M17" i="8"/>
  <c r="L17" i="8"/>
  <c r="M18" i="8"/>
  <c r="L18" i="8"/>
  <c r="L25" i="8"/>
  <c r="M25" i="8" s="1"/>
  <c r="N25" i="8" s="1"/>
  <c r="M30" i="8"/>
  <c r="L30" i="8"/>
  <c r="K54" i="8"/>
  <c r="K55" i="8"/>
  <c r="K53" i="8"/>
  <c r="K52" i="8"/>
  <c r="G33" i="8"/>
  <c r="BR32" i="8"/>
  <c r="J30" i="8"/>
  <c r="N30" i="8" s="1"/>
  <c r="J25" i="8"/>
  <c r="BR25" i="8" s="1"/>
  <c r="J18" i="8"/>
  <c r="N18" i="8" s="1"/>
  <c r="J17" i="8"/>
  <c r="BR17" i="8" s="1"/>
  <c r="J43" i="8"/>
  <c r="BR43" i="8" s="1"/>
  <c r="J40" i="8"/>
  <c r="BR40" i="8" s="1"/>
  <c r="J39" i="8"/>
  <c r="N39" i="8" s="1"/>
  <c r="J38" i="8"/>
  <c r="BR38" i="8" s="1"/>
  <c r="J37" i="8"/>
  <c r="BR37" i="8" s="1"/>
  <c r="H41" i="8"/>
  <c r="H33" i="8"/>
  <c r="H35" i="8" s="1"/>
  <c r="E41" i="8"/>
  <c r="I41" i="8"/>
  <c r="E33" i="8"/>
  <c r="E35" i="8" s="1"/>
  <c r="I33" i="8"/>
  <c r="I35" i="8" s="1"/>
  <c r="J36" i="8"/>
  <c r="N36" i="8" s="1"/>
  <c r="J34" i="8"/>
  <c r="BR34" i="8" s="1"/>
  <c r="BN2" i="8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BD52" i="8" l="1"/>
  <c r="BJ55" i="8"/>
  <c r="BB33" i="8"/>
  <c r="BB51" i="8" s="1"/>
  <c r="BC33" i="8"/>
  <c r="BC35" i="8" s="1"/>
  <c r="BF54" i="8"/>
  <c r="AZ35" i="8"/>
  <c r="BA35" i="8"/>
  <c r="BA42" i="8" s="1"/>
  <c r="BA44" i="8" s="1"/>
  <c r="BA46" i="8" s="1"/>
  <c r="BA47" i="8" s="1"/>
  <c r="AY51" i="8"/>
  <c r="AY35" i="8"/>
  <c r="AY50" i="8" s="1"/>
  <c r="BD35" i="8"/>
  <c r="BD50" i="8" s="1"/>
  <c r="BF33" i="8"/>
  <c r="BF51" i="8" s="1"/>
  <c r="BF52" i="8"/>
  <c r="BG52" i="8"/>
  <c r="BH52" i="8"/>
  <c r="BB35" i="8"/>
  <c r="BE33" i="8"/>
  <c r="BE35" i="8" s="1"/>
  <c r="BE42" i="8" s="1"/>
  <c r="BE44" i="8" s="1"/>
  <c r="BH43" i="8"/>
  <c r="BI43" i="8" s="1"/>
  <c r="BG25" i="8"/>
  <c r="BH22" i="8"/>
  <c r="BF35" i="8"/>
  <c r="BA50" i="8"/>
  <c r="BD42" i="8"/>
  <c r="BD44" i="8" s="1"/>
  <c r="BD46" i="8" s="1"/>
  <c r="BD47" i="8" s="1"/>
  <c r="AZ50" i="8"/>
  <c r="AZ42" i="8"/>
  <c r="AZ44" i="8" s="1"/>
  <c r="AZ46" i="8" s="1"/>
  <c r="AZ47" i="8" s="1"/>
  <c r="BC51" i="8"/>
  <c r="M41" i="8"/>
  <c r="N17" i="8"/>
  <c r="BS36" i="8"/>
  <c r="I50" i="8"/>
  <c r="I42" i="8"/>
  <c r="I44" i="8" s="1"/>
  <c r="I46" i="8" s="1"/>
  <c r="H42" i="8"/>
  <c r="H44" i="8" s="1"/>
  <c r="H46" i="8" s="1"/>
  <c r="H50" i="8"/>
  <c r="E42" i="8"/>
  <c r="E44" i="8" s="1"/>
  <c r="E46" i="8" s="1"/>
  <c r="E50" i="8"/>
  <c r="BS30" i="8"/>
  <c r="BS18" i="8"/>
  <c r="BS39" i="8"/>
  <c r="J41" i="8"/>
  <c r="BR18" i="8"/>
  <c r="BR30" i="8"/>
  <c r="J33" i="8"/>
  <c r="J35" i="8" s="1"/>
  <c r="BR36" i="8"/>
  <c r="N37" i="8"/>
  <c r="N41" i="8" s="1"/>
  <c r="L41" i="8"/>
  <c r="BS25" i="8"/>
  <c r="BR39" i="8"/>
  <c r="L33" i="8"/>
  <c r="M33" i="8"/>
  <c r="K86" i="8"/>
  <c r="G86" i="8"/>
  <c r="K33" i="8"/>
  <c r="K51" i="8" s="1"/>
  <c r="AY42" i="8" l="1"/>
  <c r="AY44" i="8" s="1"/>
  <c r="AY46" i="8" s="1"/>
  <c r="AY47" i="8" s="1"/>
  <c r="BB50" i="8"/>
  <c r="BB42" i="8"/>
  <c r="BB44" i="8" s="1"/>
  <c r="BB46" i="8" s="1"/>
  <c r="BB47" i="8" s="1"/>
  <c r="BS17" i="8"/>
  <c r="BS33" i="8" s="1"/>
  <c r="BV17" i="8"/>
  <c r="BU17" i="8"/>
  <c r="BT17" i="8"/>
  <c r="BF50" i="8"/>
  <c r="BF42" i="8"/>
  <c r="BF44" i="8" s="1"/>
  <c r="BG33" i="8"/>
  <c r="BG54" i="8"/>
  <c r="BE50" i="8"/>
  <c r="BE51" i="8"/>
  <c r="BE46" i="8"/>
  <c r="BE47" i="8" s="1"/>
  <c r="BJ43" i="8"/>
  <c r="BF34" i="8"/>
  <c r="BH25" i="8"/>
  <c r="BI22" i="8"/>
  <c r="BG35" i="8"/>
  <c r="BG51" i="8"/>
  <c r="BC50" i="8"/>
  <c r="BC42" i="8"/>
  <c r="BC44" i="8" s="1"/>
  <c r="BC46" i="8" s="1"/>
  <c r="BC47" i="8" s="1"/>
  <c r="N33" i="8"/>
  <c r="N35" i="8" s="1"/>
  <c r="N42" i="8" s="1"/>
  <c r="N44" i="8" s="1"/>
  <c r="N46" i="8" s="1"/>
  <c r="BR33" i="8"/>
  <c r="BR35" i="8" s="1"/>
  <c r="BR41" i="8"/>
  <c r="BS37" i="8"/>
  <c r="BS41" i="8" s="1"/>
  <c r="L35" i="8"/>
  <c r="L42" i="8" s="1"/>
  <c r="L44" i="8" s="1"/>
  <c r="L46" i="8" s="1"/>
  <c r="L51" i="8"/>
  <c r="M51" i="8"/>
  <c r="M35" i="8"/>
  <c r="M42" i="8" s="1"/>
  <c r="M44" i="8" s="1"/>
  <c r="M46" i="8" s="1"/>
  <c r="J50" i="8"/>
  <c r="J42" i="8"/>
  <c r="J44" i="8" s="1"/>
  <c r="K71" i="8"/>
  <c r="K80" i="8" s="1"/>
  <c r="K82" i="8" s="1"/>
  <c r="K57" i="8"/>
  <c r="K69" i="8" s="1"/>
  <c r="K45" i="8"/>
  <c r="BS45" i="8" s="1"/>
  <c r="G45" i="8"/>
  <c r="G41" i="8"/>
  <c r="G35" i="8"/>
  <c r="K41" i="8"/>
  <c r="K35" i="8"/>
  <c r="N51" i="8" l="1"/>
  <c r="BG50" i="8"/>
  <c r="BG42" i="8"/>
  <c r="BG44" i="8" s="1"/>
  <c r="BG45" i="8" s="1"/>
  <c r="BG46" i="8" s="1"/>
  <c r="BG47" i="8" s="1"/>
  <c r="BH33" i="8"/>
  <c r="BH54" i="8"/>
  <c r="BF45" i="8"/>
  <c r="BF46" i="8" s="1"/>
  <c r="BF47" i="8" s="1"/>
  <c r="BG34" i="8"/>
  <c r="BI25" i="8"/>
  <c r="BJ22" i="8"/>
  <c r="BJ25" i="8" s="1"/>
  <c r="BH51" i="8"/>
  <c r="BH35" i="8"/>
  <c r="BR42" i="8"/>
  <c r="BR44" i="8" s="1"/>
  <c r="BS51" i="8"/>
  <c r="BR50" i="8"/>
  <c r="L34" i="8"/>
  <c r="N34" i="8"/>
  <c r="M34" i="8"/>
  <c r="J45" i="8"/>
  <c r="J46" i="8" s="1"/>
  <c r="K42" i="8"/>
  <c r="K44" i="8" s="1"/>
  <c r="K46" i="8" s="1"/>
  <c r="K50" i="8"/>
  <c r="G42" i="8"/>
  <c r="G44" i="8" s="1"/>
  <c r="G46" i="8" s="1"/>
  <c r="G50" i="8"/>
  <c r="J4" i="7"/>
  <c r="J7" i="7" s="1"/>
  <c r="BH50" i="8" l="1"/>
  <c r="BH42" i="8"/>
  <c r="BH44" i="8" s="1"/>
  <c r="BH45" i="8" s="1"/>
  <c r="BH46" i="8" s="1"/>
  <c r="BH47" i="8" s="1"/>
  <c r="BJ33" i="8"/>
  <c r="BJ54" i="8"/>
  <c r="BI33" i="8"/>
  <c r="BI54" i="8"/>
  <c r="BH34" i="8"/>
  <c r="BJ51" i="8"/>
  <c r="BJ35" i="8"/>
  <c r="BI35" i="8"/>
  <c r="BI51" i="8"/>
  <c r="BS34" i="8"/>
  <c r="BS35" i="8" s="1"/>
  <c r="BS42" i="8" s="1"/>
  <c r="BS44" i="8" s="1"/>
  <c r="BS46" i="8" s="1"/>
  <c r="BR45" i="8"/>
  <c r="BR46" i="8" s="1"/>
  <c r="BJ50" i="8" l="1"/>
  <c r="BJ42" i="8"/>
  <c r="BJ44" i="8" s="1"/>
  <c r="BJ45" i="8" s="1"/>
  <c r="BJ46" i="8" s="1"/>
  <c r="BJ47" i="8" s="1"/>
  <c r="BI50" i="8"/>
  <c r="BI42" i="8"/>
  <c r="BI44" i="8" s="1"/>
  <c r="BJ34" i="8"/>
  <c r="BI34" i="8"/>
  <c r="BS50" i="8"/>
  <c r="BI45" i="8" l="1"/>
  <c r="BI46" i="8" s="1"/>
  <c r="BI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tc={E3D528F0-3F51-4B38-A7F2-03C0AB65F15A}</author>
    <author>tc={A8D6AE9C-B485-4878-B0D1-0CBC6F574847}</author>
    <author>tc={234E2904-77D8-4DF3-9619-D74DA3F09940}</author>
  </authors>
  <commentList>
    <comment ref="AZ24" authorId="0" shapeId="0" xr:uid="{E3D528F0-3F51-4B38-A7F2-03C0AB65F15A}">
      <text>
        <t>[Threaded comment]
Your version of Excel allows you to read this threaded comment; however, any edits to it will get removed if the file is opened in a newer version of Excel. Learn more: https://go.microsoft.com/fwlink/?linkid=870924
Comment:
    1145m or 962m depending on definition</t>
      </text>
    </comment>
    <comment ref="BA42" authorId="1" shapeId="0" xr:uid="{A8D6AE9C-B485-4878-B0D1-0CBC6F57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1552 pre</t>
      </text>
    </comment>
    <comment ref="BE42" authorId="2" shapeId="0" xr:uid="{234E2904-77D8-4DF3-9619-D74DA3F09940}">
      <text>
        <t>[Threaded comment]
Your version of Excel allows you to read this threaded comment; however, any edits to it will get removed if the file is opened in a newer version of Excel. Learn more: https://go.microsoft.com/fwlink/?linkid=870924
Comment:
    1810m pre</t>
      </text>
    </comment>
  </commentList>
</comments>
</file>

<file path=xl/sharedStrings.xml><?xml version="1.0" encoding="utf-8"?>
<sst xmlns="http://schemas.openxmlformats.org/spreadsheetml/2006/main" count="178" uniqueCount="168">
  <si>
    <t>Euthyrox</t>
  </si>
  <si>
    <t>Erbitux</t>
  </si>
  <si>
    <t>Name</t>
  </si>
  <si>
    <t>Rebif</t>
  </si>
  <si>
    <t>Indication</t>
  </si>
  <si>
    <t>Multiple Sclerosis</t>
  </si>
  <si>
    <t>Phase</t>
  </si>
  <si>
    <t>Shares</t>
  </si>
  <si>
    <t>Mechanism</t>
  </si>
  <si>
    <t>MC EUR</t>
  </si>
  <si>
    <t>Price EUR</t>
  </si>
  <si>
    <t>EV EUR</t>
  </si>
  <si>
    <t>Debt EUR</t>
  </si>
  <si>
    <t>Cash EUR</t>
  </si>
  <si>
    <t>3L mCRC</t>
  </si>
  <si>
    <t>Approved</t>
  </si>
  <si>
    <t>Economics</t>
  </si>
  <si>
    <t>IP</t>
  </si>
  <si>
    <t>Gonal-F</t>
  </si>
  <si>
    <t>Infertility</t>
  </si>
  <si>
    <t>Concor</t>
  </si>
  <si>
    <t>Glucophage</t>
  </si>
  <si>
    <t>Raptiva</t>
  </si>
  <si>
    <t>Psoriasis</t>
  </si>
  <si>
    <t>Type 2 Diabetes</t>
  </si>
  <si>
    <t>Q310</t>
  </si>
  <si>
    <t>Main</t>
  </si>
  <si>
    <t>Revenue</t>
  </si>
  <si>
    <t>Q109</t>
  </si>
  <si>
    <t>Q209</t>
  </si>
  <si>
    <t>Q309</t>
  </si>
  <si>
    <t>Q409</t>
  </si>
  <si>
    <t>Q110</t>
  </si>
  <si>
    <t>Q210</t>
  </si>
  <si>
    <t>Q410</t>
  </si>
  <si>
    <t>Q111</t>
  </si>
  <si>
    <t>Q211</t>
  </si>
  <si>
    <t>Q311</t>
  </si>
  <si>
    <t>Q411</t>
  </si>
  <si>
    <t>Operating Income</t>
  </si>
  <si>
    <t>Operating Expenses</t>
  </si>
  <si>
    <t>R&amp;D</t>
  </si>
  <si>
    <t>Other</t>
  </si>
  <si>
    <t>Administration</t>
  </si>
  <si>
    <t>Royalties</t>
  </si>
  <si>
    <t>Selling</t>
  </si>
  <si>
    <t>Gross Profit</t>
  </si>
  <si>
    <t>COGS</t>
  </si>
  <si>
    <t>Interest Expense</t>
  </si>
  <si>
    <t>Pretax Income</t>
  </si>
  <si>
    <t>Taxes</t>
  </si>
  <si>
    <t>Net Income</t>
  </si>
  <si>
    <t>Cash</t>
  </si>
  <si>
    <t>A/R</t>
  </si>
  <si>
    <t>Inventories</t>
  </si>
  <si>
    <t>OCA</t>
  </si>
  <si>
    <t>Tax Receivables</t>
  </si>
  <si>
    <t>Intangibles</t>
  </si>
  <si>
    <t>PP&amp;E</t>
  </si>
  <si>
    <t>Equity</t>
  </si>
  <si>
    <t>Non-Current Assets</t>
  </si>
  <si>
    <t>Pension</t>
  </si>
  <si>
    <t>Other Non Current</t>
  </si>
  <si>
    <t>Assets</t>
  </si>
  <si>
    <t>Tax Assets</t>
  </si>
  <si>
    <t>Debt</t>
  </si>
  <si>
    <t>A/P</t>
  </si>
  <si>
    <t>OCL</t>
  </si>
  <si>
    <t>Provisions</t>
  </si>
  <si>
    <t>ONCL</t>
  </si>
  <si>
    <t>NCP</t>
  </si>
  <si>
    <t>Tax Liabilities</t>
  </si>
  <si>
    <t>Liabilities</t>
  </si>
  <si>
    <t>S/E</t>
  </si>
  <si>
    <t>L+S/E</t>
  </si>
  <si>
    <t>Merck Serono</t>
  </si>
  <si>
    <t>Consumer Health</t>
  </si>
  <si>
    <t>CFFO</t>
  </si>
  <si>
    <t>CapEx</t>
  </si>
  <si>
    <t>FCF</t>
  </si>
  <si>
    <t>Recombinant</t>
  </si>
  <si>
    <t>Gross Margin</t>
  </si>
  <si>
    <t>Serono Growth</t>
  </si>
  <si>
    <t>Consumer Growth</t>
  </si>
  <si>
    <t>Millipore Growth</t>
  </si>
  <si>
    <t>Materials Growth</t>
  </si>
  <si>
    <t>Revenue Growth</t>
  </si>
  <si>
    <t>Cilgenitide and safinimide failed.</t>
  </si>
  <si>
    <t>Q114</t>
  </si>
  <si>
    <t>Q112</t>
  </si>
  <si>
    <t>Q212</t>
  </si>
  <si>
    <t>Q312</t>
  </si>
  <si>
    <t>Q412</t>
  </si>
  <si>
    <t>Q113</t>
  </si>
  <si>
    <t>Q213</t>
  </si>
  <si>
    <t>Q313</t>
  </si>
  <si>
    <t>Q413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</si>
  <si>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</si>
  <si>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</si>
  <si>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</si>
  <si>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</si>
  <si>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</si>
  <si>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</si>
  <si>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</si>
  <si>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</si>
  <si>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</si>
  <si>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</si>
  <si>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</si>
  <si>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</si>
  <si>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</si>
  <si>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</si>
  <si>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</si>
  <si>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</si>
  <si>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</si>
  <si>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</si>
  <si>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</si>
  <si>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</si>
  <si>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</si>
  <si>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</si>
  <si>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</si>
  <si>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</si>
  <si>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</si>
  <si>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</si>
  <si>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</si>
  <si>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</si>
  <si>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</si>
  <si>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</si>
  <si>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</si>
  <si>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</si>
  <si>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</si>
  <si>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</si>
  <si>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</si>
  <si>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Life Science</t>
  </si>
  <si>
    <t>Electronics</t>
  </si>
  <si>
    <t>Q123</t>
  </si>
  <si>
    <t>Q223</t>
  </si>
  <si>
    <t>Q323</t>
  </si>
  <si>
    <t>Q423</t>
  </si>
  <si>
    <t>Process</t>
  </si>
  <si>
    <t>Research</t>
  </si>
  <si>
    <t>Applied</t>
  </si>
  <si>
    <t>Bavencio</t>
  </si>
  <si>
    <t>Other Oncology</t>
  </si>
  <si>
    <t>Mavenclad</t>
  </si>
  <si>
    <t>Neurology/Immunology</t>
  </si>
  <si>
    <t>Other Fertility</t>
  </si>
  <si>
    <t>Saizen</t>
  </si>
  <si>
    <t>CV</t>
  </si>
  <si>
    <t>Semis</t>
  </si>
  <si>
    <t>Display</t>
  </si>
  <si>
    <t>Surface</t>
  </si>
  <si>
    <t>EPS</t>
  </si>
  <si>
    <t>Science &amp; Lab</t>
  </si>
  <si>
    <t>Services</t>
  </si>
  <si>
    <t>Gonal-F (follitropin)</t>
  </si>
  <si>
    <t>Euthyrox (levothyroxine)</t>
  </si>
  <si>
    <t>TH Deficiency</t>
  </si>
  <si>
    <t>Saizen (somatropin)</t>
  </si>
  <si>
    <t>GH Deficiency</t>
  </si>
  <si>
    <t>berzosertib (ATR inhibitor) failed</t>
  </si>
  <si>
    <t>Erbitux (cetuximab)</t>
  </si>
  <si>
    <t>EGFR mab</t>
  </si>
  <si>
    <t>BMY/LLY(IMCL)</t>
  </si>
  <si>
    <t>Interferon</t>
  </si>
  <si>
    <t>Bavencio (avelumab)</t>
  </si>
  <si>
    <t>Oncology</t>
  </si>
  <si>
    <t>PD-1 mab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</si>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</sst>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_-;\-* #,##0_-;_-* &quot;-&quot;_-;_-@_-"/>
    <numFmt numFmtId="165" formatCode="_-* #,##0.00_-;\-* #,##0.00_-;_-* &quot;-&quot;??_-;_-@_-"/>
    <numFmt numFmtId="166" formatCode="_([$€-2]* #,##0.00_);_([$€-2]* \(#,##0.00\);_([$€-2]* &quot;-&quot;??_)"/>
    <numFmt numFmtId="167" formatCode="#,##0.0000\ ;\(#,##0.0000\)"/>
    <numFmt numFmtId="168" formatCode="#,##0.000\ ;\(#,##0.000\)"/>
    <numFmt numFmtId="169" formatCode="#,##0.00\ ;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</numFmts>
  <fonts count="15">
    <font>
      <sz val="10"/>
      <name val="Arial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Bembo (DFS)"/>
      <family val="1"/>
    </font>
    <font>
      <sz val="10"/>
      <name val="Univers 55"/>
    </font>
    <font>
      <b/>
      <sz val="10"/>
      <color indexed="18"/>
      <name val="Symbol"/>
      <family val="1"/>
      <charset val="2"/>
    </font>
    <font>
      <b/>
      <sz val="8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1" applyNumberForma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1" applyNumberFormat="0" applyFill="0" applyBorder="0" applyAlignment="0" applyProtection="0"/>
    <xf numFmtId="168" fontId="7" fillId="0" borderId="0" applyBorder="0" applyProtection="0">
      <alignment horizontal="right"/>
    </xf>
    <xf numFmtId="169" fontId="3" fillId="0" borderId="0" applyBorder="0" applyProtection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11" fillId="2" borderId="0" xfId="0" applyFont="1" applyFill="1"/>
    <xf numFmtId="0" fontId="0" fillId="0" borderId="0" xfId="0" applyAlignment="1">
      <alignment horizontal="right"/>
    </xf>
    <xf numFmtId="0" fontId="12" fillId="0" borderId="0" xfId="17"/>
    <xf numFmtId="3" fontId="0" fillId="0" borderId="0" xfId="0" applyNumberFormat="1"/>
    <xf numFmtId="3" fontId="0" fillId="0" borderId="0" xfId="0" applyNumberFormat="1" applyAlignment="1">
      <alignment horizontal="right"/>
    </xf>
    <xf numFmtId="3" fontId="11" fillId="0" borderId="0" xfId="0" applyNumberFormat="1" applyFont="1"/>
    <xf numFmtId="3" fontId="1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" fillId="0" borderId="0" xfId="0" applyNumberFormat="1" applyFont="1" applyAlignment="1">
      <alignment horizontal="right"/>
    </xf>
    <xf numFmtId="0" fontId="1" fillId="2" borderId="5" xfId="0" applyFont="1" applyFill="1" applyBorder="1"/>
    <xf numFmtId="9" fontId="1" fillId="2" borderId="0" xfId="0" applyNumberFormat="1" applyFont="1" applyFill="1" applyAlignment="1">
      <alignment horizontal="center"/>
    </xf>
    <xf numFmtId="0" fontId="14" fillId="2" borderId="5" xfId="0" applyFont="1" applyFill="1" applyBorder="1"/>
    <xf numFmtId="0" fontId="14" fillId="2" borderId="0" xfId="0" applyFont="1" applyFill="1" applyAlignment="1">
      <alignment horizontal="center"/>
    </xf>
  </cellXfs>
  <cellStyles count="18">
    <cellStyle name="Arial6Bold" xfId="1" xr:uid="{00000000-0005-0000-0000-000000000000}"/>
    <cellStyle name="ArialNormal" xfId="2" xr:uid="{00000000-0005-0000-0000-000001000000}"/>
    <cellStyle name="Dezimal [0]_BackSheet" xfId="3" xr:uid="{00000000-0005-0000-0000-000002000000}"/>
    <cellStyle name="Dezimal_BackSheet" xfId="4" xr:uid="{00000000-0005-0000-0000-000003000000}"/>
    <cellStyle name="Euro" xfId="5" xr:uid="{00000000-0005-0000-0000-000004000000}"/>
    <cellStyle name="fourdecplace" xfId="6" xr:uid="{00000000-0005-0000-0000-000005000000}"/>
    <cellStyle name="Global" xfId="7" xr:uid="{00000000-0005-0000-0000-000006000000}"/>
    <cellStyle name="Hyperlink" xfId="17" builtinId="8"/>
    <cellStyle name="Normal" xfId="0" builtinId="0"/>
    <cellStyle name="Standard_Alt#neu" xfId="8" xr:uid="{00000000-0005-0000-0000-000009000000}"/>
    <cellStyle name="SymbolBlue" xfId="9" xr:uid="{00000000-0005-0000-0000-00000A000000}"/>
    <cellStyle name="threedecplace" xfId="10" xr:uid="{00000000-0005-0000-0000-00000B000000}"/>
    <cellStyle name="twodecplace" xfId="11" xr:uid="{00000000-0005-0000-0000-00000C000000}"/>
    <cellStyle name="Währung [0]_BackSheet" xfId="12" xr:uid="{00000000-0005-0000-0000-00000D000000}"/>
    <cellStyle name="Währung_BackSheet" xfId="13" xr:uid="{00000000-0005-0000-0000-00000E000000}"/>
    <cellStyle name="WingdingsBlack" xfId="14" xr:uid="{00000000-0005-0000-0000-00000F000000}"/>
    <cellStyle name="WingdingsRed" xfId="15" xr:uid="{00000000-0005-0000-0000-000010000000}"/>
    <cellStyle name="WingdingsWhite" xfId="16" xr:uid="{00000000-0005-0000-0000-000011000000}"/>
  </cellStyles>
  <dxfs count="0"/>
  <tableStyles count="1" defaultTableStyle="TableStyleMedium9" defaultPivotStyle="PivotStyleLight16">
    <tableStyle name="Invisible" pivot="0" table="0" count="0" xr9:uid="{5CCCCC40-C025-4450-8CA1-E80AE7AB83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37590</xdr:colOff>
      <xdr:row>0</xdr:row>
      <xdr:rowOff>0</xdr:rowOff>
    </xdr:from>
    <xdr:to>
      <xdr:col>57</xdr:col>
      <xdr:colOff>37590</xdr:colOff>
      <xdr:row>106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4007822" y="0"/>
          <a:ext cx="0" cy="17397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32658</xdr:colOff>
      <xdr:row>0</xdr:row>
      <xdr:rowOff>0</xdr:rowOff>
    </xdr:from>
    <xdr:to>
      <xdr:col>81</xdr:col>
      <xdr:colOff>42183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8256372" y="0"/>
          <a:ext cx="9525" cy="15174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E59AE540-9914-4B9D-AAB0-60DCAF1F53A6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4" dT="2022-09-09T13:25:21.45" personId="{E59AE540-9914-4B9D-AAB0-60DCAF1F53A6}" id="{E3D528F0-3F51-4B38-A7F2-03C0AB65F15A}">
    <text>1145m or 962m depending on definition</text>
  </threadedComment>
  <threadedComment ref="BA42" dT="2023-02-27T18:12:25.92" personId="{E59AE540-9914-4B9D-AAB0-60DCAF1F53A6}" id="{A8D6AE9C-B485-4878-B0D1-0CBC6F574847}">
    <text>1552 pre</text>
  </threadedComment>
  <threadedComment ref="BE42" dT="2023-02-27T18:11:58.55" personId="{E59AE540-9914-4B9D-AAB0-60DCAF1F53A6}" id="{234E2904-77D8-4DF3-9619-D74DA3F09940}">
    <text>1810m pre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60" zoomScaleNormal="160" workbookViewId="0">
      <selection activeCell="L3" sqref="L3"/>
    </sheetView>
  </sheetViews>
  <sheetFormatPr defaultRowHeight="12.75"/>
  <cols>
    <col min="1" max="1" width="3.42578125" style="2" customWidth="1"/>
    <col min="2" max="2" width="21.5703125" style="2" customWidth="1"/>
    <col min="3" max="3" width="17.5703125" style="2" customWidth="1"/>
    <col min="4" max="4" width="9.140625" style="2"/>
    <col min="5" max="5" width="12.7109375" style="2" customWidth="1"/>
    <col min="6" max="6" width="15.28515625" style="2" customWidth="1"/>
    <col min="7" max="7" width="9.140625" style="2"/>
    <col min="8" max="8" width="3.7109375" style="2" customWidth="1"/>
    <col min="9" max="9" width="11.85546875" style="2" customWidth="1"/>
    <col min="10" max="10" width="8" style="2" customWidth="1"/>
    <col min="11" max="11" width="7" style="2" customWidth="1"/>
    <col min="12" max="16384" width="9.140625" style="2"/>
  </cols>
  <sheetData>
    <row r="2" spans="2:12">
      <c r="B2" s="1" t="s">
        <v>2</v>
      </c>
      <c r="C2" s="5" t="s">
        <v>4</v>
      </c>
      <c r="D2" s="5" t="s">
        <v>15</v>
      </c>
      <c r="E2" s="5" t="s">
        <v>8</v>
      </c>
      <c r="F2" s="5" t="s">
        <v>16</v>
      </c>
      <c r="G2" s="6" t="s">
        <v>17</v>
      </c>
      <c r="I2" s="2" t="s">
        <v>10</v>
      </c>
      <c r="J2" s="11">
        <v>171.8</v>
      </c>
    </row>
    <row r="3" spans="2:12">
      <c r="B3" s="36" t="s">
        <v>160</v>
      </c>
      <c r="C3" s="7" t="s">
        <v>14</v>
      </c>
      <c r="D3" s="7"/>
      <c r="E3" s="23" t="s">
        <v>161</v>
      </c>
      <c r="F3" s="37" t="s">
        <v>162</v>
      </c>
      <c r="G3" s="8"/>
      <c r="I3" s="2" t="s">
        <v>7</v>
      </c>
      <c r="J3" s="12">
        <v>434.77787799999999</v>
      </c>
      <c r="K3" s="26" t="s">
        <v>167</v>
      </c>
    </row>
    <row r="4" spans="2:12">
      <c r="B4" s="3" t="s">
        <v>3</v>
      </c>
      <c r="C4" s="7" t="s">
        <v>5</v>
      </c>
      <c r="D4" s="7"/>
      <c r="E4" s="23" t="s">
        <v>163</v>
      </c>
      <c r="F4" s="7"/>
      <c r="G4" s="8"/>
      <c r="I4" s="2" t="s">
        <v>9</v>
      </c>
      <c r="J4" s="12">
        <f>J3*J2</f>
        <v>74694.839440399999</v>
      </c>
      <c r="K4" s="13"/>
    </row>
    <row r="5" spans="2:12">
      <c r="B5" s="36" t="s">
        <v>154</v>
      </c>
      <c r="C5" s="7" t="s">
        <v>19</v>
      </c>
      <c r="D5" s="7"/>
      <c r="E5" s="23" t="s">
        <v>80</v>
      </c>
      <c r="F5" s="7"/>
      <c r="G5" s="8"/>
      <c r="I5" s="2" t="s">
        <v>13</v>
      </c>
      <c r="J5" s="12">
        <v>0</v>
      </c>
      <c r="K5" s="26" t="s">
        <v>167</v>
      </c>
    </row>
    <row r="6" spans="2:12">
      <c r="B6" s="3" t="s">
        <v>20</v>
      </c>
      <c r="C6" s="7"/>
      <c r="D6" s="7"/>
      <c r="E6" s="7"/>
      <c r="F6" s="7"/>
      <c r="G6" s="8"/>
      <c r="I6" s="2" t="s">
        <v>12</v>
      </c>
      <c r="J6" s="12">
        <v>7950</v>
      </c>
      <c r="K6" s="26" t="s">
        <v>167</v>
      </c>
    </row>
    <row r="7" spans="2:12">
      <c r="B7" s="36" t="s">
        <v>155</v>
      </c>
      <c r="C7" s="23" t="s">
        <v>156</v>
      </c>
      <c r="D7" s="7"/>
      <c r="E7" s="7"/>
      <c r="F7" s="7"/>
      <c r="G7" s="8"/>
      <c r="I7" s="2" t="s">
        <v>11</v>
      </c>
      <c r="J7" s="12">
        <f>J4-J5+J6</f>
        <v>82644.839440399999</v>
      </c>
    </row>
    <row r="8" spans="2:12">
      <c r="B8" s="38" t="s">
        <v>22</v>
      </c>
      <c r="C8" s="39" t="s">
        <v>23</v>
      </c>
      <c r="D8" s="7"/>
      <c r="E8" s="7"/>
      <c r="F8" s="7"/>
      <c r="G8" s="8"/>
      <c r="J8" s="12"/>
    </row>
    <row r="9" spans="2:12">
      <c r="B9" s="36" t="s">
        <v>157</v>
      </c>
      <c r="C9" s="23" t="s">
        <v>158</v>
      </c>
      <c r="D9" s="7"/>
      <c r="E9" s="7"/>
      <c r="F9" s="7"/>
      <c r="G9" s="8"/>
      <c r="J9" s="12"/>
    </row>
    <row r="10" spans="2:12">
      <c r="B10" s="36" t="s">
        <v>164</v>
      </c>
      <c r="C10" s="23" t="s">
        <v>165</v>
      </c>
      <c r="D10" s="7"/>
      <c r="E10" s="23" t="s">
        <v>166</v>
      </c>
      <c r="F10" s="7"/>
      <c r="G10" s="8"/>
      <c r="J10" s="12"/>
    </row>
    <row r="11" spans="2:12">
      <c r="B11" s="3" t="s">
        <v>21</v>
      </c>
      <c r="C11" s="7" t="s">
        <v>24</v>
      </c>
      <c r="D11" s="7"/>
      <c r="E11" s="7"/>
      <c r="F11" s="7"/>
      <c r="G11" s="8"/>
    </row>
    <row r="12" spans="2:12">
      <c r="B12" s="1"/>
      <c r="C12" s="5"/>
      <c r="D12" s="5" t="s">
        <v>6</v>
      </c>
      <c r="E12" s="5"/>
      <c r="F12" s="5"/>
      <c r="G12" s="6"/>
    </row>
    <row r="13" spans="2:12">
      <c r="B13" s="27"/>
      <c r="C13" s="28"/>
      <c r="D13" s="28"/>
      <c r="E13" s="28"/>
      <c r="F13" s="28"/>
      <c r="G13" s="29"/>
    </row>
    <row r="14" spans="2:12">
      <c r="B14" s="4"/>
      <c r="C14" s="9"/>
      <c r="D14" s="9"/>
      <c r="E14" s="9"/>
      <c r="F14" s="9"/>
      <c r="G14" s="10"/>
      <c r="L14" s="14"/>
    </row>
    <row r="16" spans="2:12">
      <c r="B16" s="14"/>
    </row>
    <row r="17" spans="7:7">
      <c r="G17" s="25" t="s">
        <v>87</v>
      </c>
    </row>
    <row r="18" spans="7:7">
      <c r="G18" s="25" t="s">
        <v>159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86"/>
  <sheetViews>
    <sheetView zoomScale="140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/>
  <cols>
    <col min="1" max="1" width="5" bestFit="1" customWidth="1"/>
    <col min="2" max="2" width="19.85546875" bestFit="1" customWidth="1"/>
    <col min="3" max="42" width="9.140625" style="15"/>
    <col min="43" max="48" width="7.7109375" style="15" customWidth="1"/>
    <col min="49" max="62" width="7.85546875" style="15" customWidth="1"/>
    <col min="63" max="63" width="9.140625" style="15"/>
    <col min="65" max="74" width="9.140625" style="15"/>
  </cols>
  <sheetData>
    <row r="1" spans="1:90">
      <c r="A1" s="16" t="s">
        <v>26</v>
      </c>
    </row>
    <row r="2" spans="1:90">
      <c r="C2" s="15" t="s">
        <v>28</v>
      </c>
      <c r="D2" s="15" t="s">
        <v>29</v>
      </c>
      <c r="E2" s="15" t="s">
        <v>30</v>
      </c>
      <c r="F2" s="15" t="s">
        <v>31</v>
      </c>
      <c r="G2" s="15" t="s">
        <v>32</v>
      </c>
      <c r="H2" s="15" t="s">
        <v>33</v>
      </c>
      <c r="I2" s="15" t="s">
        <v>25</v>
      </c>
      <c r="J2" s="15" t="s">
        <v>34</v>
      </c>
      <c r="K2" s="15" t="s">
        <v>35</v>
      </c>
      <c r="L2" s="15" t="s">
        <v>36</v>
      </c>
      <c r="M2" s="15" t="s">
        <v>37</v>
      </c>
      <c r="N2" s="15" t="s">
        <v>38</v>
      </c>
      <c r="O2" s="30" t="s">
        <v>89</v>
      </c>
      <c r="P2" s="30" t="s">
        <v>90</v>
      </c>
      <c r="Q2" s="30" t="s">
        <v>91</v>
      </c>
      <c r="R2" s="30" t="s">
        <v>92</v>
      </c>
      <c r="S2" s="30" t="s">
        <v>93</v>
      </c>
      <c r="T2" s="30" t="s">
        <v>94</v>
      </c>
      <c r="U2" s="30" t="s">
        <v>95</v>
      </c>
      <c r="V2" s="30" t="s">
        <v>96</v>
      </c>
      <c r="W2" s="30" t="s">
        <v>88</v>
      </c>
      <c r="X2" s="30" t="s">
        <v>97</v>
      </c>
      <c r="Y2" s="30" t="s">
        <v>98</v>
      </c>
      <c r="Z2" s="30" t="s">
        <v>99</v>
      </c>
      <c r="AA2" s="30" t="s">
        <v>100</v>
      </c>
      <c r="AB2" s="30" t="s">
        <v>101</v>
      </c>
      <c r="AC2" s="30" t="s">
        <v>102</v>
      </c>
      <c r="AD2" s="30" t="s">
        <v>103</v>
      </c>
      <c r="AE2" s="30" t="s">
        <v>104</v>
      </c>
      <c r="AF2" s="30" t="s">
        <v>105</v>
      </c>
      <c r="AG2" s="30" t="s">
        <v>106</v>
      </c>
      <c r="AH2" s="30" t="s">
        <v>107</v>
      </c>
      <c r="AI2" s="30" t="s">
        <v>108</v>
      </c>
      <c r="AJ2" s="30" t="s">
        <v>109</v>
      </c>
      <c r="AK2" s="30" t="s">
        <v>110</v>
      </c>
      <c r="AL2" s="30" t="s">
        <v>111</v>
      </c>
      <c r="AM2" s="30" t="s">
        <v>112</v>
      </c>
      <c r="AN2" s="30" t="s">
        <v>113</v>
      </c>
      <c r="AO2" s="30" t="s">
        <v>114</v>
      </c>
      <c r="AP2" s="30" t="s">
        <v>115</v>
      </c>
      <c r="AQ2" s="30" t="s">
        <v>116</v>
      </c>
      <c r="AR2" s="30" t="s">
        <v>117</v>
      </c>
      <c r="AS2" s="30" t="s">
        <v>118</v>
      </c>
      <c r="AT2" s="30" t="s">
        <v>119</v>
      </c>
      <c r="AU2" s="30" t="s">
        <v>120</v>
      </c>
      <c r="AV2" s="30" t="s">
        <v>121</v>
      </c>
      <c r="AW2" s="30" t="s">
        <v>122</v>
      </c>
      <c r="AX2" s="30" t="s">
        <v>123</v>
      </c>
      <c r="AY2" s="30" t="s">
        <v>124</v>
      </c>
      <c r="AZ2" s="30" t="s">
        <v>125</v>
      </c>
      <c r="BA2" s="30" t="s">
        <v>126</v>
      </c>
      <c r="BB2" s="30" t="s">
        <v>127</v>
      </c>
      <c r="BC2" s="30" t="s">
        <v>128</v>
      </c>
      <c r="BD2" s="30" t="s">
        <v>129</v>
      </c>
      <c r="BE2" s="30" t="s">
        <v>130</v>
      </c>
      <c r="BF2" s="30" t="s">
        <v>131</v>
      </c>
      <c r="BG2" s="30" t="s">
        <v>134</v>
      </c>
      <c r="BH2" s="30" t="s">
        <v>135</v>
      </c>
      <c r="BI2" s="30" t="s">
        <v>136</v>
      </c>
      <c r="BJ2" s="30" t="s">
        <v>137</v>
      </c>
      <c r="BM2" s="15">
        <v>2005</v>
      </c>
      <c r="BN2" s="15">
        <f>+BM2+1</f>
        <v>2006</v>
      </c>
      <c r="BO2" s="15">
        <f t="shared" ref="BO2:BU2" si="0">+BN2+1</f>
        <v>2007</v>
      </c>
      <c r="BP2" s="15">
        <f t="shared" si="0"/>
        <v>2008</v>
      </c>
      <c r="BQ2" s="15">
        <f t="shared" si="0"/>
        <v>2009</v>
      </c>
      <c r="BR2" s="15">
        <f t="shared" si="0"/>
        <v>2010</v>
      </c>
      <c r="BS2" s="15">
        <f t="shared" si="0"/>
        <v>2011</v>
      </c>
      <c r="BT2" s="15">
        <f t="shared" si="0"/>
        <v>2012</v>
      </c>
      <c r="BU2" s="15">
        <f t="shared" si="0"/>
        <v>2013</v>
      </c>
      <c r="BV2" s="15">
        <f>+BU2+1</f>
        <v>2014</v>
      </c>
      <c r="BW2" s="15">
        <f t="shared" ref="BW2:CG2" si="1">+BV2+1</f>
        <v>2015</v>
      </c>
      <c r="BX2" s="15">
        <f t="shared" si="1"/>
        <v>2016</v>
      </c>
      <c r="BY2" s="15">
        <f t="shared" si="1"/>
        <v>2017</v>
      </c>
      <c r="BZ2" s="15">
        <f t="shared" si="1"/>
        <v>2018</v>
      </c>
      <c r="CA2" s="15">
        <f t="shared" si="1"/>
        <v>2019</v>
      </c>
      <c r="CB2" s="15">
        <f t="shared" si="1"/>
        <v>2020</v>
      </c>
      <c r="CC2" s="15">
        <f t="shared" si="1"/>
        <v>2021</v>
      </c>
      <c r="CD2" s="15">
        <f t="shared" si="1"/>
        <v>2022</v>
      </c>
      <c r="CE2" s="15">
        <f t="shared" si="1"/>
        <v>2023</v>
      </c>
      <c r="CF2" s="15">
        <f t="shared" si="1"/>
        <v>2024</v>
      </c>
      <c r="CG2" s="15">
        <f t="shared" si="1"/>
        <v>2025</v>
      </c>
      <c r="CH2" s="15">
        <f t="shared" ref="CH2:CL2" si="2">+CG2+1</f>
        <v>2026</v>
      </c>
      <c r="CI2" s="15">
        <f t="shared" si="2"/>
        <v>2027</v>
      </c>
      <c r="CJ2" s="15">
        <f t="shared" si="2"/>
        <v>2028</v>
      </c>
      <c r="CK2" s="15">
        <f t="shared" si="2"/>
        <v>2029</v>
      </c>
      <c r="CL2" s="15">
        <f t="shared" si="2"/>
        <v>2030</v>
      </c>
    </row>
    <row r="3" spans="1:90" s="17" customFormat="1">
      <c r="B3" s="20" t="s">
        <v>144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>
        <f>427-279-148</f>
        <v>0</v>
      </c>
      <c r="AX3" s="35"/>
      <c r="AY3" s="35">
        <f>374-AY14-AY12</f>
        <v>0</v>
      </c>
      <c r="AZ3" s="35">
        <f>405-247-157</f>
        <v>1</v>
      </c>
      <c r="BA3" s="35">
        <f>431-234-197</f>
        <v>0</v>
      </c>
      <c r="BB3" s="35">
        <f t="shared" ref="BB3:BB15" si="3">CC3-SUM(AY3:BA3)</f>
        <v>-1</v>
      </c>
      <c r="BC3" s="35">
        <f>391-BC14-BC12</f>
        <v>1</v>
      </c>
      <c r="BD3" s="35">
        <f>429-217-212</f>
        <v>0</v>
      </c>
      <c r="BE3" s="35">
        <f>484-249-234</f>
        <v>1</v>
      </c>
      <c r="BF3" s="35">
        <f t="shared" ref="BF3:BF7" si="4">+BB3*0.95</f>
        <v>-0.95</v>
      </c>
      <c r="BG3" s="35">
        <f t="shared" ref="BG3:BG7" si="5">+BC3*0.95</f>
        <v>0.95</v>
      </c>
      <c r="BH3" s="35">
        <f t="shared" ref="BH3:BH7" si="6">+BD3*0.95</f>
        <v>0</v>
      </c>
      <c r="BI3" s="35">
        <f t="shared" ref="BI3:BI7" si="7">+BE3*0.95</f>
        <v>0.95</v>
      </c>
      <c r="BJ3" s="35">
        <f t="shared" ref="BJ3:BJ7" si="8">+BF3*0.95</f>
        <v>-0.90249999999999997</v>
      </c>
      <c r="BK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CB3" s="17">
        <f>1662-1131-531</f>
        <v>0</v>
      </c>
      <c r="CC3" s="17">
        <f>1645-952-693</f>
        <v>0</v>
      </c>
    </row>
    <row r="4" spans="1:90" s="17" customFormat="1">
      <c r="B4" s="20" t="s">
        <v>142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>
        <f>275-217-42</f>
        <v>16</v>
      </c>
      <c r="AX4" s="35"/>
      <c r="AY4" s="35">
        <f>295-AY11-AY16</f>
        <v>14</v>
      </c>
      <c r="AZ4" s="35">
        <f>370-273-87</f>
        <v>10</v>
      </c>
      <c r="BA4" s="35">
        <f>349-233-104</f>
        <v>12</v>
      </c>
      <c r="BB4" s="35">
        <f t="shared" si="3"/>
        <v>15</v>
      </c>
      <c r="BC4" s="35">
        <f>379-BC11-BC16</f>
        <v>9</v>
      </c>
      <c r="BD4" s="35">
        <f>415-258-146</f>
        <v>11</v>
      </c>
      <c r="BE4" s="35">
        <f>453-274-166</f>
        <v>13</v>
      </c>
      <c r="BF4" s="35">
        <f t="shared" si="4"/>
        <v>14.25</v>
      </c>
      <c r="BG4" s="35">
        <f t="shared" si="5"/>
        <v>8.5499999999999989</v>
      </c>
      <c r="BH4" s="35">
        <f t="shared" si="6"/>
        <v>10.45</v>
      </c>
      <c r="BI4" s="35">
        <f t="shared" si="7"/>
        <v>12.35</v>
      </c>
      <c r="BJ4" s="35">
        <f t="shared" si="8"/>
        <v>13.5375</v>
      </c>
      <c r="BK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CB4" s="17">
        <f>1116-891-156</f>
        <v>69</v>
      </c>
      <c r="CC4" s="17">
        <f>1411-987-373</f>
        <v>51</v>
      </c>
    </row>
    <row r="5" spans="1:90" s="17" customFormat="1">
      <c r="B5" s="20" t="s">
        <v>42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>
        <v>40</v>
      </c>
      <c r="AX5" s="35"/>
      <c r="AY5" s="35">
        <v>35</v>
      </c>
      <c r="AZ5" s="35">
        <v>42</v>
      </c>
      <c r="BA5" s="35">
        <v>33</v>
      </c>
      <c r="BB5" s="35">
        <f t="shared" si="3"/>
        <v>47</v>
      </c>
      <c r="BC5" s="35">
        <v>32</v>
      </c>
      <c r="BD5" s="35">
        <v>38</v>
      </c>
      <c r="BE5" s="35">
        <v>49</v>
      </c>
      <c r="BF5" s="35">
        <f t="shared" si="4"/>
        <v>44.65</v>
      </c>
      <c r="BG5" s="35">
        <f t="shared" si="5"/>
        <v>30.4</v>
      </c>
      <c r="BH5" s="35">
        <f t="shared" si="6"/>
        <v>36.1</v>
      </c>
      <c r="BI5" s="35">
        <f t="shared" si="7"/>
        <v>46.55</v>
      </c>
      <c r="BJ5" s="35">
        <f t="shared" si="8"/>
        <v>42.417499999999997</v>
      </c>
      <c r="BK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CB5" s="17">
        <v>197</v>
      </c>
      <c r="CC5" s="17">
        <v>157</v>
      </c>
    </row>
    <row r="6" spans="1:90" s="17" customFormat="1">
      <c r="B6" s="20" t="s">
        <v>146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>
        <v>59</v>
      </c>
      <c r="AX6" s="35"/>
      <c r="AY6" s="35">
        <v>57</v>
      </c>
      <c r="AZ6" s="35">
        <v>66</v>
      </c>
      <c r="BA6" s="35">
        <v>61</v>
      </c>
      <c r="BB6" s="35">
        <f t="shared" si="3"/>
        <v>64</v>
      </c>
      <c r="BC6" s="35">
        <v>61</v>
      </c>
      <c r="BD6" s="35">
        <v>68</v>
      </c>
      <c r="BE6" s="35">
        <v>69</v>
      </c>
      <c r="BF6" s="35">
        <f t="shared" si="4"/>
        <v>60.8</v>
      </c>
      <c r="BG6" s="35">
        <f t="shared" si="5"/>
        <v>57.949999999999996</v>
      </c>
      <c r="BH6" s="35">
        <f t="shared" si="6"/>
        <v>64.599999999999994</v>
      </c>
      <c r="BI6" s="35">
        <f t="shared" si="7"/>
        <v>65.55</v>
      </c>
      <c r="BJ6" s="35">
        <f t="shared" si="8"/>
        <v>57.76</v>
      </c>
      <c r="BK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CB6" s="17">
        <v>234</v>
      </c>
      <c r="CC6" s="17">
        <v>248</v>
      </c>
    </row>
    <row r="7" spans="1:90" s="17" customFormat="1">
      <c r="B7" s="20" t="s">
        <v>147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>
        <f>645-226-127-115-59</f>
        <v>118</v>
      </c>
      <c r="AX7" s="35"/>
      <c r="AY7" s="35">
        <f>615-AY15-AY9-AY8-AY6</f>
        <v>108</v>
      </c>
      <c r="AZ7" s="35">
        <f>628-213-127-112-66</f>
        <v>110</v>
      </c>
      <c r="BA7" s="35">
        <f>635-209-133-123-61</f>
        <v>109</v>
      </c>
      <c r="BB7" s="35">
        <f t="shared" si="3"/>
        <v>108</v>
      </c>
      <c r="BC7" s="35">
        <f>652-BC15-BC9-BC8-BC6</f>
        <v>107</v>
      </c>
      <c r="BD7" s="35">
        <f>691-228-147-139-68</f>
        <v>109</v>
      </c>
      <c r="BE7" s="35">
        <f>730-237-152-143-69</f>
        <v>129</v>
      </c>
      <c r="BF7" s="35">
        <f t="shared" si="4"/>
        <v>102.6</v>
      </c>
      <c r="BG7" s="35">
        <f t="shared" si="5"/>
        <v>101.64999999999999</v>
      </c>
      <c r="BH7" s="35">
        <f t="shared" si="6"/>
        <v>103.55</v>
      </c>
      <c r="BI7" s="35">
        <f t="shared" si="7"/>
        <v>122.55</v>
      </c>
      <c r="BJ7" s="35">
        <f t="shared" si="8"/>
        <v>97.469999999999985</v>
      </c>
      <c r="BK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CB7" s="17">
        <f>2585-903-529-455-234</f>
        <v>464</v>
      </c>
      <c r="CC7" s="17">
        <f>2540-864-523-470-248</f>
        <v>435</v>
      </c>
    </row>
    <row r="8" spans="1:90" s="17" customFormat="1">
      <c r="B8" s="20" t="s">
        <v>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>
        <v>115</v>
      </c>
      <c r="AX8" s="35"/>
      <c r="AY8" s="35">
        <v>107</v>
      </c>
      <c r="AZ8" s="35">
        <v>112</v>
      </c>
      <c r="BA8" s="35">
        <v>123</v>
      </c>
      <c r="BB8" s="35">
        <f t="shared" si="3"/>
        <v>128</v>
      </c>
      <c r="BC8" s="35">
        <v>128</v>
      </c>
      <c r="BD8" s="35">
        <v>139</v>
      </c>
      <c r="BE8" s="35">
        <v>143</v>
      </c>
      <c r="BF8" s="35">
        <f t="shared" ref="BF8:BF9" si="9">+BB8*1.05</f>
        <v>134.4</v>
      </c>
      <c r="BG8" s="35">
        <f t="shared" ref="BG8:BG9" si="10">+BC8*1.05</f>
        <v>134.4</v>
      </c>
      <c r="BH8" s="35">
        <f t="shared" ref="BH8:BH9" si="11">+BD8*1.05</f>
        <v>145.95000000000002</v>
      </c>
      <c r="BI8" s="35">
        <f t="shared" ref="BI8:BI9" si="12">+BE8*1.05</f>
        <v>150.15</v>
      </c>
      <c r="BJ8" s="35">
        <f t="shared" ref="BJ8:BJ9" si="13">+BF8*1.05</f>
        <v>141.12</v>
      </c>
      <c r="BK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CB8" s="17">
        <v>455</v>
      </c>
      <c r="CC8" s="17">
        <v>470</v>
      </c>
    </row>
    <row r="9" spans="1:90" s="17" customFormat="1">
      <c r="B9" s="20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>
        <v>127</v>
      </c>
      <c r="AX9" s="35"/>
      <c r="AY9" s="35">
        <v>126</v>
      </c>
      <c r="AZ9" s="35">
        <v>127</v>
      </c>
      <c r="BA9" s="35">
        <v>133</v>
      </c>
      <c r="BB9" s="35">
        <f t="shared" si="3"/>
        <v>137</v>
      </c>
      <c r="BC9" s="35">
        <v>138</v>
      </c>
      <c r="BD9" s="35">
        <v>147</v>
      </c>
      <c r="BE9" s="35">
        <v>152</v>
      </c>
      <c r="BF9" s="35">
        <f t="shared" si="9"/>
        <v>143.85</v>
      </c>
      <c r="BG9" s="35">
        <f t="shared" si="10"/>
        <v>144.9</v>
      </c>
      <c r="BH9" s="35">
        <f t="shared" si="11"/>
        <v>154.35</v>
      </c>
      <c r="BI9" s="35">
        <f t="shared" si="12"/>
        <v>159.6</v>
      </c>
      <c r="BJ9" s="35">
        <f t="shared" si="13"/>
        <v>151.04249999999999</v>
      </c>
      <c r="BK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CB9" s="17">
        <v>529</v>
      </c>
      <c r="CC9" s="17">
        <v>523</v>
      </c>
    </row>
    <row r="10" spans="1:90" s="17" customFormat="1">
      <c r="B10" s="20" t="s">
        <v>145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>
        <f>314-192</f>
        <v>122</v>
      </c>
      <c r="AX10" s="35"/>
      <c r="AY10" s="35">
        <f>320-186</f>
        <v>134</v>
      </c>
      <c r="AZ10" s="35">
        <f>343-200</f>
        <v>143</v>
      </c>
      <c r="BA10" s="35">
        <f>339-191</f>
        <v>148</v>
      </c>
      <c r="BB10" s="35">
        <f t="shared" si="3"/>
        <v>145</v>
      </c>
      <c r="BC10" s="35">
        <f>341-200</f>
        <v>141</v>
      </c>
      <c r="BD10" s="35">
        <f>351-198</f>
        <v>153</v>
      </c>
      <c r="BE10" s="35">
        <f>373-221</f>
        <v>152</v>
      </c>
      <c r="BF10" s="35">
        <f t="shared" ref="BF10:BF12" si="14">+BB10*1.05</f>
        <v>152.25</v>
      </c>
      <c r="BG10" s="35">
        <f t="shared" ref="BG10:BG12" si="15">+BC10*1.05</f>
        <v>148.05000000000001</v>
      </c>
      <c r="BH10" s="35">
        <f t="shared" ref="BH10:BH12" si="16">+BD10*1.05</f>
        <v>160.65</v>
      </c>
      <c r="BI10" s="35">
        <f t="shared" ref="BI10:BI12" si="17">+BE10*1.05</f>
        <v>159.6</v>
      </c>
      <c r="BJ10" s="35">
        <f t="shared" ref="BJ10:BJ12" si="18">+BF10*1.05</f>
        <v>159.86250000000001</v>
      </c>
      <c r="BK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CB10" s="17">
        <f>1079-630</f>
        <v>449</v>
      </c>
      <c r="CC10" s="17">
        <f>1337-767</f>
        <v>570</v>
      </c>
    </row>
    <row r="11" spans="1:90" s="17" customFormat="1">
      <c r="B11" s="20" t="s">
        <v>141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>
        <v>42</v>
      </c>
      <c r="AX11" s="35"/>
      <c r="AY11" s="35">
        <v>62</v>
      </c>
      <c r="AZ11" s="35">
        <v>87</v>
      </c>
      <c r="BA11" s="35">
        <v>104</v>
      </c>
      <c r="BB11" s="35">
        <f>CC11-SUM(AY11:BA11)</f>
        <v>120</v>
      </c>
      <c r="BC11" s="35">
        <v>128</v>
      </c>
      <c r="BD11" s="35">
        <v>146</v>
      </c>
      <c r="BE11" s="35">
        <v>166</v>
      </c>
      <c r="BF11" s="35">
        <f t="shared" ref="BF11:BJ11" si="19">+BB11*1.3</f>
        <v>156</v>
      </c>
      <c r="BG11" s="35">
        <f t="shared" si="19"/>
        <v>166.4</v>
      </c>
      <c r="BH11" s="35">
        <f t="shared" si="19"/>
        <v>189.8</v>
      </c>
      <c r="BI11" s="35">
        <f t="shared" si="19"/>
        <v>215.8</v>
      </c>
      <c r="BJ11" s="35">
        <f t="shared" si="19"/>
        <v>202.8</v>
      </c>
      <c r="BK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CB11" s="17">
        <v>156</v>
      </c>
      <c r="CC11" s="17">
        <v>373</v>
      </c>
    </row>
    <row r="12" spans="1:90" s="17" customFormat="1">
      <c r="B12" s="20" t="s">
        <v>143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>
        <v>148</v>
      </c>
      <c r="AX12" s="35"/>
      <c r="AY12" s="35">
        <v>147</v>
      </c>
      <c r="AZ12" s="35">
        <v>157</v>
      </c>
      <c r="BA12" s="35">
        <v>197</v>
      </c>
      <c r="BB12" s="35">
        <f t="shared" si="3"/>
        <v>192</v>
      </c>
      <c r="BC12" s="35">
        <v>189</v>
      </c>
      <c r="BD12" s="35">
        <v>212</v>
      </c>
      <c r="BE12" s="35">
        <v>234</v>
      </c>
      <c r="BF12" s="35">
        <f t="shared" si="14"/>
        <v>201.60000000000002</v>
      </c>
      <c r="BG12" s="35">
        <f t="shared" si="15"/>
        <v>198.45000000000002</v>
      </c>
      <c r="BH12" s="35">
        <f t="shared" si="16"/>
        <v>222.60000000000002</v>
      </c>
      <c r="BI12" s="35">
        <f t="shared" si="17"/>
        <v>245.70000000000002</v>
      </c>
      <c r="BJ12" s="35">
        <f t="shared" si="18"/>
        <v>211.68000000000004</v>
      </c>
      <c r="BK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CB12" s="17">
        <v>531</v>
      </c>
      <c r="CC12" s="17">
        <v>693</v>
      </c>
    </row>
    <row r="13" spans="1:90" s="17" customFormat="1">
      <c r="B13" s="20" t="s">
        <v>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>
        <v>192</v>
      </c>
      <c r="AX13" s="35"/>
      <c r="AY13" s="35">
        <v>186</v>
      </c>
      <c r="AZ13" s="35">
        <v>200</v>
      </c>
      <c r="BA13" s="35">
        <v>191</v>
      </c>
      <c r="BB13" s="35">
        <f t="shared" si="3"/>
        <v>190</v>
      </c>
      <c r="BC13" s="35">
        <v>200</v>
      </c>
      <c r="BD13" s="35">
        <v>198</v>
      </c>
      <c r="BE13" s="35">
        <v>221</v>
      </c>
      <c r="BF13" s="35">
        <f t="shared" ref="BF13:BF16" si="20">+BB13*0.9</f>
        <v>171</v>
      </c>
      <c r="BG13" s="35">
        <f t="shared" ref="BG13:BG16" si="21">+BC13*0.9</f>
        <v>180</v>
      </c>
      <c r="BH13" s="35">
        <f t="shared" ref="BH13:BH16" si="22">+BD13*0.9</f>
        <v>178.20000000000002</v>
      </c>
      <c r="BI13" s="35">
        <f t="shared" ref="BI13:BI16" si="23">+BE13*0.9</f>
        <v>198.9</v>
      </c>
      <c r="BJ13" s="35">
        <f t="shared" ref="BJ13:BJ16" si="24">+BF13*0.9</f>
        <v>153.9</v>
      </c>
      <c r="BK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CB13" s="17">
        <v>630</v>
      </c>
      <c r="CC13" s="17">
        <v>767</v>
      </c>
    </row>
    <row r="14" spans="1:90" s="17" customFormat="1">
      <c r="B14" s="20" t="s">
        <v>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>
        <v>279</v>
      </c>
      <c r="AX14" s="35"/>
      <c r="AY14" s="35">
        <v>227</v>
      </c>
      <c r="AZ14" s="35">
        <v>247</v>
      </c>
      <c r="BA14" s="35">
        <v>234</v>
      </c>
      <c r="BB14" s="35">
        <f t="shared" si="3"/>
        <v>244</v>
      </c>
      <c r="BC14" s="35">
        <v>201</v>
      </c>
      <c r="BD14" s="35">
        <v>217</v>
      </c>
      <c r="BE14" s="35">
        <v>249</v>
      </c>
      <c r="BF14" s="35">
        <f t="shared" si="20"/>
        <v>219.6</v>
      </c>
      <c r="BG14" s="35">
        <f t="shared" si="21"/>
        <v>180.9</v>
      </c>
      <c r="BH14" s="35">
        <f t="shared" si="22"/>
        <v>195.3</v>
      </c>
      <c r="BI14" s="35">
        <f t="shared" si="23"/>
        <v>224.1</v>
      </c>
      <c r="BJ14" s="35">
        <f t="shared" si="24"/>
        <v>197.64</v>
      </c>
      <c r="BK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CB14" s="17">
        <v>1131</v>
      </c>
      <c r="CC14" s="17">
        <v>952</v>
      </c>
    </row>
    <row r="15" spans="1:90" s="17" customFormat="1">
      <c r="B15" s="20" t="s">
        <v>21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>
        <v>226</v>
      </c>
      <c r="AX15" s="35"/>
      <c r="AY15" s="35">
        <v>217</v>
      </c>
      <c r="AZ15" s="35">
        <v>213</v>
      </c>
      <c r="BA15" s="35">
        <v>209</v>
      </c>
      <c r="BB15" s="35">
        <f t="shared" si="3"/>
        <v>225</v>
      </c>
      <c r="BC15" s="35">
        <v>218</v>
      </c>
      <c r="BD15" s="35">
        <v>228</v>
      </c>
      <c r="BE15" s="35">
        <v>237</v>
      </c>
      <c r="BF15" s="35">
        <f t="shared" si="20"/>
        <v>202.5</v>
      </c>
      <c r="BG15" s="35">
        <f t="shared" si="21"/>
        <v>196.20000000000002</v>
      </c>
      <c r="BH15" s="35">
        <f t="shared" si="22"/>
        <v>205.20000000000002</v>
      </c>
      <c r="BI15" s="35">
        <f t="shared" si="23"/>
        <v>213.3</v>
      </c>
      <c r="BJ15" s="35">
        <f t="shared" si="24"/>
        <v>182.25</v>
      </c>
      <c r="BK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CB15" s="17">
        <v>903</v>
      </c>
      <c r="CC15" s="17">
        <v>864</v>
      </c>
    </row>
    <row r="16" spans="1:90" s="17" customFormat="1">
      <c r="B16" s="20" t="s">
        <v>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>
        <v>217</v>
      </c>
      <c r="AX16" s="35"/>
      <c r="AY16" s="35">
        <v>219</v>
      </c>
      <c r="AZ16" s="35">
        <v>273</v>
      </c>
      <c r="BA16" s="35">
        <v>233</v>
      </c>
      <c r="BB16" s="35">
        <f>CC16-SUM(AY16:BA16)</f>
        <v>262</v>
      </c>
      <c r="BC16" s="35">
        <v>242</v>
      </c>
      <c r="BD16" s="35">
        <v>258</v>
      </c>
      <c r="BE16" s="35">
        <v>274</v>
      </c>
      <c r="BF16" s="35">
        <f t="shared" si="20"/>
        <v>235.8</v>
      </c>
      <c r="BG16" s="35">
        <f t="shared" si="21"/>
        <v>217.8</v>
      </c>
      <c r="BH16" s="35">
        <f t="shared" si="22"/>
        <v>232.20000000000002</v>
      </c>
      <c r="BI16" s="35">
        <f t="shared" si="23"/>
        <v>246.6</v>
      </c>
      <c r="BJ16" s="35">
        <f t="shared" si="24"/>
        <v>212.22000000000003</v>
      </c>
      <c r="BK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CB16" s="17">
        <v>891</v>
      </c>
      <c r="CC16" s="17">
        <v>987</v>
      </c>
    </row>
    <row r="17" spans="2:90" s="21" customFormat="1">
      <c r="B17" s="21" t="s">
        <v>75</v>
      </c>
      <c r="C17" s="22"/>
      <c r="D17" s="22"/>
      <c r="E17" s="22">
        <v>1318.6</v>
      </c>
      <c r="F17" s="22"/>
      <c r="G17" s="22">
        <v>1336.3</v>
      </c>
      <c r="H17" s="22">
        <v>1450.5</v>
      </c>
      <c r="I17" s="22">
        <v>1393.5</v>
      </c>
      <c r="J17" s="22">
        <f>5754-I17-H17-G17</f>
        <v>1573.7</v>
      </c>
      <c r="K17" s="22">
        <v>1344.9</v>
      </c>
      <c r="L17" s="22">
        <f>+H17</f>
        <v>1450.5</v>
      </c>
      <c r="M17" s="22">
        <f t="shared" ref="M17:N17" si="25">+I17</f>
        <v>1393.5</v>
      </c>
      <c r="N17" s="22">
        <f t="shared" si="25"/>
        <v>1573.7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>
        <f t="shared" ref="AQ17:BJ17" si="26">SUM(AQ3:AQ16)</f>
        <v>0</v>
      </c>
      <c r="AR17" s="22">
        <f t="shared" si="26"/>
        <v>0</v>
      </c>
      <c r="AS17" s="22">
        <f t="shared" si="26"/>
        <v>0</v>
      </c>
      <c r="AT17" s="22">
        <f t="shared" si="26"/>
        <v>0</v>
      </c>
      <c r="AU17" s="22">
        <f t="shared" si="26"/>
        <v>0</v>
      </c>
      <c r="AV17" s="22">
        <f t="shared" si="26"/>
        <v>0</v>
      </c>
      <c r="AW17" s="22">
        <f t="shared" si="26"/>
        <v>1701</v>
      </c>
      <c r="AX17" s="22">
        <f t="shared" si="26"/>
        <v>0</v>
      </c>
      <c r="AY17" s="22">
        <f t="shared" si="26"/>
        <v>1639</v>
      </c>
      <c r="AZ17" s="22">
        <f t="shared" si="26"/>
        <v>1788</v>
      </c>
      <c r="BA17" s="22">
        <f t="shared" si="26"/>
        <v>1787</v>
      </c>
      <c r="BB17" s="22">
        <f t="shared" si="26"/>
        <v>1876</v>
      </c>
      <c r="BC17" s="22">
        <f t="shared" si="26"/>
        <v>1795</v>
      </c>
      <c r="BD17" s="22">
        <f t="shared" si="26"/>
        <v>1924</v>
      </c>
      <c r="BE17" s="22">
        <f t="shared" si="26"/>
        <v>2089</v>
      </c>
      <c r="BF17" s="22">
        <f t="shared" si="26"/>
        <v>1838.35</v>
      </c>
      <c r="BG17" s="22">
        <f t="shared" si="26"/>
        <v>1766.6</v>
      </c>
      <c r="BH17" s="22">
        <f t="shared" si="26"/>
        <v>1898.9500000000003</v>
      </c>
      <c r="BI17" s="22">
        <f t="shared" si="26"/>
        <v>2061.7000000000003</v>
      </c>
      <c r="BJ17" s="22">
        <f t="shared" si="26"/>
        <v>1822.7974999999999</v>
      </c>
      <c r="BK17" s="22"/>
      <c r="BM17" s="22"/>
      <c r="BN17" s="22"/>
      <c r="BO17" s="22"/>
      <c r="BP17" s="22"/>
      <c r="BQ17" s="22"/>
      <c r="BR17" s="22">
        <f>SUM(G17:J17)</f>
        <v>5754</v>
      </c>
      <c r="BS17" s="22">
        <f>SUM(K17:N17)</f>
        <v>5762.5999999999995</v>
      </c>
      <c r="BT17" s="22">
        <f t="shared" ref="BT17:CG17" si="27">SUM(L17:O17)</f>
        <v>4417.7</v>
      </c>
      <c r="BU17" s="22">
        <f t="shared" si="27"/>
        <v>2967.2</v>
      </c>
      <c r="BV17" s="22">
        <f t="shared" si="27"/>
        <v>1573.7</v>
      </c>
      <c r="BW17" s="22">
        <f t="shared" si="27"/>
        <v>0</v>
      </c>
      <c r="BX17" s="22">
        <f t="shared" si="27"/>
        <v>0</v>
      </c>
      <c r="BY17" s="22">
        <f t="shared" si="27"/>
        <v>0</v>
      </c>
      <c r="BZ17" s="22">
        <f t="shared" si="27"/>
        <v>0</v>
      </c>
      <c r="CA17" s="22">
        <f t="shared" si="27"/>
        <v>0</v>
      </c>
      <c r="CB17" s="22">
        <f>SUM(CB3:CB16)</f>
        <v>6639</v>
      </c>
      <c r="CC17" s="22">
        <f>SUM(CC3:CC16)</f>
        <v>7090</v>
      </c>
      <c r="CD17" s="22">
        <f t="shared" si="27"/>
        <v>0</v>
      </c>
      <c r="CE17" s="22">
        <f t="shared" si="27"/>
        <v>0</v>
      </c>
      <c r="CF17" s="22">
        <f t="shared" si="27"/>
        <v>0</v>
      </c>
      <c r="CG17" s="22">
        <f t="shared" si="27"/>
        <v>0</v>
      </c>
      <c r="CH17" s="22">
        <f t="shared" ref="CH17" si="28">SUM(Z17:AC17)</f>
        <v>0</v>
      </c>
      <c r="CI17" s="22">
        <f t="shared" ref="CI17" si="29">SUM(AA17:AD17)</f>
        <v>0</v>
      </c>
      <c r="CJ17" s="22">
        <f t="shared" ref="CJ17" si="30">SUM(AB17:AE17)</f>
        <v>0</v>
      </c>
      <c r="CK17" s="22">
        <f t="shared" ref="CK17" si="31">SUM(AC17:AF17)</f>
        <v>0</v>
      </c>
      <c r="CL17" s="22">
        <f t="shared" ref="CL17" si="32">SUM(AD17:AG17)</f>
        <v>0</v>
      </c>
    </row>
    <row r="18" spans="2:90" s="17" customFormat="1">
      <c r="B18" s="20" t="s">
        <v>76</v>
      </c>
      <c r="C18" s="18"/>
      <c r="D18" s="18"/>
      <c r="E18" s="18">
        <v>122.9</v>
      </c>
      <c r="F18" s="18"/>
      <c r="G18" s="18">
        <v>106.9</v>
      </c>
      <c r="H18" s="18">
        <v>113.9</v>
      </c>
      <c r="I18" s="18">
        <v>125</v>
      </c>
      <c r="J18" s="18">
        <f>472-I18-H18-G18</f>
        <v>126.19999999999999</v>
      </c>
      <c r="K18" s="18">
        <v>116.2</v>
      </c>
      <c r="L18" s="18">
        <f>+H18*1.05</f>
        <v>119.59500000000001</v>
      </c>
      <c r="M18" s="18">
        <f t="shared" ref="M18:N18" si="33">+I18*1.05</f>
        <v>131.25</v>
      </c>
      <c r="N18" s="18">
        <f t="shared" si="33"/>
        <v>132.51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M18" s="18"/>
      <c r="BN18" s="18"/>
      <c r="BO18" s="18"/>
      <c r="BP18" s="18"/>
      <c r="BQ18" s="18"/>
      <c r="BR18" s="18">
        <f t="shared" ref="BR18:BR45" si="34">SUM(G18:J18)</f>
        <v>472</v>
      </c>
      <c r="BS18" s="18">
        <f t="shared" ref="BS18:BS30" si="35">SUM(K18:N18)</f>
        <v>499.55500000000001</v>
      </c>
      <c r="BT18" s="18"/>
      <c r="BU18" s="18"/>
      <c r="BV18" s="18"/>
    </row>
    <row r="19" spans="2:90" s="17" customFormat="1"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2:90" s="17" customFormat="1">
      <c r="B20" s="20" t="s">
        <v>140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>
        <v>413</v>
      </c>
      <c r="AW20" s="18">
        <v>418</v>
      </c>
      <c r="AX20" s="18"/>
      <c r="AY20" s="18">
        <v>432</v>
      </c>
      <c r="AZ20" s="18">
        <v>449</v>
      </c>
      <c r="BA20" s="18">
        <v>454</v>
      </c>
      <c r="BB20" s="35">
        <f>CC20-SUM(AY20:BA20)</f>
        <v>498</v>
      </c>
      <c r="BC20" s="18">
        <v>506</v>
      </c>
      <c r="BD20" s="18"/>
      <c r="BE20" s="18"/>
      <c r="BF20" s="18"/>
      <c r="BG20" s="18"/>
      <c r="BH20" s="18"/>
      <c r="BI20" s="18"/>
      <c r="BJ20" s="18"/>
      <c r="BK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CB20" s="17">
        <v>1705</v>
      </c>
      <c r="CC20" s="17">
        <v>1833</v>
      </c>
    </row>
    <row r="21" spans="2:90" s="17" customFormat="1">
      <c r="B21" s="20" t="s">
        <v>139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>
        <v>501</v>
      </c>
      <c r="AW21" s="18">
        <v>566</v>
      </c>
      <c r="AX21" s="18"/>
      <c r="AY21" s="18">
        <v>646</v>
      </c>
      <c r="AZ21" s="18">
        <v>631</v>
      </c>
      <c r="BA21" s="18">
        <v>608</v>
      </c>
      <c r="BB21" s="35">
        <f>CC21-SUM(AY21:BA21)</f>
        <v>627</v>
      </c>
      <c r="BC21" s="18">
        <v>688</v>
      </c>
      <c r="BD21" s="18"/>
      <c r="BE21" s="18"/>
      <c r="BF21" s="18"/>
      <c r="BG21" s="18"/>
      <c r="BH21" s="18"/>
      <c r="BI21" s="18"/>
      <c r="BJ21" s="18"/>
      <c r="BK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CB21" s="17">
        <v>2215</v>
      </c>
      <c r="CC21" s="17">
        <v>2512</v>
      </c>
    </row>
    <row r="22" spans="2:90" s="17" customFormat="1">
      <c r="B22" s="20" t="s">
        <v>153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>
        <v>178</v>
      </c>
      <c r="BA22" s="18"/>
      <c r="BB22" s="18"/>
      <c r="BC22" s="18"/>
      <c r="BD22" s="18">
        <v>266</v>
      </c>
      <c r="BE22" s="18">
        <v>244.4</v>
      </c>
      <c r="BF22" s="18">
        <f t="shared" ref="BF22:BJ22" si="36">+BE22</f>
        <v>244.4</v>
      </c>
      <c r="BG22" s="18">
        <f t="shared" si="36"/>
        <v>244.4</v>
      </c>
      <c r="BH22" s="18">
        <f t="shared" si="36"/>
        <v>244.4</v>
      </c>
      <c r="BI22" s="18">
        <f t="shared" si="36"/>
        <v>244.4</v>
      </c>
      <c r="BJ22" s="18">
        <f t="shared" si="36"/>
        <v>244.4</v>
      </c>
      <c r="BK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2:90" s="17" customFormat="1">
      <c r="B23" s="20" t="s">
        <v>152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>
        <v>1086</v>
      </c>
      <c r="BA23" s="18"/>
      <c r="BB23" s="18"/>
      <c r="BC23" s="18"/>
      <c r="BD23" s="18">
        <v>1233</v>
      </c>
      <c r="BE23" s="18">
        <v>1246.4000000000001</v>
      </c>
      <c r="BF23" s="18">
        <f t="shared" ref="BF23:BJ23" si="37">+BE23</f>
        <v>1246.4000000000001</v>
      </c>
      <c r="BG23" s="18">
        <f t="shared" si="37"/>
        <v>1246.4000000000001</v>
      </c>
      <c r="BH23" s="18">
        <f t="shared" si="37"/>
        <v>1246.4000000000001</v>
      </c>
      <c r="BI23" s="18">
        <f t="shared" si="37"/>
        <v>1246.4000000000001</v>
      </c>
      <c r="BJ23" s="18">
        <f t="shared" si="37"/>
        <v>1246.4000000000001</v>
      </c>
      <c r="BK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2:90" s="17" customFormat="1">
      <c r="B24" s="20" t="s">
        <v>138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>
        <v>892</v>
      </c>
      <c r="AW24" s="18">
        <v>926</v>
      </c>
      <c r="AX24" s="18"/>
      <c r="AY24" s="18">
        <v>1053</v>
      </c>
      <c r="AZ24" s="18">
        <v>962</v>
      </c>
      <c r="BA24" s="18">
        <v>1186</v>
      </c>
      <c r="BB24" s="35">
        <f>CC24-SUM(AY24:BA24)+962-1145</f>
        <v>1261</v>
      </c>
      <c r="BC24" s="18">
        <v>1251.3</v>
      </c>
      <c r="BD24" s="18">
        <v>1149</v>
      </c>
      <c r="BE24" s="18">
        <v>1190</v>
      </c>
      <c r="BF24" s="18">
        <f t="shared" ref="BF24:BJ24" si="38">+BB24*1.05</f>
        <v>1324.05</v>
      </c>
      <c r="BG24" s="18">
        <f t="shared" si="38"/>
        <v>1313.865</v>
      </c>
      <c r="BH24" s="18">
        <f t="shared" si="38"/>
        <v>1206.45</v>
      </c>
      <c r="BI24" s="18">
        <f t="shared" si="38"/>
        <v>1249.5</v>
      </c>
      <c r="BJ24" s="18">
        <f t="shared" si="38"/>
        <v>1390.2525000000001</v>
      </c>
      <c r="BK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CB24" s="17">
        <v>3595</v>
      </c>
      <c r="CC24" s="17">
        <v>4645</v>
      </c>
    </row>
    <row r="25" spans="2:90" s="21" customFormat="1">
      <c r="B25" s="21" t="s">
        <v>132</v>
      </c>
      <c r="C25" s="22"/>
      <c r="D25" s="22"/>
      <c r="E25" s="22">
        <v>226.7</v>
      </c>
      <c r="F25" s="22"/>
      <c r="G25" s="22">
        <v>228.2</v>
      </c>
      <c r="H25" s="22">
        <v>283.7</v>
      </c>
      <c r="I25" s="22">
        <v>573.70000000000005</v>
      </c>
      <c r="J25" s="22">
        <f>1681-I25-H25-G25</f>
        <v>595.39999999999986</v>
      </c>
      <c r="K25" s="22">
        <v>608.4</v>
      </c>
      <c r="L25" s="22">
        <f>+K25+5</f>
        <v>613.4</v>
      </c>
      <c r="M25" s="22">
        <f t="shared" ref="M25:N25" si="39">+L25+5</f>
        <v>618.4</v>
      </c>
      <c r="N25" s="22">
        <f t="shared" si="39"/>
        <v>623.4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>
        <f t="shared" ref="AQ25:AX25" si="40">SUM(AQ20:AQ24)</f>
        <v>0</v>
      </c>
      <c r="AR25" s="22">
        <f t="shared" si="40"/>
        <v>0</v>
      </c>
      <c r="AS25" s="22">
        <f t="shared" si="40"/>
        <v>0</v>
      </c>
      <c r="AT25" s="22">
        <f t="shared" si="40"/>
        <v>0</v>
      </c>
      <c r="AU25" s="22">
        <f t="shared" si="40"/>
        <v>0</v>
      </c>
      <c r="AV25" s="22">
        <f t="shared" si="40"/>
        <v>1806</v>
      </c>
      <c r="AW25" s="22">
        <f t="shared" si="40"/>
        <v>1910</v>
      </c>
      <c r="AX25" s="22">
        <f t="shared" si="40"/>
        <v>0</v>
      </c>
      <c r="AY25" s="22">
        <f>SUM(AY20:AY24)</f>
        <v>2131</v>
      </c>
      <c r="AZ25" s="22">
        <f>SUM(AZ22:AZ24)</f>
        <v>2226</v>
      </c>
      <c r="BA25" s="22">
        <f>+BA24+BA21+BA20</f>
        <v>2248</v>
      </c>
      <c r="BB25" s="22">
        <f>+BB24+BB21+BB20</f>
        <v>2386</v>
      </c>
      <c r="BC25" s="22">
        <f>+BC24+BC21+BC20</f>
        <v>2445.3000000000002</v>
      </c>
      <c r="BD25" s="22">
        <f t="shared" ref="BD25:BJ25" si="41">SUM(BD20:BD24)</f>
        <v>2648</v>
      </c>
      <c r="BE25" s="22">
        <f t="shared" si="41"/>
        <v>2680.8</v>
      </c>
      <c r="BF25" s="22">
        <f t="shared" si="41"/>
        <v>2814.8500000000004</v>
      </c>
      <c r="BG25" s="22">
        <f t="shared" si="41"/>
        <v>2804.665</v>
      </c>
      <c r="BH25" s="22">
        <f t="shared" si="41"/>
        <v>2697.25</v>
      </c>
      <c r="BI25" s="22">
        <f t="shared" si="41"/>
        <v>2740.3</v>
      </c>
      <c r="BJ25" s="22">
        <f t="shared" si="41"/>
        <v>2881.0525000000002</v>
      </c>
      <c r="BK25" s="22"/>
      <c r="BM25" s="22"/>
      <c r="BN25" s="22"/>
      <c r="BO25" s="22"/>
      <c r="BP25" s="22"/>
      <c r="BQ25" s="22"/>
      <c r="BR25" s="22">
        <f t="shared" si="34"/>
        <v>1680.9999999999998</v>
      </c>
      <c r="BS25" s="22">
        <f t="shared" si="35"/>
        <v>2463.6</v>
      </c>
      <c r="BT25" s="22">
        <f t="shared" ref="BT25:CL25" si="42">SUM(BT20:BT24)</f>
        <v>0</v>
      </c>
      <c r="BU25" s="22">
        <f t="shared" si="42"/>
        <v>0</v>
      </c>
      <c r="BV25" s="22">
        <f t="shared" si="42"/>
        <v>0</v>
      </c>
      <c r="BW25" s="22">
        <f t="shared" si="42"/>
        <v>0</v>
      </c>
      <c r="BX25" s="22">
        <f t="shared" si="42"/>
        <v>0</v>
      </c>
      <c r="BY25" s="22">
        <f t="shared" si="42"/>
        <v>0</v>
      </c>
      <c r="BZ25" s="22">
        <f t="shared" si="42"/>
        <v>0</v>
      </c>
      <c r="CA25" s="22">
        <f t="shared" si="42"/>
        <v>0</v>
      </c>
      <c r="CB25" s="22">
        <f>SUM(CB20:CB24)</f>
        <v>7515</v>
      </c>
      <c r="CC25" s="22">
        <f>SUM(CC20:CC24)</f>
        <v>8990</v>
      </c>
      <c r="CD25" s="22">
        <f t="shared" si="42"/>
        <v>0</v>
      </c>
      <c r="CE25" s="22">
        <f t="shared" si="42"/>
        <v>0</v>
      </c>
      <c r="CF25" s="22">
        <f t="shared" si="42"/>
        <v>0</v>
      </c>
      <c r="CG25" s="22">
        <f t="shared" si="42"/>
        <v>0</v>
      </c>
      <c r="CH25" s="22">
        <f t="shared" si="42"/>
        <v>0</v>
      </c>
      <c r="CI25" s="22">
        <f t="shared" si="42"/>
        <v>0</v>
      </c>
      <c r="CJ25" s="22">
        <f t="shared" si="42"/>
        <v>0</v>
      </c>
      <c r="CK25" s="22">
        <f t="shared" si="42"/>
        <v>0</v>
      </c>
      <c r="CL25" s="22">
        <f t="shared" si="42"/>
        <v>0</v>
      </c>
    </row>
    <row r="26" spans="2:90" s="17" customFormat="1"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2:90" s="17" customFormat="1">
      <c r="B27" s="20" t="s">
        <v>150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>
        <v>87</v>
      </c>
      <c r="AX27" s="18"/>
      <c r="AY27" s="18">
        <v>111</v>
      </c>
      <c r="AZ27" s="18">
        <v>104</v>
      </c>
      <c r="BA27" s="18">
        <v>96</v>
      </c>
      <c r="BB27" s="18">
        <f>+CC27-BA27-AZ27-AY27</f>
        <v>99</v>
      </c>
      <c r="BC27" s="18">
        <v>115</v>
      </c>
      <c r="BD27" s="18">
        <v>111</v>
      </c>
      <c r="BE27" s="18">
        <v>106.4</v>
      </c>
      <c r="BF27" s="18">
        <f t="shared" ref="BF27:BF28" si="43">+BB27*1.1</f>
        <v>108.9</v>
      </c>
      <c r="BG27" s="18">
        <f t="shared" ref="BG27:BG28" si="44">+BC27*1.1</f>
        <v>126.50000000000001</v>
      </c>
      <c r="BH27" s="18">
        <f t="shared" ref="BH27:BH28" si="45">+BD27*1.1</f>
        <v>122.10000000000001</v>
      </c>
      <c r="BI27" s="18">
        <f t="shared" ref="BI27:BI28" si="46">+BE27*1.1</f>
        <v>117.04000000000002</v>
      </c>
      <c r="BJ27" s="18">
        <f t="shared" ref="BJ27:BJ28" si="47">+BF27*1.1</f>
        <v>119.79000000000002</v>
      </c>
      <c r="BK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CB27" s="17">
        <v>371</v>
      </c>
      <c r="CC27" s="17">
        <v>410</v>
      </c>
    </row>
    <row r="28" spans="2:90" s="17" customFormat="1">
      <c r="B28" s="20" t="s">
        <v>149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>
        <v>279</v>
      </c>
      <c r="AX28" s="18"/>
      <c r="AY28" s="18">
        <v>274</v>
      </c>
      <c r="AZ28" s="18">
        <v>253</v>
      </c>
      <c r="BA28" s="18">
        <v>267</v>
      </c>
      <c r="BB28" s="18">
        <f>+CC28-BA28-AZ28-AY28</f>
        <v>252</v>
      </c>
      <c r="BC28" s="18">
        <v>262</v>
      </c>
      <c r="BD28" s="18">
        <v>233</v>
      </c>
      <c r="BE28" s="18">
        <v>200.4</v>
      </c>
      <c r="BF28" s="18">
        <f t="shared" si="43"/>
        <v>277.20000000000005</v>
      </c>
      <c r="BG28" s="18">
        <f t="shared" si="44"/>
        <v>288.20000000000005</v>
      </c>
      <c r="BH28" s="18">
        <f t="shared" si="45"/>
        <v>256.3</v>
      </c>
      <c r="BI28" s="18">
        <f t="shared" si="46"/>
        <v>220.44000000000003</v>
      </c>
      <c r="BJ28" s="18">
        <f t="shared" si="47"/>
        <v>304.92000000000007</v>
      </c>
      <c r="BK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CB28" s="17">
        <v>1115</v>
      </c>
      <c r="CC28" s="17">
        <v>1046</v>
      </c>
    </row>
    <row r="29" spans="2:90" s="17" customFormat="1">
      <c r="B29" s="2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>
        <v>469</v>
      </c>
      <c r="AX29" s="18"/>
      <c r="AY29" s="18">
        <v>475</v>
      </c>
      <c r="AZ29" s="18">
        <v>500</v>
      </c>
      <c r="BA29" s="18">
        <v>573</v>
      </c>
      <c r="BB29" s="18">
        <f>+CC29-BA29-AZ29-AY29</f>
        <v>603</v>
      </c>
      <c r="BC29" s="18">
        <v>581</v>
      </c>
      <c r="BD29" s="18">
        <v>653</v>
      </c>
      <c r="BE29" s="18">
        <v>729</v>
      </c>
      <c r="BF29" s="18">
        <f t="shared" ref="BF29:BJ29" si="48">+BB29*1.3</f>
        <v>783.9</v>
      </c>
      <c r="BG29" s="18">
        <f t="shared" si="48"/>
        <v>755.30000000000007</v>
      </c>
      <c r="BH29" s="18">
        <f t="shared" si="48"/>
        <v>848.9</v>
      </c>
      <c r="BI29" s="18">
        <f t="shared" si="48"/>
        <v>947.7</v>
      </c>
      <c r="BJ29" s="18">
        <f t="shared" si="48"/>
        <v>1019.07</v>
      </c>
      <c r="BK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CB29" s="17">
        <v>1894</v>
      </c>
      <c r="CC29" s="17">
        <v>2151</v>
      </c>
    </row>
    <row r="30" spans="2:90" s="21" customFormat="1">
      <c r="B30" s="21" t="s">
        <v>133</v>
      </c>
      <c r="C30" s="22"/>
      <c r="D30" s="22"/>
      <c r="E30" s="22">
        <v>281.8</v>
      </c>
      <c r="F30" s="22"/>
      <c r="G30" s="22">
        <v>351.4</v>
      </c>
      <c r="H30" s="22">
        <v>359.9</v>
      </c>
      <c r="I30" s="22">
        <v>345.7</v>
      </c>
      <c r="J30" s="22">
        <f>1384-I30-H30-G30</f>
        <v>327</v>
      </c>
      <c r="K30" s="22">
        <v>408</v>
      </c>
      <c r="L30" s="22">
        <f>+H30*1.1</f>
        <v>395.89</v>
      </c>
      <c r="M30" s="22">
        <f t="shared" ref="M30:N30" si="49">+I30*1.1</f>
        <v>380.27000000000004</v>
      </c>
      <c r="N30" s="22">
        <f t="shared" si="49"/>
        <v>359.70000000000005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>
        <f t="shared" ref="AQ30:AX30" si="50">SUM(AQ27:AQ29)</f>
        <v>0</v>
      </c>
      <c r="AR30" s="22">
        <f t="shared" si="50"/>
        <v>0</v>
      </c>
      <c r="AS30" s="22">
        <f t="shared" si="50"/>
        <v>0</v>
      </c>
      <c r="AT30" s="22">
        <f t="shared" si="50"/>
        <v>0</v>
      </c>
      <c r="AU30" s="22">
        <f t="shared" si="50"/>
        <v>0</v>
      </c>
      <c r="AV30" s="22">
        <f t="shared" si="50"/>
        <v>0</v>
      </c>
      <c r="AW30" s="22">
        <f t="shared" si="50"/>
        <v>835</v>
      </c>
      <c r="AX30" s="22">
        <f t="shared" si="50"/>
        <v>0</v>
      </c>
      <c r="AY30" s="22">
        <f>SUM(AY27:AY29)</f>
        <v>860</v>
      </c>
      <c r="AZ30" s="22">
        <f>SUM(AZ27:AZ29)</f>
        <v>857</v>
      </c>
      <c r="BA30" s="22">
        <f>SUM(BA27:BA29)</f>
        <v>936</v>
      </c>
      <c r="BB30" s="22">
        <v>952</v>
      </c>
      <c r="BC30" s="22">
        <f>SUM(BC27:BC29)</f>
        <v>958</v>
      </c>
      <c r="BD30" s="22">
        <f>SUM(BD27:BD29)</f>
        <v>997</v>
      </c>
      <c r="BE30" s="22">
        <f t="shared" ref="BE30:BJ30" si="51">SUM(BE27:BE29)</f>
        <v>1035.8</v>
      </c>
      <c r="BF30" s="22">
        <f t="shared" si="51"/>
        <v>1170</v>
      </c>
      <c r="BG30" s="22">
        <f t="shared" si="51"/>
        <v>1170</v>
      </c>
      <c r="BH30" s="22">
        <f t="shared" si="51"/>
        <v>1227.3</v>
      </c>
      <c r="BI30" s="22">
        <f t="shared" si="51"/>
        <v>1285.18</v>
      </c>
      <c r="BJ30" s="22">
        <f t="shared" si="51"/>
        <v>1443.7800000000002</v>
      </c>
      <c r="BK30" s="22"/>
      <c r="BM30" s="22"/>
      <c r="BN30" s="22"/>
      <c r="BO30" s="22"/>
      <c r="BP30" s="22"/>
      <c r="BQ30" s="22"/>
      <c r="BR30" s="22">
        <f t="shared" si="34"/>
        <v>1384</v>
      </c>
      <c r="BS30" s="22">
        <f t="shared" si="35"/>
        <v>1543.8600000000001</v>
      </c>
      <c r="BT30" s="22">
        <f t="shared" ref="BT30" si="52">SUM(BT27:BT29)</f>
        <v>0</v>
      </c>
      <c r="BU30" s="22">
        <f t="shared" ref="BU30" si="53">SUM(BU27:BU29)</f>
        <v>0</v>
      </c>
      <c r="BV30" s="22">
        <f t="shared" ref="BV30" si="54">SUM(BV27:BV29)</f>
        <v>0</v>
      </c>
      <c r="BW30" s="22">
        <f t="shared" ref="BW30" si="55">SUM(BW27:BW29)</f>
        <v>0</v>
      </c>
      <c r="BX30" s="22">
        <f t="shared" ref="BX30" si="56">SUM(BX27:BX29)</f>
        <v>0</v>
      </c>
      <c r="BY30" s="22">
        <f t="shared" ref="BY30" si="57">SUM(BY27:BY29)</f>
        <v>0</v>
      </c>
      <c r="BZ30" s="22">
        <f t="shared" ref="BZ30" si="58">SUM(BZ27:BZ29)</f>
        <v>0</v>
      </c>
      <c r="CA30" s="22">
        <f t="shared" ref="CA30" si="59">SUM(CA27:CA29)</f>
        <v>0</v>
      </c>
      <c r="CB30" s="22">
        <f t="shared" ref="CB30" si="60">SUM(CB27:CB29)</f>
        <v>3380</v>
      </c>
      <c r="CC30" s="22">
        <f t="shared" ref="CC30" si="61">SUM(CC27:CC29)</f>
        <v>3607</v>
      </c>
      <c r="CD30" s="22">
        <f t="shared" ref="CD30" si="62">SUM(CD27:CD29)</f>
        <v>0</v>
      </c>
      <c r="CE30" s="22">
        <f t="shared" ref="CE30" si="63">SUM(CE27:CE29)</f>
        <v>0</v>
      </c>
      <c r="CF30" s="22">
        <f t="shared" ref="CF30" si="64">SUM(CF27:CF29)</f>
        <v>0</v>
      </c>
      <c r="CG30" s="22">
        <f t="shared" ref="CG30" si="65">SUM(CG27:CG29)</f>
        <v>0</v>
      </c>
      <c r="CH30" s="22">
        <f t="shared" ref="CH30" si="66">SUM(CH27:CH29)</f>
        <v>0</v>
      </c>
      <c r="CI30" s="22">
        <f t="shared" ref="CI30" si="67">SUM(CI27:CI29)</f>
        <v>0</v>
      </c>
      <c r="CJ30" s="22">
        <f t="shared" ref="CJ30" si="68">SUM(CJ27:CJ29)</f>
        <v>0</v>
      </c>
      <c r="CK30" s="22">
        <f t="shared" ref="CK30" si="69">SUM(CK27:CK29)</f>
        <v>0</v>
      </c>
      <c r="CL30" s="22">
        <f t="shared" ref="CL30" si="70">SUM(CL27:CL29)</f>
        <v>0</v>
      </c>
    </row>
    <row r="31" spans="2:90" s="21" customFormat="1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</row>
    <row r="32" spans="2:90" s="17" customFormat="1">
      <c r="B32" s="20" t="s">
        <v>44</v>
      </c>
      <c r="C32" s="18"/>
      <c r="D32" s="18"/>
      <c r="E32" s="18"/>
      <c r="F32" s="18"/>
      <c r="G32" s="18">
        <v>76.099999999999994</v>
      </c>
      <c r="H32" s="18"/>
      <c r="I32" s="18"/>
      <c r="J32" s="18"/>
      <c r="K32" s="18">
        <v>86.2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M32" s="18"/>
      <c r="BN32" s="18"/>
      <c r="BO32" s="18"/>
      <c r="BP32" s="18"/>
      <c r="BQ32" s="18"/>
      <c r="BR32" s="18">
        <f t="shared" si="34"/>
        <v>76.099999999999994</v>
      </c>
      <c r="BS32" s="18">
        <f>SUM(K32:N32)</f>
        <v>86.2</v>
      </c>
      <c r="BT32" s="18"/>
      <c r="BU32" s="18"/>
      <c r="BV32" s="18"/>
    </row>
    <row r="33" spans="2:74" s="21" customFormat="1">
      <c r="B33" s="21" t="s">
        <v>27</v>
      </c>
      <c r="C33" s="22"/>
      <c r="D33" s="22"/>
      <c r="E33" s="22">
        <f>SUM(E17:E32)</f>
        <v>1950</v>
      </c>
      <c r="F33" s="22"/>
      <c r="G33" s="22">
        <f>SUM(G17:G32)</f>
        <v>2098.9</v>
      </c>
      <c r="H33" s="22">
        <f>SUM(H17:H32)</f>
        <v>2208</v>
      </c>
      <c r="I33" s="22">
        <f>SUM(I17:I32)</f>
        <v>2437.8999999999996</v>
      </c>
      <c r="J33" s="22">
        <f>9290.6-I33-H33-G33</f>
        <v>2545.8000000000006</v>
      </c>
      <c r="K33" s="22">
        <f>SUM(K17:K32)</f>
        <v>2563.6999999999998</v>
      </c>
      <c r="L33" s="22">
        <f t="shared" ref="L33:N33" si="71">SUM(L17:L32)</f>
        <v>2579.3849999999998</v>
      </c>
      <c r="M33" s="22">
        <f t="shared" si="71"/>
        <v>2523.42</v>
      </c>
      <c r="N33" s="22">
        <f t="shared" si="71"/>
        <v>2689.3100000000004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>
        <v>3745.8</v>
      </c>
      <c r="AR33" s="22">
        <v>3971.4</v>
      </c>
      <c r="AS33" s="22">
        <v>4053.7</v>
      </c>
      <c r="AT33" s="22">
        <v>4380.8</v>
      </c>
      <c r="AU33" s="22">
        <v>4369.7</v>
      </c>
      <c r="AV33" s="22">
        <v>4119.1000000000004</v>
      </c>
      <c r="AW33" s="22">
        <v>4447.1000000000004</v>
      </c>
      <c r="AX33" s="22">
        <v>4598.5</v>
      </c>
      <c r="AY33" s="22">
        <f t="shared" ref="AY33:BD33" si="72">AY30+AY25+AY17</f>
        <v>4630</v>
      </c>
      <c r="AZ33" s="22">
        <f t="shared" si="72"/>
        <v>4871</v>
      </c>
      <c r="BA33" s="22">
        <f t="shared" si="72"/>
        <v>4971</v>
      </c>
      <c r="BB33" s="22">
        <f t="shared" si="72"/>
        <v>5214</v>
      </c>
      <c r="BC33" s="22">
        <f t="shared" si="72"/>
        <v>5198.3</v>
      </c>
      <c r="BD33" s="22">
        <f t="shared" si="72"/>
        <v>5569</v>
      </c>
      <c r="BE33" s="22">
        <f t="shared" ref="BE33:BJ33" si="73">BE30+BE25+BE17</f>
        <v>5805.6</v>
      </c>
      <c r="BF33" s="22">
        <f t="shared" si="73"/>
        <v>5823.2000000000007</v>
      </c>
      <c r="BG33" s="22">
        <f t="shared" si="73"/>
        <v>5741.2649999999994</v>
      </c>
      <c r="BH33" s="22">
        <f t="shared" si="73"/>
        <v>5823.5</v>
      </c>
      <c r="BI33" s="22">
        <f t="shared" si="73"/>
        <v>6087.18</v>
      </c>
      <c r="BJ33" s="22">
        <f t="shared" si="73"/>
        <v>6147.63</v>
      </c>
      <c r="BK33" s="22"/>
      <c r="BM33" s="22"/>
      <c r="BN33" s="22"/>
      <c r="BO33" s="22"/>
      <c r="BP33" s="22"/>
      <c r="BQ33" s="22"/>
      <c r="BR33" s="21">
        <f>SUM(BR17:BR30)</f>
        <v>9291</v>
      </c>
      <c r="BS33" s="21">
        <f>SUM(BS17:BS32)</f>
        <v>10355.815000000001</v>
      </c>
      <c r="BT33" s="22"/>
      <c r="BU33" s="22"/>
      <c r="BV33" s="22"/>
    </row>
    <row r="34" spans="2:74" s="17" customFormat="1">
      <c r="B34" s="17" t="s">
        <v>47</v>
      </c>
      <c r="C34" s="18"/>
      <c r="D34" s="18"/>
      <c r="E34" s="18">
        <v>521.9</v>
      </c>
      <c r="F34" s="18"/>
      <c r="G34" s="18">
        <v>486.6</v>
      </c>
      <c r="H34" s="18">
        <v>517.20000000000005</v>
      </c>
      <c r="I34" s="18">
        <v>619.70000000000005</v>
      </c>
      <c r="J34" s="18">
        <f>2385.4-I34-H34-G34</f>
        <v>761.9</v>
      </c>
      <c r="K34" s="18">
        <v>639.6</v>
      </c>
      <c r="L34" s="18">
        <f>+L33-L35</f>
        <v>644.84625000000005</v>
      </c>
      <c r="M34" s="18">
        <f t="shared" ref="M34:N34" si="74">+M33-M35</f>
        <v>630.85500000000002</v>
      </c>
      <c r="N34" s="18">
        <f t="shared" si="74"/>
        <v>672.3275000000001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>
        <f>1383.5-43.5</f>
        <v>1340</v>
      </c>
      <c r="AR34" s="18">
        <f>1454.4-43.7</f>
        <v>1410.7</v>
      </c>
      <c r="AS34" s="18">
        <f>1477.9-44</f>
        <v>1433.9</v>
      </c>
      <c r="AT34" s="18">
        <f>1690.4-56.9</f>
        <v>1633.5</v>
      </c>
      <c r="AU34" s="18">
        <f>1653.5-56.7</f>
        <v>1596.8</v>
      </c>
      <c r="AV34" s="18">
        <f>1610.3-57.2</f>
        <v>1553.1</v>
      </c>
      <c r="AW34" s="18">
        <f>1776.1-48.4</f>
        <v>1727.6999999999998</v>
      </c>
      <c r="AX34" s="18">
        <f>1795.2-47.7</f>
        <v>1747.5</v>
      </c>
      <c r="AY34" s="18">
        <f>1720.6-53.9</f>
        <v>1666.6999999999998</v>
      </c>
      <c r="AZ34" s="18">
        <f>1813-49</f>
        <v>1764</v>
      </c>
      <c r="BA34" s="18">
        <f>1858.8-50.9</f>
        <v>1807.8999999999999</v>
      </c>
      <c r="BB34" s="18">
        <v>1958.8</v>
      </c>
      <c r="BC34" s="18">
        <f>1987-50.3</f>
        <v>1936.7</v>
      </c>
      <c r="BD34" s="18">
        <f>2108.6-53.2</f>
        <v>2055.4</v>
      </c>
      <c r="BE34" s="18">
        <v>2141</v>
      </c>
      <c r="BF34" s="18">
        <f t="shared" ref="BF34:BJ34" si="75">+BF33-BF35</f>
        <v>2154.5840000000003</v>
      </c>
      <c r="BG34" s="18">
        <f t="shared" si="75"/>
        <v>2124.2680499999997</v>
      </c>
      <c r="BH34" s="18">
        <f t="shared" si="75"/>
        <v>2154.6950000000002</v>
      </c>
      <c r="BI34" s="18">
        <f t="shared" si="75"/>
        <v>2252.2566000000002</v>
      </c>
      <c r="BJ34" s="18">
        <f t="shared" si="75"/>
        <v>2274.6230999999998</v>
      </c>
      <c r="BK34" s="18"/>
      <c r="BM34" s="18"/>
      <c r="BN34" s="18"/>
      <c r="BO34" s="18"/>
      <c r="BP34" s="18"/>
      <c r="BQ34" s="18"/>
      <c r="BR34" s="18">
        <f>SUM(G34:J34)</f>
        <v>2385.4</v>
      </c>
      <c r="BS34" s="18">
        <f t="shared" ref="BS34:BS45" si="76">SUM(K34:N34)</f>
        <v>2587.6287499999999</v>
      </c>
      <c r="BT34" s="18"/>
      <c r="BU34" s="18"/>
      <c r="BV34" s="18"/>
    </row>
    <row r="35" spans="2:74" s="17" customFormat="1">
      <c r="B35" s="17" t="s">
        <v>46</v>
      </c>
      <c r="C35" s="18"/>
      <c r="D35" s="18"/>
      <c r="E35" s="18">
        <f>+E33-E34</f>
        <v>1428.1</v>
      </c>
      <c r="F35" s="18"/>
      <c r="G35" s="18">
        <f>+G33-G34</f>
        <v>1612.3000000000002</v>
      </c>
      <c r="H35" s="18">
        <f>+H33-H34</f>
        <v>1690.8</v>
      </c>
      <c r="I35" s="18">
        <f>+I33-I34</f>
        <v>1818.1999999999996</v>
      </c>
      <c r="J35" s="18">
        <f>+J33-J34</f>
        <v>1783.9000000000005</v>
      </c>
      <c r="K35" s="18">
        <f>+K33-K34</f>
        <v>1924.1</v>
      </c>
      <c r="L35" s="18">
        <f>+L33*L50</f>
        <v>1934.5387499999997</v>
      </c>
      <c r="M35" s="18">
        <f t="shared" ref="M35:N35" si="77">+M33*M50</f>
        <v>1892.5650000000001</v>
      </c>
      <c r="N35" s="18">
        <f t="shared" si="77"/>
        <v>2016.9825000000003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>
        <f t="shared" ref="AQ35:AX35" si="78">AQ33-AQ34</f>
        <v>2405.8000000000002</v>
      </c>
      <c r="AR35" s="18">
        <f t="shared" si="78"/>
        <v>2560.6999999999998</v>
      </c>
      <c r="AS35" s="18">
        <f t="shared" si="78"/>
        <v>2619.7999999999997</v>
      </c>
      <c r="AT35" s="18">
        <f t="shared" si="78"/>
        <v>2747.3</v>
      </c>
      <c r="AU35" s="18">
        <f t="shared" si="78"/>
        <v>2772.8999999999996</v>
      </c>
      <c r="AV35" s="18">
        <f t="shared" si="78"/>
        <v>2566.0000000000005</v>
      </c>
      <c r="AW35" s="18">
        <f t="shared" si="78"/>
        <v>2719.4000000000005</v>
      </c>
      <c r="AX35" s="18">
        <f t="shared" si="78"/>
        <v>2851</v>
      </c>
      <c r="AY35" s="18">
        <f>AY33-AY34</f>
        <v>2963.3</v>
      </c>
      <c r="AZ35" s="18">
        <f>AZ33-AZ34</f>
        <v>3107</v>
      </c>
      <c r="BA35" s="18">
        <f>BA33-BA34</f>
        <v>3163.1000000000004</v>
      </c>
      <c r="BB35" s="18">
        <f>BB33-BB34</f>
        <v>3255.2</v>
      </c>
      <c r="BC35" s="18">
        <f>BC33-BC34</f>
        <v>3261.6000000000004</v>
      </c>
      <c r="BD35" s="18">
        <f>+BD33-BD34</f>
        <v>3513.6</v>
      </c>
      <c r="BE35" s="18">
        <f>+BE33-BE34</f>
        <v>3664.6000000000004</v>
      </c>
      <c r="BF35" s="18">
        <f t="shared" ref="BF35:BJ35" si="79">+BF33*0.63</f>
        <v>3668.6160000000004</v>
      </c>
      <c r="BG35" s="18">
        <f t="shared" si="79"/>
        <v>3616.9969499999997</v>
      </c>
      <c r="BH35" s="18">
        <f t="shared" si="79"/>
        <v>3668.8049999999998</v>
      </c>
      <c r="BI35" s="18">
        <f t="shared" si="79"/>
        <v>3834.9234000000001</v>
      </c>
      <c r="BJ35" s="18">
        <f t="shared" si="79"/>
        <v>3873.0069000000003</v>
      </c>
      <c r="BK35" s="18"/>
      <c r="BM35" s="18"/>
      <c r="BN35" s="18"/>
      <c r="BO35" s="18"/>
      <c r="BP35" s="18"/>
      <c r="BQ35" s="18"/>
      <c r="BR35" s="18">
        <f>+BR33-BR34</f>
        <v>6905.6</v>
      </c>
      <c r="BS35" s="18">
        <f>+BS33-BS34</f>
        <v>7768.1862500000007</v>
      </c>
      <c r="BT35" s="18"/>
      <c r="BU35" s="18"/>
      <c r="BV35" s="18"/>
    </row>
    <row r="36" spans="2:74" s="17" customFormat="1">
      <c r="B36" s="17" t="s">
        <v>45</v>
      </c>
      <c r="C36" s="18"/>
      <c r="D36" s="18"/>
      <c r="E36" s="18">
        <v>446.2</v>
      </c>
      <c r="F36" s="18"/>
      <c r="G36" s="18">
        <v>468.2</v>
      </c>
      <c r="H36" s="18">
        <v>540.20000000000005</v>
      </c>
      <c r="I36" s="18">
        <v>573.29999999999995</v>
      </c>
      <c r="J36" s="18">
        <f>2234.5-I36-H36-G36</f>
        <v>652.79999999999995</v>
      </c>
      <c r="K36" s="18">
        <v>591.6</v>
      </c>
      <c r="L36" s="18">
        <f>+H36+50</f>
        <v>590.20000000000005</v>
      </c>
      <c r="M36" s="18">
        <f>+I36+25</f>
        <v>598.29999999999995</v>
      </c>
      <c r="N36" s="18">
        <f>+J36+25</f>
        <v>677.8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>
        <f>1090.8-222.6</f>
        <v>868.19999999999993</v>
      </c>
      <c r="AR36" s="18">
        <f>1156.9-225</f>
        <v>931.90000000000009</v>
      </c>
      <c r="AS36" s="18">
        <f>1100.4-217.6</f>
        <v>882.80000000000007</v>
      </c>
      <c r="AT36" s="18">
        <f>1228.4-257.4</f>
        <v>971.00000000000011</v>
      </c>
      <c r="AU36" s="18">
        <f>1058.7-158.8</f>
        <v>899.90000000000009</v>
      </c>
      <c r="AV36" s="18">
        <f>1034.9-165.2</f>
        <v>869.7</v>
      </c>
      <c r="AW36" s="18">
        <f>991.8-158.5</f>
        <v>833.3</v>
      </c>
      <c r="AX36" s="18">
        <f>1121.8-153.4</f>
        <v>968.4</v>
      </c>
      <c r="AY36" s="18">
        <f>1007.3-145.9</f>
        <v>861.4</v>
      </c>
      <c r="AZ36" s="18">
        <f>1035.4-145.7</f>
        <v>889.7</v>
      </c>
      <c r="BA36" s="18">
        <f>1066.3-144.7</f>
        <v>921.59999999999991</v>
      </c>
      <c r="BB36" s="18">
        <f>1194.7-152.3</f>
        <v>1042.4000000000001</v>
      </c>
      <c r="BC36" s="18">
        <f>1087.2-144.8</f>
        <v>942.40000000000009</v>
      </c>
      <c r="BD36" s="18">
        <f>1193.6-153.7</f>
        <v>1039.8999999999999</v>
      </c>
      <c r="BE36" s="18">
        <f>1223.5-159.9</f>
        <v>1063.5999999999999</v>
      </c>
      <c r="BF36" s="18">
        <f t="shared" ref="BF36:BJ36" si="80">+BB36*1.05</f>
        <v>1094.5200000000002</v>
      </c>
      <c r="BG36" s="18">
        <f t="shared" si="80"/>
        <v>989.5200000000001</v>
      </c>
      <c r="BH36" s="18">
        <f t="shared" si="80"/>
        <v>1091.895</v>
      </c>
      <c r="BI36" s="18">
        <f t="shared" si="80"/>
        <v>1116.78</v>
      </c>
      <c r="BJ36" s="18">
        <f t="shared" si="80"/>
        <v>1149.2460000000003</v>
      </c>
      <c r="BK36" s="18"/>
      <c r="BM36" s="18"/>
      <c r="BN36" s="18"/>
      <c r="BO36" s="18"/>
      <c r="BP36" s="18"/>
      <c r="BQ36" s="18"/>
      <c r="BR36" s="18">
        <f t="shared" si="34"/>
        <v>2234.5</v>
      </c>
      <c r="BS36" s="18">
        <f t="shared" si="76"/>
        <v>2457.9</v>
      </c>
      <c r="BT36" s="18"/>
      <c r="BU36" s="18"/>
      <c r="BV36" s="18"/>
    </row>
    <row r="37" spans="2:74" s="17" customFormat="1">
      <c r="B37" s="17" t="s">
        <v>44</v>
      </c>
      <c r="C37" s="18"/>
      <c r="D37" s="18"/>
      <c r="E37" s="18">
        <v>105.2</v>
      </c>
      <c r="F37" s="18"/>
      <c r="G37" s="18">
        <v>122.2</v>
      </c>
      <c r="H37" s="18">
        <v>117.3</v>
      </c>
      <c r="I37" s="18">
        <v>115.8</v>
      </c>
      <c r="J37" s="18">
        <f>477-I37-H37-G37</f>
        <v>121.69999999999997</v>
      </c>
      <c r="K37" s="18">
        <v>111.3</v>
      </c>
      <c r="L37" s="18">
        <f>+H37</f>
        <v>117.3</v>
      </c>
      <c r="M37" s="18">
        <f t="shared" ref="M37:N37" si="81">+I37</f>
        <v>115.8</v>
      </c>
      <c r="N37" s="18">
        <f t="shared" si="81"/>
        <v>121.69999999999997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M37" s="18"/>
      <c r="BN37" s="18"/>
      <c r="BO37" s="18"/>
      <c r="BP37" s="18"/>
      <c r="BQ37" s="18"/>
      <c r="BR37" s="18">
        <f t="shared" si="34"/>
        <v>477</v>
      </c>
      <c r="BS37" s="18">
        <f t="shared" si="76"/>
        <v>466.09999999999997</v>
      </c>
      <c r="BT37" s="18"/>
      <c r="BU37" s="18"/>
      <c r="BV37" s="18"/>
    </row>
    <row r="38" spans="2:74" s="17" customFormat="1">
      <c r="B38" s="17" t="s">
        <v>43</v>
      </c>
      <c r="C38" s="18"/>
      <c r="D38" s="18"/>
      <c r="E38" s="18">
        <v>102</v>
      </c>
      <c r="F38" s="18"/>
      <c r="G38" s="18">
        <v>104.4</v>
      </c>
      <c r="H38" s="18">
        <v>115.2</v>
      </c>
      <c r="I38" s="18">
        <v>128</v>
      </c>
      <c r="J38" s="18">
        <f>478.2-I38-H38-G38</f>
        <v>130.6</v>
      </c>
      <c r="K38" s="18">
        <v>124.9</v>
      </c>
      <c r="L38" s="18">
        <v>130</v>
      </c>
      <c r="M38" s="18">
        <v>130</v>
      </c>
      <c r="N38" s="18">
        <v>130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>
        <v>283</v>
      </c>
      <c r="AR38" s="18">
        <v>269.10000000000002</v>
      </c>
      <c r="AS38" s="18">
        <v>267.5</v>
      </c>
      <c r="AT38" s="18">
        <v>334.3</v>
      </c>
      <c r="AU38" s="18">
        <v>288.5</v>
      </c>
      <c r="AV38" s="18">
        <v>298.3</v>
      </c>
      <c r="AW38" s="18">
        <v>279.7</v>
      </c>
      <c r="AX38" s="18">
        <v>321.60000000000002</v>
      </c>
      <c r="AY38" s="18">
        <v>270.8</v>
      </c>
      <c r="AZ38" s="18">
        <v>301.10000000000002</v>
      </c>
      <c r="BA38" s="18">
        <v>304.89999999999998</v>
      </c>
      <c r="BB38" s="18">
        <v>350.3</v>
      </c>
      <c r="BC38" s="18">
        <v>287.2</v>
      </c>
      <c r="BD38" s="18">
        <v>330.5</v>
      </c>
      <c r="BE38" s="18">
        <v>297</v>
      </c>
      <c r="BF38" s="18">
        <f t="shared" ref="BF38" si="82">+BB38*1.05</f>
        <v>367.81500000000005</v>
      </c>
      <c r="BG38" s="18">
        <f t="shared" ref="BG38" si="83">+BC38*1.05</f>
        <v>301.56</v>
      </c>
      <c r="BH38" s="18">
        <f t="shared" ref="BH38" si="84">+BD38*1.05</f>
        <v>347.02500000000003</v>
      </c>
      <c r="BI38" s="18">
        <f t="shared" ref="BI38" si="85">+BE38*1.05</f>
        <v>311.85000000000002</v>
      </c>
      <c r="BJ38" s="18">
        <f t="shared" ref="BJ38" si="86">+BF38*1.05</f>
        <v>386.20575000000008</v>
      </c>
      <c r="BK38" s="18"/>
      <c r="BM38" s="18"/>
      <c r="BN38" s="18"/>
      <c r="BO38" s="18"/>
      <c r="BP38" s="18"/>
      <c r="BQ38" s="18"/>
      <c r="BR38" s="18">
        <f t="shared" si="34"/>
        <v>478.20000000000005</v>
      </c>
      <c r="BS38" s="18">
        <f t="shared" si="76"/>
        <v>514.9</v>
      </c>
      <c r="BT38" s="18"/>
      <c r="BU38" s="18"/>
      <c r="BV38" s="18"/>
    </row>
    <row r="39" spans="2:74" s="17" customFormat="1">
      <c r="B39" s="17" t="s">
        <v>42</v>
      </c>
      <c r="C39" s="18"/>
      <c r="D39" s="18"/>
      <c r="E39" s="18">
        <v>76.8</v>
      </c>
      <c r="F39" s="18"/>
      <c r="G39" s="18">
        <v>134.9</v>
      </c>
      <c r="H39" s="18">
        <v>109.4</v>
      </c>
      <c r="I39" s="18">
        <v>91</v>
      </c>
      <c r="J39" s="18">
        <f>390.4-I39-H39-G39</f>
        <v>55.099999999999966</v>
      </c>
      <c r="K39" s="18">
        <v>97.1</v>
      </c>
      <c r="L39" s="18">
        <f>+H39</f>
        <v>109.4</v>
      </c>
      <c r="M39" s="18">
        <f t="shared" ref="M39" si="87">+I39</f>
        <v>91</v>
      </c>
      <c r="N39" s="18">
        <f t="shared" ref="N39" si="88">+J39</f>
        <v>55.099999999999966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M39" s="18"/>
      <c r="BN39" s="18"/>
      <c r="BO39" s="18"/>
      <c r="BP39" s="18"/>
      <c r="BQ39" s="18"/>
      <c r="BR39" s="18">
        <f t="shared" si="34"/>
        <v>390.4</v>
      </c>
      <c r="BS39" s="18">
        <f t="shared" si="76"/>
        <v>352.59999999999997</v>
      </c>
      <c r="BT39" s="18"/>
      <c r="BU39" s="18"/>
      <c r="BV39" s="18"/>
    </row>
    <row r="40" spans="2:74" s="17" customFormat="1">
      <c r="B40" s="17" t="s">
        <v>41</v>
      </c>
      <c r="C40" s="18"/>
      <c r="D40" s="18"/>
      <c r="E40" s="18">
        <v>332.8</v>
      </c>
      <c r="F40" s="18"/>
      <c r="G40" s="18">
        <v>347.2</v>
      </c>
      <c r="H40" s="18">
        <v>338.8</v>
      </c>
      <c r="I40" s="18">
        <v>348.6</v>
      </c>
      <c r="J40" s="18">
        <f>1397.1-I40-H40-G40</f>
        <v>362.50000000000006</v>
      </c>
      <c r="K40" s="18">
        <v>379.5</v>
      </c>
      <c r="L40" s="18">
        <v>380</v>
      </c>
      <c r="M40" s="18">
        <v>380</v>
      </c>
      <c r="N40" s="18">
        <v>380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>
        <v>526.6</v>
      </c>
      <c r="AR40" s="18">
        <v>553.20000000000005</v>
      </c>
      <c r="AS40" s="18">
        <v>558.29999999999995</v>
      </c>
      <c r="AT40" s="18">
        <v>630.1</v>
      </c>
      <c r="AU40" s="18">
        <v>579.20000000000005</v>
      </c>
      <c r="AV40" s="18">
        <v>520</v>
      </c>
      <c r="AW40" s="18">
        <v>531</v>
      </c>
      <c r="AX40" s="18">
        <v>658</v>
      </c>
      <c r="AY40" s="18">
        <v>576.29999999999995</v>
      </c>
      <c r="AZ40" s="18">
        <v>591.1</v>
      </c>
      <c r="BA40" s="18">
        <v>666.5</v>
      </c>
      <c r="BB40" s="18">
        <v>591.9</v>
      </c>
      <c r="BC40" s="18">
        <v>585.5</v>
      </c>
      <c r="BD40" s="18">
        <v>599.6</v>
      </c>
      <c r="BE40" s="18">
        <v>620</v>
      </c>
      <c r="BF40" s="18">
        <f t="shared" ref="BF40" si="89">+BB40*1.05</f>
        <v>621.495</v>
      </c>
      <c r="BG40" s="18">
        <f t="shared" ref="BG40" si="90">+BC40*1.05</f>
        <v>614.77499999999998</v>
      </c>
      <c r="BH40" s="18">
        <f t="shared" ref="BH40" si="91">+BD40*1.05</f>
        <v>629.58000000000004</v>
      </c>
      <c r="BI40" s="18">
        <f t="shared" ref="BI40" si="92">+BE40*1.05</f>
        <v>651</v>
      </c>
      <c r="BJ40" s="18">
        <f t="shared" ref="BJ40" si="93">+BF40*1.05</f>
        <v>652.56975</v>
      </c>
      <c r="BK40" s="18"/>
      <c r="BM40" s="18"/>
      <c r="BN40" s="18"/>
      <c r="BO40" s="18"/>
      <c r="BP40" s="18"/>
      <c r="BQ40" s="18"/>
      <c r="BR40" s="18">
        <f t="shared" si="34"/>
        <v>1397.1</v>
      </c>
      <c r="BS40" s="18">
        <f t="shared" si="76"/>
        <v>1519.5</v>
      </c>
      <c r="BT40" s="18"/>
      <c r="BU40" s="18"/>
      <c r="BV40" s="18"/>
    </row>
    <row r="41" spans="2:74" s="17" customFormat="1">
      <c r="B41" s="17" t="s">
        <v>40</v>
      </c>
      <c r="C41" s="18"/>
      <c r="D41" s="18"/>
      <c r="E41" s="18">
        <f>SUM(E36:E40)</f>
        <v>1063</v>
      </c>
      <c r="F41" s="18"/>
      <c r="G41" s="18">
        <f>SUM(G36:G40)</f>
        <v>1176.8999999999999</v>
      </c>
      <c r="H41" s="18">
        <f>SUM(H36:H40)</f>
        <v>1220.9000000000001</v>
      </c>
      <c r="I41" s="18">
        <f>SUM(I36:I40)</f>
        <v>1256.6999999999998</v>
      </c>
      <c r="J41" s="18">
        <f>SUM(J36:J40)</f>
        <v>1322.6999999999998</v>
      </c>
      <c r="K41" s="18">
        <f>SUM(K36:K40)</f>
        <v>1304.4000000000001</v>
      </c>
      <c r="L41" s="18">
        <f t="shared" ref="L41:N41" si="94">SUM(L36:L40)</f>
        <v>1326.9</v>
      </c>
      <c r="M41" s="18">
        <f t="shared" si="94"/>
        <v>1315.1</v>
      </c>
      <c r="N41" s="18">
        <f t="shared" si="94"/>
        <v>1364.6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>
        <f t="shared" ref="AQ41:AX41" si="95">SUM(AQ36:AQ40)</f>
        <v>1677.7999999999997</v>
      </c>
      <c r="AR41" s="18">
        <f t="shared" si="95"/>
        <v>1754.2</v>
      </c>
      <c r="AS41" s="18">
        <f t="shared" si="95"/>
        <v>1708.6000000000001</v>
      </c>
      <c r="AT41" s="18">
        <f t="shared" si="95"/>
        <v>1935.4</v>
      </c>
      <c r="AU41" s="18">
        <f t="shared" si="95"/>
        <v>1767.6000000000001</v>
      </c>
      <c r="AV41" s="18">
        <f t="shared" si="95"/>
        <v>1688</v>
      </c>
      <c r="AW41" s="18">
        <f t="shared" si="95"/>
        <v>1644</v>
      </c>
      <c r="AX41" s="18">
        <f t="shared" si="95"/>
        <v>1948</v>
      </c>
      <c r="AY41" s="18">
        <f>SUM(AY36:AY40)</f>
        <v>1708.5</v>
      </c>
      <c r="AZ41" s="18">
        <f t="shared" ref="AZ41:BD41" si="96">SUM(AZ36:AZ40)</f>
        <v>1781.9</v>
      </c>
      <c r="BA41" s="18">
        <f t="shared" si="96"/>
        <v>1893</v>
      </c>
      <c r="BB41" s="18">
        <f t="shared" si="96"/>
        <v>1984.6</v>
      </c>
      <c r="BC41" s="18">
        <f t="shared" si="96"/>
        <v>1815.1000000000001</v>
      </c>
      <c r="BD41" s="18">
        <f t="shared" si="96"/>
        <v>1970</v>
      </c>
      <c r="BE41" s="18">
        <f t="shared" ref="BE41" si="97">SUM(BE36:BE40)</f>
        <v>1980.6</v>
      </c>
      <c r="BF41" s="18">
        <f t="shared" ref="BF41" si="98">SUM(BF36:BF40)</f>
        <v>2083.8300000000004</v>
      </c>
      <c r="BG41" s="18">
        <f t="shared" ref="BG41" si="99">SUM(BG36:BG40)</f>
        <v>1905.855</v>
      </c>
      <c r="BH41" s="18">
        <f t="shared" ref="BH41" si="100">SUM(BH36:BH40)</f>
        <v>2068.5</v>
      </c>
      <c r="BI41" s="18">
        <f t="shared" ref="BI41" si="101">SUM(BI36:BI40)</f>
        <v>2079.63</v>
      </c>
      <c r="BJ41" s="18">
        <f t="shared" ref="BJ41" si="102">SUM(BJ36:BJ40)</f>
        <v>2188.0215000000003</v>
      </c>
      <c r="BK41" s="18"/>
      <c r="BM41" s="18"/>
      <c r="BN41" s="18"/>
      <c r="BO41" s="18"/>
      <c r="BP41" s="18"/>
      <c r="BQ41" s="18"/>
      <c r="BR41" s="18">
        <f>SUM(BR36:BR40)</f>
        <v>4977.2</v>
      </c>
      <c r="BS41" s="18">
        <f>SUM(BS36:BS40)</f>
        <v>5311</v>
      </c>
      <c r="BT41" s="18"/>
      <c r="BU41" s="18"/>
      <c r="BV41" s="18"/>
    </row>
    <row r="42" spans="2:74" s="17" customFormat="1">
      <c r="B42" s="17" t="s">
        <v>39</v>
      </c>
      <c r="C42" s="18"/>
      <c r="D42" s="18"/>
      <c r="E42" s="18">
        <f>E35-E41</f>
        <v>365.09999999999991</v>
      </c>
      <c r="F42" s="18"/>
      <c r="G42" s="18">
        <f t="shared" ref="G42:N42" si="103">G35-G41</f>
        <v>435.40000000000032</v>
      </c>
      <c r="H42" s="18">
        <f t="shared" si="103"/>
        <v>469.89999999999986</v>
      </c>
      <c r="I42" s="18">
        <f t="shared" si="103"/>
        <v>561.49999999999977</v>
      </c>
      <c r="J42" s="18">
        <f t="shared" si="103"/>
        <v>461.20000000000073</v>
      </c>
      <c r="K42" s="18">
        <f t="shared" si="103"/>
        <v>619.69999999999982</v>
      </c>
      <c r="L42" s="18">
        <f t="shared" si="103"/>
        <v>607.63874999999962</v>
      </c>
      <c r="M42" s="18">
        <f t="shared" si="103"/>
        <v>577.46500000000015</v>
      </c>
      <c r="N42" s="18">
        <f t="shared" si="103"/>
        <v>652.38250000000039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>
        <f t="shared" ref="AQ42:AX42" si="104">AQ35-AQ41</f>
        <v>728.00000000000045</v>
      </c>
      <c r="AR42" s="18">
        <f t="shared" si="104"/>
        <v>806.49999999999977</v>
      </c>
      <c r="AS42" s="18">
        <f t="shared" si="104"/>
        <v>911.19999999999959</v>
      </c>
      <c r="AT42" s="18">
        <f t="shared" si="104"/>
        <v>811.90000000000009</v>
      </c>
      <c r="AU42" s="18">
        <f t="shared" si="104"/>
        <v>1005.2999999999995</v>
      </c>
      <c r="AV42" s="18">
        <f t="shared" si="104"/>
        <v>878.00000000000045</v>
      </c>
      <c r="AW42" s="18">
        <f t="shared" si="104"/>
        <v>1075.4000000000005</v>
      </c>
      <c r="AX42" s="18">
        <f t="shared" si="104"/>
        <v>903</v>
      </c>
      <c r="AY42" s="18">
        <f>AY35-AY41</f>
        <v>1254.8000000000002</v>
      </c>
      <c r="AZ42" s="18">
        <f t="shared" ref="AZ42:BD42" si="105">AZ35-AZ41</f>
        <v>1325.1</v>
      </c>
      <c r="BA42" s="18">
        <f t="shared" si="105"/>
        <v>1270.1000000000004</v>
      </c>
      <c r="BB42" s="18">
        <f t="shared" si="105"/>
        <v>1270.5999999999999</v>
      </c>
      <c r="BC42" s="18">
        <f t="shared" si="105"/>
        <v>1446.5000000000002</v>
      </c>
      <c r="BD42" s="18">
        <f t="shared" si="105"/>
        <v>1543.6</v>
      </c>
      <c r="BE42" s="18">
        <f t="shared" ref="BE42" si="106">BE35-BE41</f>
        <v>1684.0000000000005</v>
      </c>
      <c r="BF42" s="18">
        <f t="shared" ref="BF42" si="107">BF35-BF41</f>
        <v>1584.7860000000001</v>
      </c>
      <c r="BG42" s="18">
        <f t="shared" ref="BG42" si="108">BG35-BG41</f>
        <v>1711.1419499999997</v>
      </c>
      <c r="BH42" s="18">
        <f t="shared" ref="BH42" si="109">BH35-BH41</f>
        <v>1600.3049999999998</v>
      </c>
      <c r="BI42" s="18">
        <f t="shared" ref="BI42" si="110">BI35-BI41</f>
        <v>1755.2934</v>
      </c>
      <c r="BJ42" s="18">
        <f t="shared" ref="BJ42" si="111">BJ35-BJ41</f>
        <v>1684.9854</v>
      </c>
      <c r="BK42" s="18"/>
      <c r="BM42" s="18"/>
      <c r="BN42" s="18"/>
      <c r="BO42" s="18"/>
      <c r="BP42" s="18"/>
      <c r="BQ42" s="18"/>
      <c r="BR42" s="18">
        <f>BR35-BR41</f>
        <v>1928.4000000000005</v>
      </c>
      <c r="BS42" s="18">
        <f>BS35-BS41</f>
        <v>2457.1862500000007</v>
      </c>
      <c r="BT42" s="18"/>
      <c r="BU42" s="18"/>
      <c r="BV42" s="18"/>
    </row>
    <row r="43" spans="2:74" s="17" customFormat="1">
      <c r="B43" s="17" t="s">
        <v>48</v>
      </c>
      <c r="C43" s="18"/>
      <c r="D43" s="18"/>
      <c r="E43" s="18">
        <v>31.7</v>
      </c>
      <c r="F43" s="18"/>
      <c r="G43" s="18">
        <v>38.6</v>
      </c>
      <c r="H43" s="18">
        <v>78.3</v>
      </c>
      <c r="I43" s="18">
        <v>74.2</v>
      </c>
      <c r="J43" s="18">
        <f>251.6-I43-H43-G43</f>
        <v>60.499999999999979</v>
      </c>
      <c r="K43" s="18">
        <v>68.3</v>
      </c>
      <c r="L43" s="18">
        <v>68</v>
      </c>
      <c r="M43" s="18">
        <v>68</v>
      </c>
      <c r="N43" s="18">
        <v>67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>
        <v>-112.6</v>
      </c>
      <c r="AR43" s="18">
        <v>-61.1</v>
      </c>
      <c r="AS43" s="18">
        <v>-134.9</v>
      </c>
      <c r="AT43" s="18">
        <v>-76.099999999999994</v>
      </c>
      <c r="AU43" s="18">
        <v>-98.5</v>
      </c>
      <c r="AV43" s="18">
        <v>-102.3</v>
      </c>
      <c r="AW43" s="18">
        <v>-101.6</v>
      </c>
      <c r="AX43" s="18">
        <v>-52</v>
      </c>
      <c r="AY43" s="18">
        <v>-59.1</v>
      </c>
      <c r="AZ43" s="18">
        <v>-94.8</v>
      </c>
      <c r="BA43" s="18">
        <v>-54.2</v>
      </c>
      <c r="BB43" s="18">
        <v>-46.8</v>
      </c>
      <c r="BC43" s="18">
        <v>-34.299999999999997</v>
      </c>
      <c r="BD43" s="18">
        <v>-55.1</v>
      </c>
      <c r="BE43" s="18">
        <v>-47</v>
      </c>
      <c r="BF43" s="18">
        <f t="shared" ref="BF43:BJ43" si="112">AVERAGE(BB43:BE43)</f>
        <v>-45.8</v>
      </c>
      <c r="BG43" s="18">
        <f t="shared" si="112"/>
        <v>-45.55</v>
      </c>
      <c r="BH43" s="18">
        <f t="shared" si="112"/>
        <v>-48.362499999999997</v>
      </c>
      <c r="BI43" s="18">
        <f t="shared" si="112"/>
        <v>-46.678124999999994</v>
      </c>
      <c r="BJ43" s="18">
        <f t="shared" si="112"/>
        <v>-46.597656249999993</v>
      </c>
      <c r="BK43" s="18"/>
      <c r="BM43" s="18"/>
      <c r="BN43" s="18"/>
      <c r="BO43" s="18"/>
      <c r="BP43" s="18"/>
      <c r="BQ43" s="18"/>
      <c r="BR43" s="18">
        <f t="shared" si="34"/>
        <v>251.6</v>
      </c>
      <c r="BS43" s="18">
        <f t="shared" si="76"/>
        <v>271.3</v>
      </c>
      <c r="BT43" s="18"/>
      <c r="BU43" s="18"/>
      <c r="BV43" s="18"/>
    </row>
    <row r="44" spans="2:74" s="17" customFormat="1">
      <c r="B44" s="17" t="s">
        <v>49</v>
      </c>
      <c r="C44" s="18"/>
      <c r="D44" s="18"/>
      <c r="E44" s="18">
        <f>+E42-E43</f>
        <v>333.39999999999992</v>
      </c>
      <c r="F44" s="18"/>
      <c r="G44" s="18">
        <f t="shared" ref="G44:N44" si="113">+G42-G43</f>
        <v>396.8000000000003</v>
      </c>
      <c r="H44" s="18">
        <f t="shared" si="113"/>
        <v>391.59999999999985</v>
      </c>
      <c r="I44" s="18">
        <f t="shared" si="113"/>
        <v>487.29999999999978</v>
      </c>
      <c r="J44" s="18">
        <f t="shared" si="113"/>
        <v>400.70000000000073</v>
      </c>
      <c r="K44" s="18">
        <f t="shared" si="113"/>
        <v>551.39999999999986</v>
      </c>
      <c r="L44" s="18">
        <f t="shared" si="113"/>
        <v>539.63874999999962</v>
      </c>
      <c r="M44" s="18">
        <f t="shared" si="113"/>
        <v>509.46500000000015</v>
      </c>
      <c r="N44" s="18">
        <f t="shared" si="113"/>
        <v>585.38250000000039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>
        <f t="shared" ref="AQ44:AX44" si="114">AQ42+AQ43</f>
        <v>615.40000000000043</v>
      </c>
      <c r="AR44" s="18">
        <f t="shared" si="114"/>
        <v>745.39999999999975</v>
      </c>
      <c r="AS44" s="18">
        <f t="shared" si="114"/>
        <v>776.29999999999961</v>
      </c>
      <c r="AT44" s="18">
        <f t="shared" si="114"/>
        <v>735.80000000000007</v>
      </c>
      <c r="AU44" s="18">
        <f t="shared" si="114"/>
        <v>906.7999999999995</v>
      </c>
      <c r="AV44" s="18">
        <f t="shared" si="114"/>
        <v>775.7000000000005</v>
      </c>
      <c r="AW44" s="18">
        <f t="shared" si="114"/>
        <v>973.80000000000052</v>
      </c>
      <c r="AX44" s="18">
        <f t="shared" si="114"/>
        <v>851</v>
      </c>
      <c r="AY44" s="18">
        <f>AY42+AY43</f>
        <v>1195.7000000000003</v>
      </c>
      <c r="AZ44" s="18">
        <f t="shared" ref="AZ44:BD44" si="115">AZ42+AZ43</f>
        <v>1230.3</v>
      </c>
      <c r="BA44" s="18">
        <f t="shared" si="115"/>
        <v>1215.9000000000003</v>
      </c>
      <c r="BB44" s="18">
        <f t="shared" si="115"/>
        <v>1223.8</v>
      </c>
      <c r="BC44" s="18">
        <f t="shared" si="115"/>
        <v>1412.2000000000003</v>
      </c>
      <c r="BD44" s="18">
        <f t="shared" si="115"/>
        <v>1488.5</v>
      </c>
      <c r="BE44" s="18">
        <f t="shared" ref="BE44" si="116">BE42+BE43</f>
        <v>1637.0000000000005</v>
      </c>
      <c r="BF44" s="18">
        <f t="shared" ref="BF44" si="117">BF42+BF43</f>
        <v>1538.9860000000001</v>
      </c>
      <c r="BG44" s="18">
        <f t="shared" ref="BG44" si="118">BG42+BG43</f>
        <v>1665.5919499999998</v>
      </c>
      <c r="BH44" s="18">
        <f t="shared" ref="BH44" si="119">BH42+BH43</f>
        <v>1551.9424999999999</v>
      </c>
      <c r="BI44" s="18">
        <f t="shared" ref="BI44" si="120">BI42+BI43</f>
        <v>1708.6152750000001</v>
      </c>
      <c r="BJ44" s="18">
        <f t="shared" ref="BJ44" si="121">BJ42+BJ43</f>
        <v>1638.38774375</v>
      </c>
      <c r="BK44" s="18"/>
      <c r="BM44" s="18"/>
      <c r="BN44" s="18"/>
      <c r="BO44" s="18"/>
      <c r="BP44" s="18"/>
      <c r="BQ44" s="18"/>
      <c r="BR44" s="18">
        <f>+BR42-BR43</f>
        <v>1676.8000000000006</v>
      </c>
      <c r="BS44" s="18">
        <f>+BS42-BS43</f>
        <v>2185.8862500000005</v>
      </c>
      <c r="BT44" s="18"/>
      <c r="BU44" s="18"/>
      <c r="BV44" s="18"/>
    </row>
    <row r="45" spans="2:74" s="17" customFormat="1">
      <c r="B45" s="17" t="s">
        <v>50</v>
      </c>
      <c r="C45" s="18"/>
      <c r="D45" s="18"/>
      <c r="E45" s="18">
        <v>42.3</v>
      </c>
      <c r="F45" s="18"/>
      <c r="G45" s="18">
        <f>61.5+3.1</f>
        <v>64.599999999999994</v>
      </c>
      <c r="H45" s="18">
        <v>59.9</v>
      </c>
      <c r="I45" s="18">
        <v>74.8</v>
      </c>
      <c r="J45" s="18">
        <f>219.6-I45-H45-G45</f>
        <v>20.300000000000011</v>
      </c>
      <c r="K45" s="18">
        <f>117+3.1</f>
        <v>120.1</v>
      </c>
      <c r="L45" s="18">
        <f>117+3.1</f>
        <v>120.1</v>
      </c>
      <c r="M45" s="18">
        <f>117+3.1</f>
        <v>120.1</v>
      </c>
      <c r="N45" s="18">
        <f>117+3.1</f>
        <v>120.1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>
        <v>67.2</v>
      </c>
      <c r="AR45" s="18">
        <v>136.19999999999999</v>
      </c>
      <c r="AS45" s="18">
        <v>133.69999999999999</v>
      </c>
      <c r="AT45" s="18">
        <v>102.6</v>
      </c>
      <c r="AU45" s="18">
        <v>159.4</v>
      </c>
      <c r="AV45" s="18">
        <v>99.9</v>
      </c>
      <c r="AW45" s="18">
        <v>258.5</v>
      </c>
      <c r="AX45" s="18">
        <v>118.8</v>
      </c>
      <c r="AY45" s="18">
        <v>236.2</v>
      </c>
      <c r="AZ45" s="18">
        <v>207.8</v>
      </c>
      <c r="BA45" s="18">
        <v>229.4</v>
      </c>
      <c r="BB45" s="18">
        <v>185.4</v>
      </c>
      <c r="BC45" s="18">
        <v>255.4</v>
      </c>
      <c r="BD45" s="18">
        <v>251.7</v>
      </c>
      <c r="BE45" s="18">
        <f>261+3</f>
        <v>264</v>
      </c>
      <c r="BF45" s="18">
        <f t="shared" ref="BF45:BJ45" si="122">+BF44*0.15</f>
        <v>230.84790000000001</v>
      </c>
      <c r="BG45" s="18">
        <f t="shared" si="122"/>
        <v>249.83879249999995</v>
      </c>
      <c r="BH45" s="18">
        <f t="shared" si="122"/>
        <v>232.79137499999996</v>
      </c>
      <c r="BI45" s="18">
        <f t="shared" si="122"/>
        <v>256.29229125000001</v>
      </c>
      <c r="BJ45" s="18">
        <f t="shared" si="122"/>
        <v>245.75816156249999</v>
      </c>
      <c r="BK45" s="18"/>
      <c r="BM45" s="18"/>
      <c r="BN45" s="18"/>
      <c r="BO45" s="18"/>
      <c r="BP45" s="18"/>
      <c r="BQ45" s="18"/>
      <c r="BR45" s="18">
        <f t="shared" si="34"/>
        <v>219.60000000000002</v>
      </c>
      <c r="BS45" s="18">
        <f t="shared" si="76"/>
        <v>480.4</v>
      </c>
      <c r="BT45" s="18"/>
      <c r="BU45" s="18"/>
      <c r="BV45" s="18"/>
    </row>
    <row r="46" spans="2:74" s="17" customFormat="1">
      <c r="B46" s="17" t="s">
        <v>51</v>
      </c>
      <c r="C46" s="18"/>
      <c r="D46" s="18"/>
      <c r="E46" s="18">
        <f>+E44-E45</f>
        <v>291.09999999999991</v>
      </c>
      <c r="F46" s="18"/>
      <c r="G46" s="18">
        <f t="shared" ref="G46:N46" si="123">+G44-G45</f>
        <v>332.20000000000027</v>
      </c>
      <c r="H46" s="18">
        <f t="shared" si="123"/>
        <v>331.69999999999987</v>
      </c>
      <c r="I46" s="18">
        <f t="shared" si="123"/>
        <v>412.49999999999977</v>
      </c>
      <c r="J46" s="18">
        <f t="shared" si="123"/>
        <v>380.40000000000072</v>
      </c>
      <c r="K46" s="18">
        <f t="shared" si="123"/>
        <v>431.29999999999984</v>
      </c>
      <c r="L46" s="18">
        <f t="shared" si="123"/>
        <v>419.5387499999996</v>
      </c>
      <c r="M46" s="18">
        <f t="shared" si="123"/>
        <v>389.36500000000012</v>
      </c>
      <c r="N46" s="18">
        <f t="shared" si="123"/>
        <v>465.28250000000037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>
        <f t="shared" ref="AQ46:AX46" si="124">AQ44-AQ45</f>
        <v>548.20000000000039</v>
      </c>
      <c r="AR46" s="18">
        <f t="shared" si="124"/>
        <v>609.19999999999982</v>
      </c>
      <c r="AS46" s="18">
        <f t="shared" si="124"/>
        <v>642.59999999999968</v>
      </c>
      <c r="AT46" s="18">
        <f t="shared" si="124"/>
        <v>633.20000000000005</v>
      </c>
      <c r="AU46" s="18">
        <f t="shared" si="124"/>
        <v>747.39999999999952</v>
      </c>
      <c r="AV46" s="18">
        <f t="shared" si="124"/>
        <v>675.80000000000052</v>
      </c>
      <c r="AW46" s="18">
        <f t="shared" si="124"/>
        <v>715.30000000000052</v>
      </c>
      <c r="AX46" s="18">
        <f t="shared" si="124"/>
        <v>732.2</v>
      </c>
      <c r="AY46" s="18">
        <f>AY44-AY45</f>
        <v>959.50000000000023</v>
      </c>
      <c r="AZ46" s="18">
        <f t="shared" ref="AZ46:BD46" si="125">AZ44-AZ45</f>
        <v>1022.5</v>
      </c>
      <c r="BA46" s="18">
        <f t="shared" si="125"/>
        <v>986.50000000000034</v>
      </c>
      <c r="BB46" s="18">
        <f t="shared" si="125"/>
        <v>1038.3999999999999</v>
      </c>
      <c r="BC46" s="18">
        <f t="shared" si="125"/>
        <v>1156.8000000000002</v>
      </c>
      <c r="BD46" s="18">
        <f t="shared" si="125"/>
        <v>1236.8</v>
      </c>
      <c r="BE46" s="18">
        <f t="shared" ref="BE46" si="126">BE44-BE45</f>
        <v>1373.0000000000005</v>
      </c>
      <c r="BF46" s="18">
        <f t="shared" ref="BF46" si="127">BF44-BF45</f>
        <v>1308.1381000000001</v>
      </c>
      <c r="BG46" s="18">
        <f t="shared" ref="BG46" si="128">BG44-BG45</f>
        <v>1415.7531574999998</v>
      </c>
      <c r="BH46" s="18">
        <f t="shared" ref="BH46" si="129">BH44-BH45</f>
        <v>1319.1511249999999</v>
      </c>
      <c r="BI46" s="18">
        <f t="shared" ref="BI46" si="130">BI44-BI45</f>
        <v>1452.32298375</v>
      </c>
      <c r="BJ46" s="18">
        <f t="shared" ref="BJ46" si="131">BJ44-BJ45</f>
        <v>1392.6295821875001</v>
      </c>
      <c r="BK46" s="18"/>
      <c r="BM46" s="18"/>
      <c r="BN46" s="18"/>
      <c r="BO46" s="18"/>
      <c r="BP46" s="18"/>
      <c r="BQ46" s="18"/>
      <c r="BR46" s="18">
        <f>+BR44-BR45</f>
        <v>1457.2000000000007</v>
      </c>
      <c r="BS46" s="18">
        <f>+BS44-BS45</f>
        <v>1705.4862500000004</v>
      </c>
      <c r="BT46" s="18"/>
      <c r="BU46" s="18"/>
      <c r="BV46" s="18"/>
    </row>
    <row r="47" spans="2:74" s="17" customFormat="1">
      <c r="B47" s="17" t="s">
        <v>151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31">
        <f t="shared" ref="AQ47:AX47" si="132">+AQ46/AQ48</f>
        <v>1.2608095676172961</v>
      </c>
      <c r="AR47" s="31">
        <f t="shared" si="132"/>
        <v>1.4011039558417659</v>
      </c>
      <c r="AS47" s="31">
        <f t="shared" si="132"/>
        <v>1.4779208831646726</v>
      </c>
      <c r="AT47" s="31">
        <f t="shared" si="132"/>
        <v>1.4563017479300828</v>
      </c>
      <c r="AU47" s="31">
        <f t="shared" si="132"/>
        <v>1.7189512419503208</v>
      </c>
      <c r="AV47" s="31">
        <f t="shared" si="132"/>
        <v>1.5542778288868457</v>
      </c>
      <c r="AW47" s="31">
        <f t="shared" si="132"/>
        <v>1.6451241950322</v>
      </c>
      <c r="AX47" s="31">
        <f t="shared" si="132"/>
        <v>1.6839926402943883</v>
      </c>
      <c r="AY47" s="31">
        <f>+AY46/AY48</f>
        <v>2.2067617295308191</v>
      </c>
      <c r="AZ47" s="31">
        <f t="shared" ref="AZ47:BJ47" si="133">+AZ46/AZ48</f>
        <v>2.3516559337626495</v>
      </c>
      <c r="BA47" s="31">
        <f t="shared" si="133"/>
        <v>2.2688592456301757</v>
      </c>
      <c r="BB47" s="31">
        <f t="shared" si="133"/>
        <v>2.3882244710211586</v>
      </c>
      <c r="BC47" s="31">
        <f t="shared" si="133"/>
        <v>2.660533578656854</v>
      </c>
      <c r="BD47" s="31">
        <f t="shared" si="133"/>
        <v>2.8445262189512417</v>
      </c>
      <c r="BE47" s="31">
        <f t="shared" si="133"/>
        <v>3.1577736890524388</v>
      </c>
      <c r="BF47" s="31">
        <f t="shared" si="133"/>
        <v>3.0085972861085559</v>
      </c>
      <c r="BG47" s="31">
        <f t="shared" si="133"/>
        <v>3.2561020181692726</v>
      </c>
      <c r="BH47" s="31">
        <f t="shared" si="133"/>
        <v>3.0339262304507817</v>
      </c>
      <c r="BI47" s="31">
        <f t="shared" si="133"/>
        <v>3.3402092542548298</v>
      </c>
      <c r="BJ47" s="31">
        <f t="shared" si="133"/>
        <v>3.2029199222343609</v>
      </c>
      <c r="BK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</row>
    <row r="48" spans="2:74" s="17" customFormat="1">
      <c r="B48" s="17" t="s">
        <v>7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>
        <v>434.8</v>
      </c>
      <c r="AR48" s="18">
        <v>434.8</v>
      </c>
      <c r="AS48" s="18">
        <v>434.8</v>
      </c>
      <c r="AT48" s="18">
        <v>434.8</v>
      </c>
      <c r="AU48" s="18">
        <v>434.8</v>
      </c>
      <c r="AV48" s="18">
        <v>434.8</v>
      </c>
      <c r="AW48" s="18">
        <v>434.8</v>
      </c>
      <c r="AX48" s="18">
        <v>434.8</v>
      </c>
      <c r="AY48" s="18">
        <v>434.8</v>
      </c>
      <c r="AZ48" s="18">
        <v>434.8</v>
      </c>
      <c r="BA48" s="18">
        <v>434.8</v>
      </c>
      <c r="BB48" s="18">
        <v>434.8</v>
      </c>
      <c r="BC48" s="18">
        <v>434.8</v>
      </c>
      <c r="BD48" s="18">
        <v>434.8</v>
      </c>
      <c r="BE48" s="18">
        <v>434.8</v>
      </c>
      <c r="BF48" s="18">
        <v>434.8</v>
      </c>
      <c r="BG48" s="18">
        <v>434.8</v>
      </c>
      <c r="BH48" s="18">
        <v>434.8</v>
      </c>
      <c r="BI48" s="18">
        <v>434.8</v>
      </c>
      <c r="BJ48" s="18">
        <v>434.8</v>
      </c>
      <c r="BK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</row>
    <row r="50" spans="2:74">
      <c r="B50" s="17" t="s">
        <v>81</v>
      </c>
      <c r="E50" s="24">
        <f t="shared" ref="E50" si="134">E35/E33</f>
        <v>0.73235897435897435</v>
      </c>
      <c r="G50" s="24">
        <f>G35/G33</f>
        <v>0.76816427652579933</v>
      </c>
      <c r="H50" s="24">
        <f t="shared" ref="H50:K50" si="135">H35/H33</f>
        <v>0.76576086956521738</v>
      </c>
      <c r="I50" s="24">
        <f t="shared" si="135"/>
        <v>0.74580581648139788</v>
      </c>
      <c r="J50" s="24">
        <f>J35/J33</f>
        <v>0.7007227590541284</v>
      </c>
      <c r="K50" s="24">
        <f t="shared" si="135"/>
        <v>0.75051683114248935</v>
      </c>
      <c r="L50" s="24">
        <v>0.75</v>
      </c>
      <c r="M50" s="24">
        <v>0.75</v>
      </c>
      <c r="N50" s="24">
        <v>0.75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>
        <f t="shared" ref="AQ50:AX50" si="136">AQ35/AQ33</f>
        <v>0.64226600459180949</v>
      </c>
      <c r="AR50" s="24">
        <f t="shared" si="136"/>
        <v>0.6447852142821171</v>
      </c>
      <c r="AS50" s="24">
        <f t="shared" si="136"/>
        <v>0.64627377457631296</v>
      </c>
      <c r="AT50" s="24">
        <f t="shared" si="136"/>
        <v>0.62712289992695402</v>
      </c>
      <c r="AU50" s="24">
        <f t="shared" si="136"/>
        <v>0.6345744559123051</v>
      </c>
      <c r="AV50" s="24">
        <f t="shared" si="136"/>
        <v>0.62295161564419421</v>
      </c>
      <c r="AW50" s="24">
        <f t="shared" si="136"/>
        <v>0.61149962897168952</v>
      </c>
      <c r="AX50" s="24">
        <f t="shared" si="136"/>
        <v>0.61998477764488424</v>
      </c>
      <c r="AY50" s="24">
        <f>AY35/AY33</f>
        <v>0.64002159827213823</v>
      </c>
      <c r="AZ50" s="24">
        <f t="shared" ref="AZ50:BD50" si="137">AZ35/AZ33</f>
        <v>0.63785670293574215</v>
      </c>
      <c r="BA50" s="24">
        <f t="shared" si="137"/>
        <v>0.63631060148863416</v>
      </c>
      <c r="BB50" s="24">
        <f t="shared" si="137"/>
        <v>0.62431914077483697</v>
      </c>
      <c r="BC50" s="24">
        <f t="shared" si="137"/>
        <v>0.62743589250331844</v>
      </c>
      <c r="BD50" s="24">
        <f t="shared" si="137"/>
        <v>0.63092117076674448</v>
      </c>
      <c r="BE50" s="24">
        <f t="shared" ref="BE50:BJ50" si="138">BE35/BE33</f>
        <v>0.63121813421524053</v>
      </c>
      <c r="BF50" s="24">
        <f t="shared" si="138"/>
        <v>0.63</v>
      </c>
      <c r="BG50" s="24">
        <f t="shared" si="138"/>
        <v>0.63</v>
      </c>
      <c r="BH50" s="24">
        <f t="shared" si="138"/>
        <v>0.63</v>
      </c>
      <c r="BI50" s="24">
        <f t="shared" si="138"/>
        <v>0.63</v>
      </c>
      <c r="BJ50" s="24">
        <f t="shared" si="138"/>
        <v>0.63</v>
      </c>
      <c r="BK50" s="24"/>
      <c r="BR50" s="24">
        <f>BR35/BR33</f>
        <v>0.74325691529437099</v>
      </c>
      <c r="BS50" s="24">
        <f>BS35/BS33</f>
        <v>0.75012794743822675</v>
      </c>
    </row>
    <row r="51" spans="2:74" s="34" customFormat="1">
      <c r="B51" s="21" t="s">
        <v>86</v>
      </c>
      <c r="C51" s="32"/>
      <c r="D51" s="32"/>
      <c r="E51" s="33"/>
      <c r="F51" s="32"/>
      <c r="G51" s="33"/>
      <c r="H51" s="33"/>
      <c r="I51" s="33"/>
      <c r="J51" s="33"/>
      <c r="K51" s="33">
        <f>K33/G33-1</f>
        <v>0.22144933060174354</v>
      </c>
      <c r="L51" s="33">
        <f t="shared" ref="L51:N51" si="139">L33/H33-1</f>
        <v>0.16819972826086937</v>
      </c>
      <c r="M51" s="33">
        <f t="shared" si="139"/>
        <v>3.5079371590303277E-2</v>
      </c>
      <c r="N51" s="33">
        <f t="shared" si="139"/>
        <v>5.6371278183674933E-2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>
        <f>AU33/AQ33-1</f>
        <v>0.16655988039938063</v>
      </c>
      <c r="AV51" s="33">
        <f t="shared" ref="AV51:BB51" si="140">AV33/AR33-1</f>
        <v>3.7190915042554229E-2</v>
      </c>
      <c r="AW51" s="33">
        <f t="shared" si="140"/>
        <v>9.7047142117078433E-2</v>
      </c>
      <c r="AX51" s="33">
        <f t="shared" si="140"/>
        <v>4.9694119795471003E-2</v>
      </c>
      <c r="AY51" s="33">
        <f t="shared" si="140"/>
        <v>5.956930681740169E-2</v>
      </c>
      <c r="AZ51" s="33">
        <f t="shared" si="140"/>
        <v>0.18253987521545967</v>
      </c>
      <c r="BA51" s="33">
        <f t="shared" si="140"/>
        <v>0.11780711025162449</v>
      </c>
      <c r="BB51" s="33">
        <f t="shared" si="140"/>
        <v>0.13384799391105795</v>
      </c>
      <c r="BC51" s="33">
        <f>BC33/AY33-1</f>
        <v>0.12274298056155519</v>
      </c>
      <c r="BD51" s="33">
        <f>BD33/AZ33-1</f>
        <v>0.1432970642578526</v>
      </c>
      <c r="BE51" s="33">
        <f t="shared" ref="BE51:BJ51" si="141">BE33/BA33-1</f>
        <v>0.16789378394689214</v>
      </c>
      <c r="BF51" s="33">
        <f t="shared" si="141"/>
        <v>0.11683927886459555</v>
      </c>
      <c r="BG51" s="33">
        <f t="shared" si="141"/>
        <v>0.10445049343054436</v>
      </c>
      <c r="BH51" s="33">
        <f t="shared" si="141"/>
        <v>4.5699407434009798E-2</v>
      </c>
      <c r="BI51" s="33">
        <f t="shared" si="141"/>
        <v>4.8501446878875587E-2</v>
      </c>
      <c r="BJ51" s="33">
        <f t="shared" si="141"/>
        <v>5.5713353482621075E-2</v>
      </c>
      <c r="BK51" s="33"/>
      <c r="BM51" s="32"/>
      <c r="BN51" s="32"/>
      <c r="BO51" s="32"/>
      <c r="BP51" s="32"/>
      <c r="BQ51" s="32"/>
      <c r="BR51" s="33"/>
      <c r="BS51" s="33">
        <f>BS33/BR33-1</f>
        <v>0.11460714670110872</v>
      </c>
      <c r="BT51" s="32"/>
      <c r="BU51" s="32"/>
      <c r="BV51" s="32"/>
    </row>
    <row r="52" spans="2:74">
      <c r="B52" s="20" t="s">
        <v>82</v>
      </c>
      <c r="E52" s="24"/>
      <c r="G52" s="24"/>
      <c r="H52" s="24"/>
      <c r="I52" s="24"/>
      <c r="J52" s="24"/>
      <c r="K52" s="24">
        <f>K17/G17-1</f>
        <v>6.43568061064137E-3</v>
      </c>
      <c r="AX52" s="24"/>
      <c r="AY52" s="24"/>
      <c r="AZ52" s="24"/>
      <c r="BA52" s="24"/>
      <c r="BB52" s="24"/>
      <c r="BC52" s="24">
        <f t="shared" ref="BC52:BI52" si="142">+BC17/AY17-1</f>
        <v>9.5179987797437526E-2</v>
      </c>
      <c r="BD52" s="24">
        <f t="shared" si="142"/>
        <v>7.6062639821029121E-2</v>
      </c>
      <c r="BE52" s="24">
        <f>+BE17/BA17-1</f>
        <v>0.16899832120872982</v>
      </c>
      <c r="BF52" s="24">
        <f t="shared" si="142"/>
        <v>-2.0069296375266554E-2</v>
      </c>
      <c r="BG52" s="24">
        <f t="shared" si="142"/>
        <v>-1.5821727019498688E-2</v>
      </c>
      <c r="BH52" s="24">
        <f t="shared" si="142"/>
        <v>-1.301975051975035E-2</v>
      </c>
      <c r="BI52" s="24">
        <f t="shared" si="142"/>
        <v>-1.3068453805648472E-2</v>
      </c>
      <c r="BJ52" s="24">
        <f>+BJ17/BF17-1</f>
        <v>-8.4600320939973717E-3</v>
      </c>
      <c r="BR52" s="24"/>
    </row>
    <row r="53" spans="2:74">
      <c r="B53" s="20" t="s">
        <v>83</v>
      </c>
      <c r="E53" s="24"/>
      <c r="G53" s="24"/>
      <c r="H53" s="24"/>
      <c r="I53" s="24"/>
      <c r="J53" s="24"/>
      <c r="K53" s="24">
        <f>K18/G18-1</f>
        <v>8.6997193638914894E-2</v>
      </c>
      <c r="BC53" s="24"/>
      <c r="BD53" s="24"/>
      <c r="BE53" s="24"/>
      <c r="BF53" s="24"/>
      <c r="BG53" s="24"/>
      <c r="BH53" s="24"/>
      <c r="BI53" s="24"/>
      <c r="BJ53" s="24"/>
      <c r="BR53" s="24"/>
    </row>
    <row r="54" spans="2:74">
      <c r="B54" s="20" t="s">
        <v>84</v>
      </c>
      <c r="E54" s="24"/>
      <c r="G54" s="24"/>
      <c r="H54" s="24"/>
      <c r="I54" s="24"/>
      <c r="J54" s="24"/>
      <c r="K54" s="24">
        <f>K25/G25-1</f>
        <v>1.6660823838737948</v>
      </c>
      <c r="BC54" s="24">
        <f>+BC25/AY25-1</f>
        <v>0.14748944157672472</v>
      </c>
      <c r="BD54" s="24">
        <f t="shared" ref="BD54:BJ54" si="143">+BD25/AZ25-1</f>
        <v>0.18957771787960476</v>
      </c>
      <c r="BE54" s="24">
        <f>+BE25/BA25-1</f>
        <v>0.19252669039145909</v>
      </c>
      <c r="BF54" s="24">
        <f t="shared" si="143"/>
        <v>0.17973595976529766</v>
      </c>
      <c r="BG54" s="24">
        <f t="shared" si="143"/>
        <v>0.14696151801414947</v>
      </c>
      <c r="BH54" s="24">
        <f t="shared" si="143"/>
        <v>1.8598942598187396E-2</v>
      </c>
      <c r="BI54" s="24">
        <f t="shared" si="143"/>
        <v>2.219486720381969E-2</v>
      </c>
      <c r="BJ54" s="24">
        <f t="shared" si="143"/>
        <v>2.3519015222835948E-2</v>
      </c>
      <c r="BR54" s="24"/>
    </row>
    <row r="55" spans="2:74">
      <c r="B55" s="20" t="s">
        <v>85</v>
      </c>
      <c r="E55" s="24"/>
      <c r="G55" s="24"/>
      <c r="H55" s="24"/>
      <c r="I55" s="24"/>
      <c r="J55" s="24"/>
      <c r="K55" s="24">
        <f>K30/G30-1</f>
        <v>0.16107000569151975</v>
      </c>
      <c r="BC55" s="24">
        <f>+BC30/AY30-1</f>
        <v>0.11395348837209296</v>
      </c>
      <c r="BD55" s="24">
        <f t="shared" ref="BD55:BJ55" si="144">+BD30/AZ30-1</f>
        <v>0.16336056009334898</v>
      </c>
      <c r="BE55" s="24">
        <f>+BE30/BA30-1</f>
        <v>0.10662393162393147</v>
      </c>
      <c r="BF55" s="24">
        <f t="shared" si="144"/>
        <v>0.22899159663865554</v>
      </c>
      <c r="BG55" s="24">
        <f t="shared" si="144"/>
        <v>0.22129436325678498</v>
      </c>
      <c r="BH55" s="24">
        <f t="shared" si="144"/>
        <v>0.23099297893681037</v>
      </c>
      <c r="BI55" s="24">
        <f t="shared" si="144"/>
        <v>0.24076076462637586</v>
      </c>
      <c r="BJ55" s="24">
        <f t="shared" si="144"/>
        <v>0.23400000000000021</v>
      </c>
      <c r="BR55" s="24"/>
    </row>
    <row r="57" spans="2:74" s="17" customFormat="1">
      <c r="B57" s="17" t="s">
        <v>52</v>
      </c>
      <c r="C57" s="18"/>
      <c r="D57" s="18"/>
      <c r="E57" s="18"/>
      <c r="F57" s="18"/>
      <c r="G57" s="18"/>
      <c r="H57" s="18"/>
      <c r="I57" s="18"/>
      <c r="J57" s="18"/>
      <c r="K57" s="18">
        <f>1178.7+361.2</f>
        <v>1539.9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35">
        <f>1604+347</f>
        <v>1951</v>
      </c>
      <c r="BF57" s="18"/>
      <c r="BG57" s="18"/>
      <c r="BH57" s="18"/>
      <c r="BI57" s="18"/>
      <c r="BJ57" s="18"/>
      <c r="BK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</row>
    <row r="58" spans="2:74" s="17" customFormat="1">
      <c r="B58" s="17" t="s">
        <v>53</v>
      </c>
      <c r="C58" s="18"/>
      <c r="D58" s="18"/>
      <c r="E58" s="18"/>
      <c r="F58" s="18"/>
      <c r="G58" s="18"/>
      <c r="H58" s="18"/>
      <c r="I58" s="18"/>
      <c r="J58" s="18"/>
      <c r="K58" s="18">
        <v>2269.6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>
        <v>4346</v>
      </c>
      <c r="BF58" s="18"/>
      <c r="BG58" s="18"/>
      <c r="BH58" s="18"/>
      <c r="BI58" s="18"/>
      <c r="BJ58" s="18"/>
      <c r="BK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</row>
    <row r="59" spans="2:74" s="17" customFormat="1">
      <c r="B59" s="17" t="s">
        <v>54</v>
      </c>
      <c r="C59" s="18"/>
      <c r="D59" s="18"/>
      <c r="E59" s="18"/>
      <c r="F59" s="18"/>
      <c r="G59" s="18"/>
      <c r="H59" s="18"/>
      <c r="I59" s="18"/>
      <c r="J59" s="18"/>
      <c r="K59" s="18">
        <v>1687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>
        <v>4860</v>
      </c>
      <c r="BF59" s="18"/>
      <c r="BG59" s="18"/>
      <c r="BH59" s="18"/>
      <c r="BI59" s="18"/>
      <c r="BJ59" s="18"/>
      <c r="BK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</row>
    <row r="60" spans="2:74" s="17" customFormat="1">
      <c r="B60" s="17" t="s">
        <v>55</v>
      </c>
      <c r="C60" s="18"/>
      <c r="D60" s="18"/>
      <c r="E60" s="18"/>
      <c r="F60" s="18"/>
      <c r="G60" s="18"/>
      <c r="H60" s="18"/>
      <c r="I60" s="18"/>
      <c r="J60" s="18"/>
      <c r="K60" s="18">
        <v>337.6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>
        <v>1785</v>
      </c>
      <c r="BF60" s="18"/>
      <c r="BG60" s="18"/>
      <c r="BH60" s="18"/>
      <c r="BI60" s="18"/>
      <c r="BJ60" s="18"/>
      <c r="BK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</row>
    <row r="61" spans="2:74" s="17" customFormat="1">
      <c r="B61" s="17" t="s">
        <v>56</v>
      </c>
      <c r="C61" s="18"/>
      <c r="D61" s="18"/>
      <c r="E61" s="18"/>
      <c r="F61" s="18"/>
      <c r="G61" s="18"/>
      <c r="H61" s="18"/>
      <c r="I61" s="18"/>
      <c r="J61" s="18"/>
      <c r="K61" s="18">
        <v>79.900000000000006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>
        <v>0</v>
      </c>
      <c r="BF61" s="18"/>
      <c r="BG61" s="18"/>
      <c r="BH61" s="18"/>
      <c r="BI61" s="18"/>
      <c r="BJ61" s="18"/>
      <c r="BK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</row>
    <row r="62" spans="2:74" s="17" customFormat="1">
      <c r="B62" s="17" t="s">
        <v>57</v>
      </c>
      <c r="C62" s="18"/>
      <c r="D62" s="18"/>
      <c r="E62" s="18"/>
      <c r="F62" s="18"/>
      <c r="G62" s="18"/>
      <c r="H62" s="18"/>
      <c r="I62" s="18"/>
      <c r="J62" s="18"/>
      <c r="K62" s="18">
        <v>12082.3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>
        <f>8080+19534</f>
        <v>27614</v>
      </c>
      <c r="BF62" s="18"/>
      <c r="BG62" s="18"/>
      <c r="BH62" s="18"/>
      <c r="BI62" s="18"/>
      <c r="BJ62" s="18"/>
      <c r="BK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</row>
    <row r="63" spans="2:74" s="17" customFormat="1">
      <c r="B63" s="17" t="s">
        <v>58</v>
      </c>
      <c r="C63" s="18"/>
      <c r="D63" s="18"/>
      <c r="E63" s="18"/>
      <c r="F63" s="18"/>
      <c r="G63" s="18"/>
      <c r="H63" s="18"/>
      <c r="I63" s="18"/>
      <c r="J63" s="18"/>
      <c r="K63" s="18">
        <v>3173.5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>
        <v>7946</v>
      </c>
      <c r="BF63" s="18"/>
      <c r="BG63" s="18"/>
      <c r="BH63" s="18"/>
      <c r="BI63" s="18"/>
      <c r="BJ63" s="18"/>
      <c r="BK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</row>
    <row r="64" spans="2:74" s="17" customFormat="1">
      <c r="B64" s="17" t="s">
        <v>59</v>
      </c>
      <c r="C64" s="18"/>
      <c r="D64" s="18"/>
      <c r="E64" s="18"/>
      <c r="F64" s="18"/>
      <c r="G64" s="18"/>
      <c r="H64" s="18"/>
      <c r="I64" s="18"/>
      <c r="J64" s="18"/>
      <c r="K64" s="18">
        <v>4.8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>
        <v>0</v>
      </c>
      <c r="BF64" s="18"/>
      <c r="BG64" s="18"/>
      <c r="BH64" s="18"/>
      <c r="BI64" s="18"/>
      <c r="BJ64" s="18"/>
      <c r="BK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</row>
    <row r="65" spans="2:74" s="17" customFormat="1">
      <c r="B65" s="19" t="s">
        <v>60</v>
      </c>
      <c r="C65" s="18"/>
      <c r="D65" s="18"/>
      <c r="E65" s="18"/>
      <c r="F65" s="18"/>
      <c r="G65" s="18"/>
      <c r="H65" s="18"/>
      <c r="I65" s="18"/>
      <c r="J65" s="18"/>
      <c r="K65" s="18">
        <v>159.19999999999999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>
        <v>2431</v>
      </c>
      <c r="BF65" s="18"/>
      <c r="BG65" s="18"/>
      <c r="BH65" s="18"/>
      <c r="BI65" s="18"/>
      <c r="BJ65" s="18"/>
      <c r="BK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</row>
    <row r="66" spans="2:74" s="17" customFormat="1">
      <c r="B66" s="19" t="s">
        <v>61</v>
      </c>
      <c r="C66" s="18"/>
      <c r="D66" s="18"/>
      <c r="E66" s="18"/>
      <c r="F66" s="18"/>
      <c r="G66" s="18"/>
      <c r="H66" s="18"/>
      <c r="I66" s="18"/>
      <c r="J66" s="18"/>
      <c r="K66" s="18">
        <v>216.6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>
        <v>0</v>
      </c>
      <c r="BF66" s="18"/>
      <c r="BG66" s="18"/>
      <c r="BH66" s="18"/>
      <c r="BI66" s="18"/>
      <c r="BJ66" s="18"/>
      <c r="BK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</row>
    <row r="67" spans="2:74" s="17" customFormat="1">
      <c r="B67" s="19" t="s">
        <v>62</v>
      </c>
      <c r="C67" s="18"/>
      <c r="D67" s="18"/>
      <c r="E67" s="18"/>
      <c r="F67" s="18"/>
      <c r="G67" s="18"/>
      <c r="H67" s="18"/>
      <c r="I67" s="18"/>
      <c r="J67" s="18"/>
      <c r="K67" s="18">
        <v>60.2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>
        <v>0</v>
      </c>
      <c r="BF67" s="18"/>
      <c r="BG67" s="18"/>
      <c r="BH67" s="18"/>
      <c r="BI67" s="18"/>
      <c r="BJ67" s="18"/>
      <c r="BK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</row>
    <row r="68" spans="2:74" s="17" customFormat="1">
      <c r="B68" s="19" t="s">
        <v>64</v>
      </c>
      <c r="C68" s="18"/>
      <c r="D68" s="18"/>
      <c r="E68" s="18"/>
      <c r="F68" s="18"/>
      <c r="G68" s="18"/>
      <c r="H68" s="18"/>
      <c r="I68" s="18"/>
      <c r="J68" s="18"/>
      <c r="K68" s="18">
        <v>607.1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>
        <v>0</v>
      </c>
      <c r="BF68" s="18"/>
      <c r="BG68" s="18"/>
      <c r="BH68" s="18"/>
      <c r="BI68" s="18"/>
      <c r="BJ68" s="18"/>
      <c r="BK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</row>
    <row r="69" spans="2:74" s="17" customFormat="1">
      <c r="B69" s="19" t="s">
        <v>63</v>
      </c>
      <c r="C69" s="18"/>
      <c r="D69" s="18"/>
      <c r="E69" s="18"/>
      <c r="F69" s="18"/>
      <c r="G69" s="18"/>
      <c r="H69" s="18"/>
      <c r="I69" s="18"/>
      <c r="J69" s="18"/>
      <c r="K69" s="18">
        <f>SUM(K57:K68)</f>
        <v>22217.699999999997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>
        <f>SUM(BE57:BE68)</f>
        <v>50933</v>
      </c>
      <c r="BF69" s="18"/>
      <c r="BG69" s="18"/>
      <c r="BH69" s="18"/>
      <c r="BI69" s="18"/>
      <c r="BJ69" s="18"/>
      <c r="BK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</row>
    <row r="70" spans="2:74" s="17" customFormat="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</row>
    <row r="71" spans="2:74" s="17" customFormat="1">
      <c r="B71" s="19" t="s">
        <v>65</v>
      </c>
      <c r="C71" s="18"/>
      <c r="D71" s="18"/>
      <c r="E71" s="18"/>
      <c r="F71" s="18"/>
      <c r="G71" s="18"/>
      <c r="H71" s="18"/>
      <c r="I71" s="18"/>
      <c r="J71" s="18"/>
      <c r="K71" s="18">
        <f>733.8+4547.7</f>
        <v>5281.5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>
        <f>1784+9266</f>
        <v>11050</v>
      </c>
      <c r="BF71" s="18"/>
      <c r="BG71" s="18"/>
      <c r="BH71" s="18"/>
      <c r="BI71" s="18"/>
      <c r="BJ71" s="18"/>
      <c r="BK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</row>
    <row r="72" spans="2:74" s="17" customFormat="1">
      <c r="B72" s="19" t="s">
        <v>66</v>
      </c>
      <c r="C72" s="18"/>
      <c r="D72" s="18"/>
      <c r="E72" s="18"/>
      <c r="F72" s="18"/>
      <c r="G72" s="18"/>
      <c r="H72" s="18"/>
      <c r="I72" s="18"/>
      <c r="J72" s="18"/>
      <c r="K72" s="18">
        <v>1066.7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>
        <v>3413</v>
      </c>
      <c r="BF72" s="18"/>
      <c r="BG72" s="18"/>
      <c r="BH72" s="18"/>
      <c r="BI72" s="18"/>
      <c r="BJ72" s="18"/>
      <c r="BK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</row>
    <row r="73" spans="2:74" s="17" customFormat="1">
      <c r="B73" s="19" t="s">
        <v>67</v>
      </c>
      <c r="C73" s="18"/>
      <c r="D73" s="18"/>
      <c r="E73" s="18"/>
      <c r="F73" s="18"/>
      <c r="G73" s="18"/>
      <c r="H73" s="18"/>
      <c r="I73" s="18"/>
      <c r="J73" s="18"/>
      <c r="K73" s="18">
        <v>1056.0999999999999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>
        <v>3652</v>
      </c>
      <c r="BF73" s="18"/>
      <c r="BG73" s="18"/>
      <c r="BH73" s="18"/>
      <c r="BI73" s="18"/>
      <c r="BJ73" s="18"/>
      <c r="BK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</row>
    <row r="74" spans="2:74" s="17" customFormat="1">
      <c r="B74" s="19" t="s">
        <v>50</v>
      </c>
      <c r="C74" s="18"/>
      <c r="D74" s="18"/>
      <c r="E74" s="18"/>
      <c r="F74" s="18"/>
      <c r="G74" s="18"/>
      <c r="H74" s="18"/>
      <c r="I74" s="18"/>
      <c r="J74" s="18"/>
      <c r="K74" s="18">
        <v>392.7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>
        <v>0</v>
      </c>
      <c r="BF74" s="18"/>
      <c r="BG74" s="18"/>
      <c r="BH74" s="18"/>
      <c r="BI74" s="18"/>
      <c r="BJ74" s="18"/>
      <c r="BK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</row>
    <row r="75" spans="2:74" s="17" customFormat="1">
      <c r="B75" s="19" t="s">
        <v>68</v>
      </c>
      <c r="C75" s="18"/>
      <c r="D75" s="18"/>
      <c r="E75" s="18"/>
      <c r="F75" s="18"/>
      <c r="G75" s="18"/>
      <c r="H75" s="18"/>
      <c r="I75" s="18"/>
      <c r="J75" s="18"/>
      <c r="K75" s="18">
        <v>404.3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>
        <v>562</v>
      </c>
      <c r="BF75" s="18"/>
      <c r="BG75" s="18"/>
      <c r="BH75" s="18"/>
      <c r="BI75" s="18"/>
      <c r="BJ75" s="18"/>
      <c r="BK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</row>
    <row r="76" spans="2:74" s="17" customFormat="1">
      <c r="B76" s="19" t="s">
        <v>69</v>
      </c>
      <c r="C76" s="18"/>
      <c r="D76" s="18"/>
      <c r="E76" s="18"/>
      <c r="F76" s="18"/>
      <c r="G76" s="18"/>
      <c r="H76" s="18"/>
      <c r="I76" s="18"/>
      <c r="J76" s="18"/>
      <c r="K76" s="18">
        <v>31.8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>
        <v>1664</v>
      </c>
      <c r="BF76" s="18"/>
      <c r="BG76" s="18"/>
      <c r="BH76" s="18"/>
      <c r="BI76" s="18"/>
      <c r="BJ76" s="18"/>
      <c r="BK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</row>
    <row r="77" spans="2:74" s="17" customFormat="1">
      <c r="B77" s="19" t="s">
        <v>70</v>
      </c>
      <c r="C77" s="18"/>
      <c r="D77" s="18"/>
      <c r="E77" s="18"/>
      <c r="F77" s="18"/>
      <c r="G77" s="18"/>
      <c r="H77" s="18"/>
      <c r="I77" s="18"/>
      <c r="J77" s="18"/>
      <c r="K77" s="18">
        <v>486.9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>
        <f>1955+300</f>
        <v>2255</v>
      </c>
      <c r="BF77" s="18"/>
      <c r="BG77" s="18"/>
      <c r="BH77" s="18"/>
      <c r="BI77" s="18"/>
      <c r="BJ77" s="18"/>
      <c r="BK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</row>
    <row r="78" spans="2:74" s="17" customFormat="1">
      <c r="B78" s="19" t="s">
        <v>61</v>
      </c>
      <c r="C78" s="18"/>
      <c r="D78" s="18"/>
      <c r="E78" s="18"/>
      <c r="F78" s="18"/>
      <c r="G78" s="18"/>
      <c r="H78" s="18"/>
      <c r="I78" s="18"/>
      <c r="J78" s="18"/>
      <c r="K78" s="18">
        <v>1590.6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>
        <v>0</v>
      </c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</row>
    <row r="79" spans="2:74" s="17" customFormat="1">
      <c r="B79" s="19" t="s">
        <v>71</v>
      </c>
      <c r="C79" s="18"/>
      <c r="D79" s="18"/>
      <c r="E79" s="18"/>
      <c r="F79" s="18"/>
      <c r="G79" s="18"/>
      <c r="H79" s="18"/>
      <c r="I79" s="18"/>
      <c r="J79" s="18"/>
      <c r="K79" s="18">
        <v>1328.1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>
        <v>0</v>
      </c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</row>
    <row r="80" spans="2:74" s="17" customFormat="1">
      <c r="B80" s="19" t="s">
        <v>72</v>
      </c>
      <c r="C80" s="18"/>
      <c r="D80" s="18"/>
      <c r="E80" s="18"/>
      <c r="F80" s="18"/>
      <c r="G80" s="18"/>
      <c r="H80" s="18"/>
      <c r="I80" s="18"/>
      <c r="J80" s="18"/>
      <c r="K80" s="18">
        <f>SUM(K71:K79)</f>
        <v>11638.699999999999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>
        <f>SUM(BE71:BE79)</f>
        <v>22596</v>
      </c>
      <c r="BF80" s="18"/>
      <c r="BG80" s="18"/>
      <c r="BH80" s="18"/>
      <c r="BI80" s="18"/>
      <c r="BJ80" s="18"/>
      <c r="BK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</row>
    <row r="81" spans="2:74" s="17" customFormat="1">
      <c r="B81" s="19" t="s">
        <v>73</v>
      </c>
      <c r="C81" s="18"/>
      <c r="D81" s="18"/>
      <c r="E81" s="18"/>
      <c r="F81" s="18"/>
      <c r="G81" s="18"/>
      <c r="H81" s="18"/>
      <c r="I81" s="18"/>
      <c r="J81" s="18"/>
      <c r="K81" s="18">
        <v>10579.1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>
        <v>28337</v>
      </c>
      <c r="BF81" s="18"/>
      <c r="BG81" s="18"/>
      <c r="BH81" s="18"/>
      <c r="BI81" s="18"/>
      <c r="BJ81" s="18"/>
      <c r="BK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</row>
    <row r="82" spans="2:74" s="17" customFormat="1">
      <c r="B82" s="19" t="s">
        <v>74</v>
      </c>
      <c r="C82" s="18"/>
      <c r="D82" s="18"/>
      <c r="E82" s="18"/>
      <c r="F82" s="18"/>
      <c r="G82" s="18"/>
      <c r="H82" s="18"/>
      <c r="I82" s="18"/>
      <c r="J82" s="18"/>
      <c r="K82" s="18">
        <f>K81+K80</f>
        <v>22217.8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>
        <f>+BE80+BE81</f>
        <v>50933</v>
      </c>
      <c r="BF82" s="18"/>
      <c r="BG82" s="18"/>
      <c r="BH82" s="18"/>
      <c r="BI82" s="18"/>
      <c r="BJ82" s="18"/>
      <c r="BK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</row>
    <row r="84" spans="2:74" s="17" customFormat="1">
      <c r="B84" s="20" t="s">
        <v>77</v>
      </c>
      <c r="C84" s="18"/>
      <c r="D84" s="18"/>
      <c r="E84" s="18"/>
      <c r="F84" s="18"/>
      <c r="G84" s="18">
        <v>278.7</v>
      </c>
      <c r="H84" s="18"/>
      <c r="I84" s="18"/>
      <c r="J84" s="18"/>
      <c r="K84" s="18">
        <v>284.89999999999998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</row>
    <row r="85" spans="2:74" s="17" customFormat="1">
      <c r="B85" s="20" t="s">
        <v>78</v>
      </c>
      <c r="C85" s="18"/>
      <c r="D85" s="18"/>
      <c r="E85" s="18"/>
      <c r="F85" s="18"/>
      <c r="G85" s="18">
        <v>64.7</v>
      </c>
      <c r="H85" s="18"/>
      <c r="I85" s="18"/>
      <c r="J85" s="18"/>
      <c r="K85" s="18">
        <v>74.900000000000006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</row>
    <row r="86" spans="2:74" s="17" customFormat="1">
      <c r="B86" s="20" t="s">
        <v>79</v>
      </c>
      <c r="C86" s="18"/>
      <c r="D86" s="18"/>
      <c r="E86" s="18"/>
      <c r="F86" s="18"/>
      <c r="G86" s="18">
        <f>+G84-G85</f>
        <v>214</v>
      </c>
      <c r="H86" s="18"/>
      <c r="I86" s="18"/>
      <c r="J86" s="18"/>
      <c r="K86" s="18">
        <f>+K84-K85</f>
        <v>209.99999999999997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02393A-19F6-42EF-83A3-1DE9A9F04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897DFF-969D-4E20-9D67-799686B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C70A9A-DFCB-424D-830E-AC04B5AD6D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2006-08-01T05:56:11Z</dcterms:created>
  <dcterms:modified xsi:type="dcterms:W3CDTF">2024-08-28T05:50:04Z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