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2219747-9B5D-4D96-A357-2625219F7961}" xr6:coauthVersionLast="47" xr6:coauthVersionMax="47" xr10:uidLastSave="{00000000-0000-0000-0000-000000000000}"/>
  <bookViews>
    <workbookView xWindow="10430" yWindow="3830" windowWidth="22990" windowHeight="13690" activeTab="1" xr2:uid="{57C30761-CAF2-4DE9-93D4-20A7306FD955}"/>
  </bookViews>
  <sheets>
    <sheet name="Master" sheetId="5" r:id="rId1"/>
    <sheet name="Main" sheetId="1" r:id="rId2"/>
    <sheet name="Model" sheetId="2" r:id="rId3"/>
    <sheet name="Spikevax" sheetId="3" r:id="rId4"/>
    <sheet name="4157" sheetId="4" r:id="rId5"/>
    <sheet name="1647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2" l="1"/>
  <c r="AT24" i="2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AS24" i="2"/>
  <c r="AR25" i="2"/>
  <c r="AQ25" i="2"/>
  <c r="AP25" i="2"/>
  <c r="AO25" i="2"/>
  <c r="AN25" i="2"/>
  <c r="AM25" i="2"/>
  <c r="AL25" i="2"/>
  <c r="AK25" i="2"/>
  <c r="AJ25" i="2"/>
  <c r="AI25" i="2"/>
  <c r="AH25" i="2"/>
  <c r="AK26" i="2"/>
  <c r="AL26" i="2" s="1"/>
  <c r="AM26" i="2" s="1"/>
  <c r="AN26" i="2" s="1"/>
  <c r="AO26" i="2" s="1"/>
  <c r="AP26" i="2" s="1"/>
  <c r="AQ26" i="2" s="1"/>
  <c r="AR26" i="2" s="1"/>
  <c r="AJ26" i="2"/>
  <c r="AI26" i="2"/>
  <c r="AH26" i="2"/>
  <c r="AR23" i="2"/>
  <c r="AR24" i="2" s="1"/>
  <c r="AQ23" i="2"/>
  <c r="AQ24" i="2" s="1"/>
  <c r="AP23" i="2"/>
  <c r="AP24" i="2" s="1"/>
  <c r="AO23" i="2"/>
  <c r="AO24" i="2" s="1"/>
  <c r="AN23" i="2"/>
  <c r="AN24" i="2" s="1"/>
  <c r="AM23" i="2"/>
  <c r="AM24" i="2" s="1"/>
  <c r="AL23" i="2"/>
  <c r="AL24" i="2" s="1"/>
  <c r="AK23" i="2"/>
  <c r="AK24" i="2" s="1"/>
  <c r="AJ23" i="2"/>
  <c r="AJ24" i="2" s="1"/>
  <c r="AI23" i="2"/>
  <c r="AI24" i="2" s="1"/>
  <c r="AH24" i="2"/>
  <c r="AH23" i="2"/>
  <c r="AR22" i="2"/>
  <c r="AQ22" i="2"/>
  <c r="AP22" i="2"/>
  <c r="AO22" i="2"/>
  <c r="AN22" i="2"/>
  <c r="AM22" i="2"/>
  <c r="AL22" i="2"/>
  <c r="AK22" i="2"/>
  <c r="AJ22" i="2"/>
  <c r="AI22" i="2"/>
  <c r="AH22" i="2"/>
  <c r="AR20" i="2"/>
  <c r="AQ20" i="2"/>
  <c r="AP20" i="2"/>
  <c r="AO20" i="2"/>
  <c r="AN20" i="2"/>
  <c r="AM20" i="2"/>
  <c r="AL20" i="2"/>
  <c r="AK20" i="2"/>
  <c r="AJ20" i="2"/>
  <c r="AI20" i="2"/>
  <c r="AH20" i="2"/>
  <c r="AR19" i="2"/>
  <c r="AQ19" i="2"/>
  <c r="AP19" i="2"/>
  <c r="AO19" i="2"/>
  <c r="AN19" i="2"/>
  <c r="AM19" i="2"/>
  <c r="AL19" i="2"/>
  <c r="AK19" i="2"/>
  <c r="AJ19" i="2"/>
  <c r="AI19" i="2"/>
  <c r="AH19" i="2"/>
  <c r="AR18" i="2"/>
  <c r="AQ18" i="2"/>
  <c r="AP18" i="2"/>
  <c r="AO18" i="2"/>
  <c r="AN18" i="2"/>
  <c r="AM18" i="2"/>
  <c r="AL18" i="2"/>
  <c r="AK18" i="2"/>
  <c r="AJ18" i="2"/>
  <c r="AI18" i="2"/>
  <c r="AH18" i="2"/>
  <c r="AR16" i="2"/>
  <c r="AQ16" i="2"/>
  <c r="AP16" i="2"/>
  <c r="AO16" i="2"/>
  <c r="AN16" i="2"/>
  <c r="AM16" i="2"/>
  <c r="AL16" i="2"/>
  <c r="AK16" i="2"/>
  <c r="AJ16" i="2"/>
  <c r="AI16" i="2"/>
  <c r="AR15" i="2"/>
  <c r="AQ15" i="2"/>
  <c r="AP15" i="2"/>
  <c r="AO15" i="2"/>
  <c r="AN15" i="2"/>
  <c r="AM15" i="2"/>
  <c r="AL15" i="2"/>
  <c r="AK15" i="2"/>
  <c r="AJ15" i="2"/>
  <c r="AI15" i="2"/>
  <c r="AH15" i="2"/>
  <c r="AH16" i="2"/>
  <c r="AJ13" i="2"/>
  <c r="AK13" i="2" s="1"/>
  <c r="AL13" i="2" s="1"/>
  <c r="AM13" i="2" s="1"/>
  <c r="AN13" i="2" s="1"/>
  <c r="AO13" i="2" s="1"/>
  <c r="AP13" i="2" s="1"/>
  <c r="AQ13" i="2" s="1"/>
  <c r="AR13" i="2" s="1"/>
  <c r="AI13" i="2"/>
  <c r="AK8" i="2"/>
  <c r="AL8" i="2" s="1"/>
  <c r="AM8" i="2" s="1"/>
  <c r="AN8" i="2" s="1"/>
  <c r="AO8" i="2" s="1"/>
  <c r="AP8" i="2" s="1"/>
  <c r="AQ8" i="2" s="1"/>
  <c r="AR8" i="2" s="1"/>
  <c r="AJ8" i="2"/>
  <c r="AR9" i="2"/>
  <c r="AQ9" i="2"/>
  <c r="AP9" i="2"/>
  <c r="AO9" i="2"/>
  <c r="AN9" i="2"/>
  <c r="AM9" i="2"/>
  <c r="AL9" i="2"/>
  <c r="AK9" i="2"/>
  <c r="AJ9" i="2"/>
  <c r="AI9" i="2"/>
  <c r="AR7" i="2"/>
  <c r="AQ7" i="2"/>
  <c r="AP7" i="2"/>
  <c r="AO7" i="2"/>
  <c r="AN7" i="2"/>
  <c r="AM7" i="2"/>
  <c r="AL7" i="2"/>
  <c r="AK7" i="2"/>
  <c r="AJ7" i="2"/>
  <c r="AI7" i="2"/>
  <c r="AL10" i="2"/>
  <c r="AM10" i="2" s="1"/>
  <c r="AJ10" i="2"/>
  <c r="AK10" i="2" s="1"/>
  <c r="AI10" i="2"/>
  <c r="AH7" i="2"/>
  <c r="AH8" i="2"/>
  <c r="AH9" i="2"/>
  <c r="Z10" i="2"/>
  <c r="Y10" i="2"/>
  <c r="X10" i="2"/>
  <c r="W10" i="2"/>
  <c r="W11" i="2" s="1"/>
  <c r="Z7" i="2"/>
  <c r="Y7" i="2"/>
  <c r="X7" i="2"/>
  <c r="W7" i="2"/>
  <c r="Y11" i="2"/>
  <c r="Z13" i="2"/>
  <c r="Y13" i="2"/>
  <c r="X13" i="2"/>
  <c r="W13" i="2"/>
  <c r="AH13" i="2"/>
  <c r="AH12" i="2"/>
  <c r="AG11" i="2"/>
  <c r="P11" i="2"/>
  <c r="Q11" i="2"/>
  <c r="R11" i="2"/>
  <c r="S11" i="2"/>
  <c r="T11" i="2"/>
  <c r="U47" i="2"/>
  <c r="U44" i="2"/>
  <c r="U32" i="2"/>
  <c r="U40" i="2"/>
  <c r="U11" i="2"/>
  <c r="AG10" i="2"/>
  <c r="AF59" i="2"/>
  <c r="AG59" i="2"/>
  <c r="V47" i="2"/>
  <c r="V44" i="2"/>
  <c r="V51" i="2"/>
  <c r="V40" i="2"/>
  <c r="V29" i="2"/>
  <c r="V28" i="2"/>
  <c r="K5" i="1"/>
  <c r="AU31" i="2" s="1"/>
  <c r="AU32" i="2" s="1"/>
  <c r="V25" i="2"/>
  <c r="V24" i="2"/>
  <c r="V22" i="2"/>
  <c r="V21" i="2"/>
  <c r="V20" i="2"/>
  <c r="V19" i="2"/>
  <c r="V16" i="2"/>
  <c r="V11" i="2"/>
  <c r="V14" i="2" s="1"/>
  <c r="V10" i="2"/>
  <c r="AN10" i="2" l="1"/>
  <c r="Z11" i="2"/>
  <c r="X11" i="2"/>
  <c r="AH10" i="2"/>
  <c r="AH11" i="2" s="1"/>
  <c r="AH14" i="2" s="1"/>
  <c r="U51" i="2"/>
  <c r="U21" i="2"/>
  <c r="U19" i="2"/>
  <c r="Z14" i="2"/>
  <c r="Y14" i="2"/>
  <c r="X14" i="2"/>
  <c r="W14" i="2"/>
  <c r="AF13" i="2"/>
  <c r="AF12" i="2"/>
  <c r="AG12" i="2"/>
  <c r="U14" i="2"/>
  <c r="U16" i="2" s="1"/>
  <c r="Q21" i="2"/>
  <c r="N21" i="2"/>
  <c r="R21" i="2"/>
  <c r="O21" i="2"/>
  <c r="S21" i="2"/>
  <c r="S19" i="2"/>
  <c r="P21" i="2"/>
  <c r="T21" i="2"/>
  <c r="T19" i="2"/>
  <c r="T44" i="2"/>
  <c r="T51" i="2" s="1"/>
  <c r="T32" i="2"/>
  <c r="T40" i="2" s="1"/>
  <c r="T14" i="2"/>
  <c r="T16" i="2" s="1"/>
  <c r="S14" i="2"/>
  <c r="S16" i="2" s="1"/>
  <c r="S20" i="2" s="1"/>
  <c r="M44" i="2"/>
  <c r="M51" i="2" s="1"/>
  <c r="M32" i="2"/>
  <c r="M40" i="2" s="1"/>
  <c r="M21" i="2"/>
  <c r="AE13" i="2"/>
  <c r="AE12" i="2"/>
  <c r="AD13" i="2"/>
  <c r="AD12" i="2"/>
  <c r="AD11" i="2"/>
  <c r="M14" i="2"/>
  <c r="M16" i="2" s="1"/>
  <c r="M19" i="2"/>
  <c r="E21" i="2"/>
  <c r="E19" i="2"/>
  <c r="E14" i="2"/>
  <c r="E16" i="2" s="1"/>
  <c r="E28" i="2" s="1"/>
  <c r="I21" i="2"/>
  <c r="I19" i="2"/>
  <c r="I14" i="2"/>
  <c r="I16" i="2" s="1"/>
  <c r="I28" i="2" s="1"/>
  <c r="F19" i="2"/>
  <c r="F14" i="2"/>
  <c r="F16" i="2" s="1"/>
  <c r="F28" i="2" s="1"/>
  <c r="J21" i="2"/>
  <c r="J19" i="2"/>
  <c r="J14" i="2"/>
  <c r="J16" i="2" s="1"/>
  <c r="J28" i="2" s="1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G21" i="2"/>
  <c r="G19" i="2"/>
  <c r="G14" i="2"/>
  <c r="G16" i="2" s="1"/>
  <c r="K21" i="2"/>
  <c r="K19" i="2"/>
  <c r="K14" i="2"/>
  <c r="K16" i="2" s="1"/>
  <c r="K28" i="2" s="1"/>
  <c r="K44" i="2"/>
  <c r="K51" i="2" s="1"/>
  <c r="K32" i="2"/>
  <c r="K40" i="2" s="1"/>
  <c r="L44" i="2"/>
  <c r="L51" i="2" s="1"/>
  <c r="L32" i="2"/>
  <c r="L40" i="2" s="1"/>
  <c r="H21" i="2"/>
  <c r="H19" i="2"/>
  <c r="L21" i="2"/>
  <c r="L19" i="2"/>
  <c r="H14" i="2"/>
  <c r="H16" i="2" s="1"/>
  <c r="H28" i="2" s="1"/>
  <c r="L14" i="2"/>
  <c r="L16" i="2" s="1"/>
  <c r="K4" i="1"/>
  <c r="AO10" i="2" l="1"/>
  <c r="U28" i="2"/>
  <c r="U20" i="2"/>
  <c r="U22" i="2" s="1"/>
  <c r="T20" i="2"/>
  <c r="T28" i="2"/>
  <c r="T22" i="2"/>
  <c r="S22" i="2"/>
  <c r="S29" i="2" s="1"/>
  <c r="S28" i="2"/>
  <c r="G20" i="2"/>
  <c r="G22" i="2" s="1"/>
  <c r="AD14" i="2"/>
  <c r="L20" i="2"/>
  <c r="L22" i="2" s="1"/>
  <c r="N19" i="2"/>
  <c r="G28" i="2"/>
  <c r="L28" i="2"/>
  <c r="AE11" i="2"/>
  <c r="AE14" i="2" s="1"/>
  <c r="O19" i="2"/>
  <c r="M28" i="2"/>
  <c r="E20" i="2"/>
  <c r="E22" i="2" s="1"/>
  <c r="I20" i="2"/>
  <c r="I22" i="2" s="1"/>
  <c r="F20" i="2"/>
  <c r="F22" i="2" s="1"/>
  <c r="J20" i="2"/>
  <c r="J22" i="2" s="1"/>
  <c r="K7" i="1"/>
  <c r="K20" i="2"/>
  <c r="K22" i="2" s="1"/>
  <c r="H20" i="2"/>
  <c r="H22" i="2" s="1"/>
  <c r="AP10" i="2" l="1"/>
  <c r="S24" i="2"/>
  <c r="S25" i="2" s="1"/>
  <c r="U29" i="2"/>
  <c r="U24" i="2"/>
  <c r="U25" i="2" s="1"/>
  <c r="T24" i="2"/>
  <c r="T25" i="2" s="1"/>
  <c r="T29" i="2"/>
  <c r="AG13" i="2"/>
  <c r="AG14" i="2" s="1"/>
  <c r="G24" i="2"/>
  <c r="G25" i="2" s="1"/>
  <c r="G29" i="2"/>
  <c r="E24" i="2"/>
  <c r="E25" i="2" s="1"/>
  <c r="E29" i="2"/>
  <c r="J24" i="2"/>
  <c r="J25" i="2" s="1"/>
  <c r="J29" i="2"/>
  <c r="H24" i="2"/>
  <c r="H25" i="2" s="1"/>
  <c r="H29" i="2"/>
  <c r="F24" i="2"/>
  <c r="F25" i="2" s="1"/>
  <c r="F29" i="2"/>
  <c r="L24" i="2"/>
  <c r="L25" i="2" s="1"/>
  <c r="L29" i="2"/>
  <c r="K24" i="2"/>
  <c r="K25" i="2" s="1"/>
  <c r="K29" i="2"/>
  <c r="I24" i="2"/>
  <c r="I25" i="2" s="1"/>
  <c r="I29" i="2"/>
  <c r="N14" i="2"/>
  <c r="N16" i="2" s="1"/>
  <c r="M20" i="2"/>
  <c r="M22" i="2" s="1"/>
  <c r="P19" i="2"/>
  <c r="AQ10" i="2" l="1"/>
  <c r="M29" i="2"/>
  <c r="O14" i="2"/>
  <c r="O16" i="2" s="1"/>
  <c r="R19" i="2"/>
  <c r="Q19" i="2"/>
  <c r="AR10" i="2" l="1"/>
  <c r="M24" i="2"/>
  <c r="M25" i="2" s="1"/>
  <c r="N28" i="2"/>
  <c r="N20" i="2"/>
  <c r="N22" i="2" s="1"/>
  <c r="O28" i="2"/>
  <c r="O20" i="2"/>
  <c r="O22" i="2" s="1"/>
  <c r="P14" i="2"/>
  <c r="P16" i="2" s="1"/>
  <c r="O29" i="2" l="1"/>
  <c r="N29" i="2"/>
  <c r="R14" i="2"/>
  <c r="R16" i="2" s="1"/>
  <c r="Q14" i="2"/>
  <c r="Q16" i="2" s="1"/>
  <c r="P28" i="2"/>
  <c r="P20" i="2"/>
  <c r="P22" i="2" s="1"/>
  <c r="N24" i="2" l="1"/>
  <c r="N25" i="2" s="1"/>
  <c r="P29" i="2"/>
  <c r="O24" i="2"/>
  <c r="O25" i="2" s="1"/>
  <c r="AF11" i="2"/>
  <c r="Q20" i="2"/>
  <c r="Q22" i="2" s="1"/>
  <c r="Q28" i="2"/>
  <c r="R20" i="2"/>
  <c r="R22" i="2" s="1"/>
  <c r="R28" i="2"/>
  <c r="AF14" i="2" l="1"/>
  <c r="P24" i="2"/>
  <c r="P25" i="2" s="1"/>
  <c r="R29" i="2"/>
  <c r="Q29" i="2"/>
  <c r="AI11" i="2" l="1"/>
  <c r="R24" i="2"/>
  <c r="R25" i="2" s="1"/>
  <c r="Q24" i="2"/>
  <c r="Q25" i="2" s="1"/>
  <c r="AJ11" i="2" l="1"/>
  <c r="AI14" i="2"/>
  <c r="AK11" i="2" l="1"/>
  <c r="AJ14" i="2"/>
  <c r="AL11" i="2" l="1"/>
  <c r="AK14" i="2"/>
  <c r="AM11" i="2" l="1"/>
  <c r="AL14" i="2"/>
  <c r="AN11" i="2" l="1"/>
  <c r="AM14" i="2"/>
  <c r="AO11" i="2" l="1"/>
  <c r="AN14" i="2"/>
  <c r="AP11" i="2" l="1"/>
  <c r="AO14" i="2"/>
  <c r="AQ11" i="2" l="1"/>
  <c r="AP14" i="2"/>
  <c r="AR11" i="2" l="1"/>
  <c r="AR14" i="2" s="1"/>
  <c r="AQ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tc={7A88566D-7393-4EDB-9417-9FF15ED60EED}</author>
    <author>tc={8F36830E-5A19-46F9-85C3-8F6136215DC4}</author>
  </authors>
  <commentList>
    <comment ref="AE11" authorId="0" shapeId="0" xr:uid="{7A88566D-7393-4EDB-9417-9FF15ED60EE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Reiterates 21B expected delivery
Q322 guidance: 18-19B</t>
      </text>
    </comment>
    <comment ref="AH14" authorId="1" shapeId="0" xr:uid="{8F36830E-5A19-46F9-85C3-8F6136215D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guidance of 1.5-2.5B</t>
      </text>
    </comment>
  </commentList>
</comments>
</file>

<file path=xl/sharedStrings.xml><?xml version="1.0" encoding="utf-8"?>
<sst xmlns="http://schemas.openxmlformats.org/spreadsheetml/2006/main" count="196" uniqueCount="161">
  <si>
    <t>Price</t>
  </si>
  <si>
    <t>Shares</t>
  </si>
  <si>
    <t>MC</t>
  </si>
  <si>
    <t>Cash</t>
  </si>
  <si>
    <t>Debt</t>
  </si>
  <si>
    <t>EV</t>
  </si>
  <si>
    <t>Q222</t>
  </si>
  <si>
    <t>Main</t>
  </si>
  <si>
    <t>Product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</si>
  <si>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</si>
  <si>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</si>
  <si>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</si>
  <si>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</si>
  <si>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</si>
  <si>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</si>
  <si>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</si>
  <si>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</si>
  <si>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</si>
  <si>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</si>
  <si>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</si>
  <si>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</si>
  <si>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</si>
  <si>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</si>
  <si>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</si>
  <si>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Grant</t>
  </si>
  <si>
    <t>Collab</t>
  </si>
  <si>
    <t>Revenue</t>
  </si>
  <si>
    <t>EPS</t>
  </si>
  <si>
    <t>Net Income</t>
  </si>
  <si>
    <t>Taxes</t>
  </si>
  <si>
    <t>Pretax Income</t>
  </si>
  <si>
    <t>Interest</t>
  </si>
  <si>
    <t>OpEx</t>
  </si>
  <si>
    <t>OpInc</t>
  </si>
  <si>
    <t>COGS</t>
  </si>
  <si>
    <t>Gross Profit</t>
  </si>
  <si>
    <t>R&amp;D</t>
  </si>
  <si>
    <t>SG&amp;A</t>
  </si>
  <si>
    <t>Assets</t>
  </si>
  <si>
    <t>AR</t>
  </si>
  <si>
    <t>Inventory</t>
  </si>
  <si>
    <t>Prepaids</t>
  </si>
  <si>
    <t>PP&amp;E</t>
  </si>
  <si>
    <t>ROU</t>
  </si>
  <si>
    <t>DT</t>
  </si>
  <si>
    <t>ONCA</t>
  </si>
  <si>
    <t>AP</t>
  </si>
  <si>
    <t>Liabilities</t>
  </si>
  <si>
    <t>DR</t>
  </si>
  <si>
    <t>OCL</t>
  </si>
  <si>
    <t>Lease</t>
  </si>
  <si>
    <t>Financing</t>
  </si>
  <si>
    <t>S/E</t>
  </si>
  <si>
    <t>L+S/E</t>
  </si>
  <si>
    <t>Comirnaty</t>
  </si>
  <si>
    <t>Brand</t>
  </si>
  <si>
    <t>Indication</t>
  </si>
  <si>
    <t>MOA</t>
  </si>
  <si>
    <t>Approved</t>
  </si>
  <si>
    <t>IP</t>
  </si>
  <si>
    <t>Admin</t>
  </si>
  <si>
    <t>Phase</t>
  </si>
  <si>
    <t>mRNA-1010</t>
  </si>
  <si>
    <t>Influenza</t>
  </si>
  <si>
    <t>mRNA-3927</t>
  </si>
  <si>
    <t>Propionic Acidemia</t>
  </si>
  <si>
    <t>mRNA-3745</t>
  </si>
  <si>
    <t>GSD1a</t>
  </si>
  <si>
    <t>CEO: Stephane Bancel</t>
  </si>
  <si>
    <t>mRNA-3705</t>
  </si>
  <si>
    <t>MMA</t>
  </si>
  <si>
    <t>mRNA-3139</t>
  </si>
  <si>
    <t>OTC</t>
  </si>
  <si>
    <t>mRNA-1647</t>
  </si>
  <si>
    <t>CMV</t>
  </si>
  <si>
    <t>CFO: James Mock</t>
  </si>
  <si>
    <t>mRNA-1893</t>
  </si>
  <si>
    <t>Zika</t>
  </si>
  <si>
    <t>mRNA-1215</t>
  </si>
  <si>
    <t>Nipah</t>
  </si>
  <si>
    <t>mRNA-3283</t>
  </si>
  <si>
    <t>PKU</t>
  </si>
  <si>
    <t>PCV</t>
  </si>
  <si>
    <t>Spikevax</t>
  </si>
  <si>
    <t>COVID-19</t>
  </si>
  <si>
    <t>mRNA-1020</t>
  </si>
  <si>
    <t>mRNA-1030</t>
  </si>
  <si>
    <t>mRNA-1011</t>
  </si>
  <si>
    <t>mRNA-1012</t>
  </si>
  <si>
    <t>mRNA-1608</t>
  </si>
  <si>
    <t>HSV</t>
  </si>
  <si>
    <t>mRNA-1468</t>
  </si>
  <si>
    <t>Vaccine</t>
  </si>
  <si>
    <t>VZV</t>
  </si>
  <si>
    <t>VXc-522</t>
  </si>
  <si>
    <t>Cystic Fibrosis</t>
  </si>
  <si>
    <t>Economics</t>
  </si>
  <si>
    <t>VRTX</t>
  </si>
  <si>
    <t>Headcount</t>
  </si>
  <si>
    <t>CCO: Arpa Garay</t>
  </si>
  <si>
    <t>mRNA-1574</t>
  </si>
  <si>
    <t>HIV</t>
  </si>
  <si>
    <t>I</t>
  </si>
  <si>
    <t>III</t>
  </si>
  <si>
    <t>mRNA-1189</t>
  </si>
  <si>
    <t>EBV</t>
  </si>
  <si>
    <t>Gross Margin</t>
  </si>
  <si>
    <t>Tax Rate</t>
  </si>
  <si>
    <t>ONCL</t>
  </si>
  <si>
    <t>Oncology</t>
  </si>
  <si>
    <t>mRNA-4157/V940</t>
  </si>
  <si>
    <t>II</t>
  </si>
  <si>
    <t>Q123: RSV data</t>
  </si>
  <si>
    <t>Q123: influenza p3 immunogenicity data</t>
  </si>
  <si>
    <t>Spikevax, fka mRNA-1273</t>
  </si>
  <si>
    <t>MRK</t>
  </si>
  <si>
    <t>personalized mRNA vaccine</t>
  </si>
  <si>
    <t>Clinical Trials</t>
  </si>
  <si>
    <t>RFS HR=0.56 p=0.0266 (one-sided!)</t>
  </si>
  <si>
    <t>Phase IIb "KEYNOTE-942" n=157 adjuvant melanoma - NCT0389788</t>
  </si>
  <si>
    <t>MRK 50/50 global P&amp;L profit share</t>
  </si>
  <si>
    <t>12/13/22: 4157 Phase II data</t>
  </si>
  <si>
    <t>Q224</t>
  </si>
  <si>
    <t>Q124</t>
  </si>
  <si>
    <t>Q324</t>
  </si>
  <si>
    <t>Q424</t>
  </si>
  <si>
    <t>mRESVIA (mRNA-1345)</t>
  </si>
  <si>
    <t>mRNA-1403</t>
  </si>
  <si>
    <t>Norovirus</t>
  </si>
  <si>
    <t>RSV older adults</t>
  </si>
  <si>
    <t>III, data YE</t>
  </si>
  <si>
    <t>Name</t>
  </si>
  <si>
    <t>mRNA-5671</t>
  </si>
  <si>
    <t>KRAS</t>
  </si>
  <si>
    <t>Fate</t>
  </si>
  <si>
    <t>Discontinued</t>
  </si>
  <si>
    <t>mRNA-0184</t>
  </si>
  <si>
    <t>relaxin</t>
  </si>
  <si>
    <t>Abrysvo</t>
  </si>
  <si>
    <t>Arvexy</t>
  </si>
  <si>
    <t>mRNA-1083</t>
  </si>
  <si>
    <t>COVID-19+Influenza</t>
  </si>
  <si>
    <t>Q125</t>
  </si>
  <si>
    <t>Q225</t>
  </si>
  <si>
    <t>Q325</t>
  </si>
  <si>
    <t>Q425</t>
  </si>
  <si>
    <t>mRESVIA</t>
  </si>
  <si>
    <t>trivalent</t>
  </si>
  <si>
    <t>pivotal</t>
  </si>
  <si>
    <t>Mechanism</t>
  </si>
  <si>
    <t>early efficacy criteria not met</t>
  </si>
  <si>
    <t>Phase III - data in 2025</t>
  </si>
  <si>
    <t>mRNA-1283</t>
  </si>
  <si>
    <t>Filed/III</t>
  </si>
  <si>
    <t>CFFO</t>
  </si>
  <si>
    <t>CapEx</t>
  </si>
  <si>
    <t>Discount</t>
  </si>
  <si>
    <t>ROIC</t>
  </si>
  <si>
    <t>Terminal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</si>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</sst>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3" fillId="0" borderId="0" xfId="1"/>
    <xf numFmtId="4" fontId="0" fillId="0" borderId="0" xfId="0" applyNumberFormat="1"/>
    <xf numFmtId="0" fontId="4" fillId="0" borderId="0" xfId="0" applyFont="1"/>
    <xf numFmtId="0" fontId="3" fillId="0" borderId="1" xfId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5BB2248-80F9-44E9-A8DB-CDF8EE0456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21718</xdr:colOff>
      <xdr:row>0</xdr:row>
      <xdr:rowOff>41604</xdr:rowOff>
    </xdr:from>
    <xdr:to>
      <xdr:col>22</xdr:col>
      <xdr:colOff>21718</xdr:colOff>
      <xdr:row>52</xdr:row>
      <xdr:rowOff>157357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D9DD69-49BF-D603-E3E8-06FB37E5F0CA}"/>
            </a:ext>
          </a:extLst>
        </xdr:cNvPr>
        <xdr:cNvCxnSpPr/>
      </xdr:nvCxnSpPr>
      <xdr:spPr>
        <a:xfrm>
          <a:off x="13834063" y="41604"/>
          <a:ext cx="0" cy="83313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33721</xdr:colOff>
      <xdr:row>0</xdr:row>
      <xdr:rowOff>4379</xdr:rowOff>
    </xdr:from>
    <xdr:to>
      <xdr:col>33</xdr:col>
      <xdr:colOff>33721</xdr:colOff>
      <xdr:row>71</xdr:row>
      <xdr:rowOff>102577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F9B6F24-0513-4BD0-B6A8-E691E2057353}"/>
            </a:ext>
          </a:extLst>
        </xdr:cNvPr>
        <xdr:cNvCxnSpPr/>
      </xdr:nvCxnSpPr>
      <xdr:spPr>
        <a:xfrm>
          <a:off x="20588183" y="4379"/>
          <a:ext cx="0" cy="115526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F1476AF-D443-4543-BE7B-E432FEBB72D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1" dT="2022-09-10T06:51:40.15" personId="{7F1476AF-D443-4543-BE7B-E432FEBB72DB}" id="{7A88566D-7393-4EDB-9417-9FF15ED60EED}">
    <text>Q222 guidance: Reiterates 21B expected delivery
Q322 guidance: 18-19B</text>
  </threadedComment>
  <threadedComment ref="AH14" dT="2025-02-19T17:24:24.34" personId="{7F1476AF-D443-4543-BE7B-E432FEBB72DB}" id="{8F36830E-5A19-46F9-85C3-8F6136215DC4}">
    <text>Q424: guidance of 1.5-2.5B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A4C7-646C-471C-BC3A-3C06D5B3D5C6}">
  <dimension ref="A6:D9"/>
  <sheetViews>
    <sheetView topLeftCell="A6" zoomScale="205" zoomScaleNormal="205" workbookViewId="0">
      <selection activeCell="B10" sqref="B10"/>
    </sheetView>
  </sheetViews>
  <sheetFormatPr defaultRowHeight="12.5" x14ac:dyDescent="0.25"/>
  <cols>
    <col min="1" max="1" width="5" bestFit="1" customWidth="1"/>
    <col min="2" max="2" width="11.1796875" bestFit="1" customWidth="1"/>
  </cols>
  <sheetData>
    <row r="6" spans="1:4" x14ac:dyDescent="0.25">
      <c r="A6" s="19" t="s">
        <v>7</v>
      </c>
    </row>
    <row r="7" spans="1:4" x14ac:dyDescent="0.25">
      <c r="B7" t="s">
        <v>131</v>
      </c>
      <c r="C7" t="s">
        <v>57</v>
      </c>
      <c r="D7" t="s">
        <v>134</v>
      </c>
    </row>
    <row r="8" spans="1:4" x14ac:dyDescent="0.25">
      <c r="B8" t="s">
        <v>132</v>
      </c>
      <c r="C8" t="s">
        <v>133</v>
      </c>
      <c r="D8" t="s">
        <v>135</v>
      </c>
    </row>
    <row r="9" spans="1:4" x14ac:dyDescent="0.25">
      <c r="B9" t="s">
        <v>136</v>
      </c>
      <c r="C9" t="s">
        <v>137</v>
      </c>
      <c r="D9" t="s">
        <v>135</v>
      </c>
    </row>
  </sheetData>
  <hyperlinks>
    <hyperlink ref="A6" location="Main!A1" display="Main" xr:uid="{4A3D7D45-F375-4E89-89FF-4AFD27F5F9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1D1F-1382-40BF-BCB1-9D97F23C48F4}">
  <dimension ref="B2:L33"/>
  <sheetViews>
    <sheetView tabSelected="1" zoomScale="115" zoomScaleNormal="115" workbookViewId="0">
      <selection activeCell="F14" sqref="F14"/>
    </sheetView>
  </sheetViews>
  <sheetFormatPr defaultRowHeight="12.5" x14ac:dyDescent="0.25"/>
  <cols>
    <col min="1" max="1" width="3.81640625" customWidth="1"/>
    <col min="2" max="2" width="16.453125" customWidth="1"/>
    <col min="3" max="3" width="17.26953125" customWidth="1"/>
    <col min="5" max="5" width="11.7265625" customWidth="1"/>
    <col min="7" max="7" width="10.26953125" customWidth="1"/>
  </cols>
  <sheetData>
    <row r="2" spans="2:12" x14ac:dyDescent="0.25">
      <c r="B2" s="12" t="s">
        <v>131</v>
      </c>
      <c r="C2" s="13" t="s">
        <v>56</v>
      </c>
      <c r="D2" s="13" t="s">
        <v>57</v>
      </c>
      <c r="E2" s="13" t="s">
        <v>58</v>
      </c>
      <c r="F2" s="14" t="s">
        <v>59</v>
      </c>
      <c r="G2" s="14" t="s">
        <v>96</v>
      </c>
      <c r="H2" s="23" t="s">
        <v>60</v>
      </c>
      <c r="J2" t="s">
        <v>0</v>
      </c>
      <c r="K2" s="20">
        <v>35</v>
      </c>
    </row>
    <row r="3" spans="2:12" x14ac:dyDescent="0.25">
      <c r="B3" s="9" t="s">
        <v>83</v>
      </c>
      <c r="C3" t="s">
        <v>84</v>
      </c>
      <c r="F3" s="15"/>
      <c r="G3" s="15"/>
      <c r="H3" s="24"/>
      <c r="J3" t="s">
        <v>1</v>
      </c>
      <c r="K3" s="2">
        <v>384.81781100000001</v>
      </c>
      <c r="L3" s="1" t="s">
        <v>125</v>
      </c>
    </row>
    <row r="4" spans="2:12" x14ac:dyDescent="0.25">
      <c r="B4" s="9" t="s">
        <v>126</v>
      </c>
      <c r="C4" t="s">
        <v>129</v>
      </c>
      <c r="E4" s="15">
        <v>2024</v>
      </c>
      <c r="F4" s="15"/>
      <c r="G4" s="15"/>
      <c r="H4" s="24"/>
      <c r="J4" t="s">
        <v>2</v>
      </c>
      <c r="K4" s="2">
        <f>+K2*K3</f>
        <v>13468.623385000001</v>
      </c>
    </row>
    <row r="5" spans="2:12" x14ac:dyDescent="0.25">
      <c r="B5" s="12"/>
      <c r="C5" s="13"/>
      <c r="D5" s="13"/>
      <c r="E5" s="14" t="s">
        <v>61</v>
      </c>
      <c r="F5" s="14"/>
      <c r="G5" s="14"/>
      <c r="H5" s="23"/>
      <c r="J5" t="s">
        <v>3</v>
      </c>
      <c r="K5" s="2">
        <f>5098+1927+2494</f>
        <v>9519</v>
      </c>
      <c r="L5" s="1" t="s">
        <v>125</v>
      </c>
    </row>
    <row r="6" spans="2:12" x14ac:dyDescent="0.25">
      <c r="B6" s="27" t="s">
        <v>73</v>
      </c>
      <c r="C6" s="28" t="s">
        <v>74</v>
      </c>
      <c r="D6" s="28"/>
      <c r="E6" s="29" t="s">
        <v>130</v>
      </c>
      <c r="F6" s="29"/>
      <c r="G6" s="29"/>
      <c r="H6" s="30"/>
      <c r="J6" t="s">
        <v>4</v>
      </c>
      <c r="K6" s="2">
        <v>0</v>
      </c>
      <c r="L6" s="1" t="s">
        <v>125</v>
      </c>
    </row>
    <row r="7" spans="2:12" x14ac:dyDescent="0.25">
      <c r="B7" s="9" t="s">
        <v>152</v>
      </c>
      <c r="C7" s="31" t="s">
        <v>84</v>
      </c>
      <c r="D7" s="31"/>
      <c r="E7" s="32"/>
      <c r="F7" s="32"/>
      <c r="G7" s="32"/>
      <c r="H7" s="24"/>
      <c r="J7" t="s">
        <v>5</v>
      </c>
      <c r="K7" s="2">
        <f>+K4-K5+K6</f>
        <v>3949.6233850000008</v>
      </c>
    </row>
    <row r="8" spans="2:12" x14ac:dyDescent="0.25">
      <c r="B8" s="9" t="s">
        <v>62</v>
      </c>
      <c r="C8" s="31" t="s">
        <v>63</v>
      </c>
      <c r="D8" s="31"/>
      <c r="E8" s="32" t="s">
        <v>103</v>
      </c>
      <c r="F8" s="32"/>
      <c r="G8" s="32"/>
      <c r="H8" s="24"/>
    </row>
    <row r="9" spans="2:12" x14ac:dyDescent="0.25">
      <c r="B9" s="9" t="s">
        <v>85</v>
      </c>
      <c r="C9" s="31" t="s">
        <v>63</v>
      </c>
      <c r="D9" s="31"/>
      <c r="E9" s="32"/>
      <c r="F9" s="32"/>
      <c r="G9" s="32"/>
      <c r="H9" s="24"/>
    </row>
    <row r="10" spans="2:12" x14ac:dyDescent="0.25">
      <c r="B10" s="9" t="s">
        <v>86</v>
      </c>
      <c r="C10" s="31" t="s">
        <v>63</v>
      </c>
      <c r="D10" s="31"/>
      <c r="E10" s="32"/>
      <c r="F10" s="32"/>
      <c r="G10" s="32"/>
      <c r="H10" s="24"/>
    </row>
    <row r="11" spans="2:12" x14ac:dyDescent="0.25">
      <c r="B11" s="9" t="s">
        <v>87</v>
      </c>
      <c r="C11" s="31" t="s">
        <v>63</v>
      </c>
      <c r="D11" s="31"/>
      <c r="E11" s="32"/>
      <c r="F11" s="32"/>
      <c r="G11" s="32"/>
      <c r="H11" s="24"/>
    </row>
    <row r="12" spans="2:12" x14ac:dyDescent="0.25">
      <c r="B12" s="9" t="s">
        <v>140</v>
      </c>
      <c r="C12" s="31" t="s">
        <v>141</v>
      </c>
      <c r="D12" s="31"/>
      <c r="E12" s="32" t="s">
        <v>153</v>
      </c>
      <c r="F12" s="32"/>
      <c r="G12" s="32"/>
      <c r="H12" s="24"/>
      <c r="J12" t="s">
        <v>68</v>
      </c>
    </row>
    <row r="13" spans="2:12" x14ac:dyDescent="0.25">
      <c r="B13" s="9" t="s">
        <v>88</v>
      </c>
      <c r="C13" s="31" t="s">
        <v>63</v>
      </c>
      <c r="D13" s="31"/>
      <c r="E13" s="32"/>
      <c r="F13" s="32"/>
      <c r="G13" s="32"/>
      <c r="H13" s="24"/>
      <c r="J13" t="s">
        <v>75</v>
      </c>
    </row>
    <row r="14" spans="2:12" x14ac:dyDescent="0.25">
      <c r="B14" s="9" t="s">
        <v>64</v>
      </c>
      <c r="C14" s="31" t="s">
        <v>65</v>
      </c>
      <c r="D14" s="31"/>
      <c r="E14" s="32" t="s">
        <v>111</v>
      </c>
      <c r="F14" s="32"/>
      <c r="G14" s="32"/>
      <c r="H14" s="24"/>
    </row>
    <row r="15" spans="2:12" x14ac:dyDescent="0.25">
      <c r="B15" s="9" t="s">
        <v>127</v>
      </c>
      <c r="C15" s="31" t="s">
        <v>128</v>
      </c>
      <c r="D15" s="31" t="s">
        <v>147</v>
      </c>
      <c r="E15" s="32" t="s">
        <v>103</v>
      </c>
      <c r="F15" s="32"/>
      <c r="G15" s="32"/>
      <c r="H15" s="24"/>
      <c r="J15" t="s">
        <v>99</v>
      </c>
    </row>
    <row r="16" spans="2:12" x14ac:dyDescent="0.25">
      <c r="B16" s="9" t="s">
        <v>69</v>
      </c>
      <c r="C16" s="31" t="s">
        <v>70</v>
      </c>
      <c r="D16" s="31"/>
      <c r="E16" s="32" t="s">
        <v>148</v>
      </c>
      <c r="F16" s="32"/>
      <c r="G16" s="32"/>
      <c r="H16" s="24"/>
    </row>
    <row r="17" spans="2:8" x14ac:dyDescent="0.25">
      <c r="B17" s="9" t="s">
        <v>71</v>
      </c>
      <c r="C17" s="31" t="s">
        <v>72</v>
      </c>
      <c r="D17" s="31"/>
      <c r="E17" s="32"/>
      <c r="F17" s="32"/>
      <c r="G17" s="32"/>
      <c r="H17" s="24"/>
    </row>
    <row r="18" spans="2:8" x14ac:dyDescent="0.25">
      <c r="B18" s="22" t="s">
        <v>110</v>
      </c>
      <c r="C18" s="31" t="s">
        <v>109</v>
      </c>
      <c r="D18" s="31" t="s">
        <v>82</v>
      </c>
      <c r="E18" s="32" t="s">
        <v>111</v>
      </c>
      <c r="F18" s="32"/>
      <c r="G18" s="32" t="s">
        <v>115</v>
      </c>
      <c r="H18" s="24"/>
    </row>
    <row r="19" spans="2:8" x14ac:dyDescent="0.25">
      <c r="B19" s="9" t="s">
        <v>89</v>
      </c>
      <c r="C19" s="31" t="s">
        <v>90</v>
      </c>
      <c r="D19" s="31"/>
      <c r="E19" s="32"/>
      <c r="F19" s="32"/>
      <c r="G19" s="32"/>
      <c r="H19" s="24"/>
    </row>
    <row r="20" spans="2:8" x14ac:dyDescent="0.25">
      <c r="B20" s="9" t="s">
        <v>91</v>
      </c>
      <c r="C20" s="31" t="s">
        <v>93</v>
      </c>
      <c r="D20" s="31"/>
      <c r="E20" s="32"/>
      <c r="F20" s="32"/>
      <c r="G20" s="32"/>
      <c r="H20" s="24"/>
    </row>
    <row r="21" spans="2:8" x14ac:dyDescent="0.25">
      <c r="B21" s="10" t="s">
        <v>94</v>
      </c>
      <c r="C21" s="11" t="s">
        <v>95</v>
      </c>
      <c r="D21" s="11"/>
      <c r="E21" s="16"/>
      <c r="F21" s="16"/>
      <c r="G21" s="16" t="s">
        <v>97</v>
      </c>
      <c r="H21" s="25"/>
    </row>
    <row r="23" spans="2:8" x14ac:dyDescent="0.25">
      <c r="E23" t="s">
        <v>121</v>
      </c>
    </row>
    <row r="24" spans="2:8" x14ac:dyDescent="0.25">
      <c r="E24" t="s">
        <v>112</v>
      </c>
    </row>
    <row r="25" spans="2:8" x14ac:dyDescent="0.25">
      <c r="E25" t="s">
        <v>113</v>
      </c>
    </row>
    <row r="28" spans="2:8" x14ac:dyDescent="0.25">
      <c r="B28" s="9" t="s">
        <v>66</v>
      </c>
      <c r="C28" t="s">
        <v>67</v>
      </c>
    </row>
    <row r="29" spans="2:8" x14ac:dyDescent="0.25">
      <c r="B29" s="9" t="s">
        <v>76</v>
      </c>
      <c r="C29" t="s">
        <v>77</v>
      </c>
      <c r="E29" s="15"/>
      <c r="F29" s="15"/>
    </row>
    <row r="30" spans="2:8" x14ac:dyDescent="0.25">
      <c r="B30" s="9" t="s">
        <v>78</v>
      </c>
      <c r="C30" t="s">
        <v>79</v>
      </c>
      <c r="D30" t="s">
        <v>92</v>
      </c>
      <c r="E30" s="15"/>
      <c r="F30" s="15"/>
    </row>
    <row r="31" spans="2:8" x14ac:dyDescent="0.25">
      <c r="B31" s="9" t="s">
        <v>104</v>
      </c>
      <c r="C31" t="s">
        <v>105</v>
      </c>
      <c r="D31" t="s">
        <v>92</v>
      </c>
      <c r="E31" s="15" t="s">
        <v>102</v>
      </c>
    </row>
    <row r="32" spans="2:8" x14ac:dyDescent="0.25">
      <c r="B32" s="26" t="s">
        <v>80</v>
      </c>
      <c r="C32" t="s">
        <v>81</v>
      </c>
    </row>
    <row r="33" spans="2:5" x14ac:dyDescent="0.25">
      <c r="B33" s="9" t="s">
        <v>100</v>
      </c>
      <c r="C33" t="s">
        <v>101</v>
      </c>
      <c r="D33" t="s">
        <v>92</v>
      </c>
      <c r="E33" s="15" t="s">
        <v>102</v>
      </c>
    </row>
  </sheetData>
  <hyperlinks>
    <hyperlink ref="B18" location="'4157'!A1" display="mRNA-4157/V940" xr:uid="{D955C29F-0D73-4368-B48E-9F918E568DFA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93C8-90F0-44F5-B32B-73F90FF84785}">
  <dimension ref="A1:EI59"/>
  <sheetViews>
    <sheetView zoomScale="130" zoomScaleNormal="130" workbookViewId="0">
      <pane xSplit="2" ySplit="2" topLeftCell="O25" activePane="bottomRight" state="frozen"/>
      <selection pane="topRight" activeCell="C1" sqref="C1"/>
      <selection pane="bottomLeft" activeCell="A3" sqref="A3"/>
      <selection pane="bottomRight" activeCell="Y40" sqref="Y40"/>
    </sheetView>
  </sheetViews>
  <sheetFormatPr defaultRowHeight="12.5" x14ac:dyDescent="0.25"/>
  <cols>
    <col min="1" max="1" width="5" bestFit="1" customWidth="1"/>
    <col min="2" max="2" width="13.1796875" bestFit="1" customWidth="1"/>
    <col min="3" max="14" width="9.1796875" style="1"/>
    <col min="47" max="47" width="9.54296875" bestFit="1" customWidth="1"/>
  </cols>
  <sheetData>
    <row r="1" spans="1:44" x14ac:dyDescent="0.25">
      <c r="A1" s="19" t="s">
        <v>7</v>
      </c>
    </row>
    <row r="2" spans="1:44" x14ac:dyDescent="0.25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123</v>
      </c>
      <c r="T2" s="1" t="s">
        <v>122</v>
      </c>
      <c r="U2" s="1" t="s">
        <v>124</v>
      </c>
      <c r="V2" s="1" t="s">
        <v>125</v>
      </c>
      <c r="W2" s="1" t="s">
        <v>142</v>
      </c>
      <c r="X2" s="1" t="s">
        <v>143</v>
      </c>
      <c r="Y2" s="1" t="s">
        <v>144</v>
      </c>
      <c r="Z2" s="1" t="s">
        <v>145</v>
      </c>
      <c r="AB2">
        <v>2019</v>
      </c>
      <c r="AC2">
        <f>+AB2+1</f>
        <v>2020</v>
      </c>
      <c r="AD2">
        <f t="shared" ref="AD2:AI2" si="0">+AC2+1</f>
        <v>2021</v>
      </c>
      <c r="AE2">
        <f t="shared" si="0"/>
        <v>2022</v>
      </c>
      <c r="AF2">
        <f t="shared" si="0"/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>+AI2+1</f>
        <v>2027</v>
      </c>
      <c r="AK2">
        <f t="shared" ref="AK2:AR2" si="1">+AJ2+1</f>
        <v>2028</v>
      </c>
      <c r="AL2">
        <f t="shared" si="1"/>
        <v>2029</v>
      </c>
      <c r="AM2">
        <f t="shared" si="1"/>
        <v>2030</v>
      </c>
      <c r="AN2">
        <f t="shared" si="1"/>
        <v>2031</v>
      </c>
      <c r="AO2">
        <f t="shared" si="1"/>
        <v>2032</v>
      </c>
      <c r="AP2">
        <f t="shared" si="1"/>
        <v>2033</v>
      </c>
      <c r="AQ2">
        <f t="shared" si="1"/>
        <v>2034</v>
      </c>
      <c r="AR2">
        <f t="shared" si="1"/>
        <v>2035</v>
      </c>
    </row>
    <row r="3" spans="1:44" s="7" customFormat="1" ht="13" x14ac:dyDescent="0.3">
      <c r="B3" s="7" t="s">
        <v>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44" x14ac:dyDescent="0.25">
      <c r="B4" t="s">
        <v>138</v>
      </c>
      <c r="O4" s="1"/>
      <c r="P4" s="1"/>
      <c r="Q4" s="1"/>
      <c r="R4" s="1"/>
      <c r="S4" s="1"/>
      <c r="T4" s="1"/>
      <c r="U4" s="1"/>
      <c r="AF4">
        <v>0</v>
      </c>
      <c r="AG4" s="2">
        <v>1100</v>
      </c>
      <c r="AH4" s="2"/>
    </row>
    <row r="5" spans="1:44" x14ac:dyDescent="0.25">
      <c r="B5" t="s">
        <v>139</v>
      </c>
      <c r="O5" s="1"/>
      <c r="P5" s="1"/>
      <c r="Q5" s="1"/>
      <c r="R5" s="1"/>
      <c r="S5" s="1"/>
      <c r="T5" s="1"/>
      <c r="U5" s="1"/>
      <c r="AG5" s="2">
        <v>1500</v>
      </c>
      <c r="AH5" s="2"/>
    </row>
    <row r="6" spans="1:44" x14ac:dyDescent="0.25">
      <c r="O6" s="1"/>
      <c r="P6" s="1"/>
      <c r="Q6" s="1"/>
      <c r="R6" s="1"/>
      <c r="S6" s="1"/>
      <c r="T6" s="1"/>
      <c r="U6" s="1"/>
      <c r="AG6" s="2"/>
      <c r="AH6" s="2"/>
    </row>
    <row r="7" spans="1:44" x14ac:dyDescent="0.25">
      <c r="B7" t="s">
        <v>146</v>
      </c>
      <c r="O7" s="1"/>
      <c r="P7" s="1"/>
      <c r="Q7" s="1"/>
      <c r="R7" s="1"/>
      <c r="S7" s="1"/>
      <c r="T7" s="1"/>
      <c r="U7" s="1">
        <v>10</v>
      </c>
      <c r="V7">
        <v>15</v>
      </c>
      <c r="W7">
        <f>+V7+5</f>
        <v>20</v>
      </c>
      <c r="X7">
        <f>+W7+5</f>
        <v>25</v>
      </c>
      <c r="Y7">
        <f>+X7+5</f>
        <v>30</v>
      </c>
      <c r="Z7">
        <f>+Y7+5</f>
        <v>35</v>
      </c>
      <c r="AG7" s="2">
        <v>50</v>
      </c>
      <c r="AH7" s="2">
        <f>SUM(W7:Z7)</f>
        <v>110</v>
      </c>
      <c r="AI7" s="2">
        <f>+AH7*1.3</f>
        <v>143</v>
      </c>
      <c r="AJ7" s="2">
        <f>+AI7*1.3</f>
        <v>185.9</v>
      </c>
      <c r="AK7" s="2">
        <f>+AJ7*1.3</f>
        <v>241.67000000000002</v>
      </c>
      <c r="AL7" s="2">
        <f>+AK7*1.1</f>
        <v>265.83700000000005</v>
      </c>
      <c r="AM7" s="2">
        <f>+AL7*1.1</f>
        <v>292.42070000000007</v>
      </c>
      <c r="AN7" s="2">
        <f>+AM7*1.1</f>
        <v>321.66277000000008</v>
      </c>
      <c r="AO7" s="2">
        <f>+AN7*1.05</f>
        <v>337.7459085000001</v>
      </c>
      <c r="AP7" s="2">
        <f>+AO7*1.05</f>
        <v>354.63320392500015</v>
      </c>
      <c r="AQ7" s="2">
        <f>+AP7*1.05</f>
        <v>372.36486412125015</v>
      </c>
      <c r="AR7" s="2">
        <f>+AQ7*1.05</f>
        <v>390.98310732731267</v>
      </c>
    </row>
    <row r="8" spans="1:44" x14ac:dyDescent="0.25">
      <c r="B8" t="s">
        <v>73</v>
      </c>
      <c r="O8" s="1"/>
      <c r="P8" s="1"/>
      <c r="Q8" s="1"/>
      <c r="R8" s="1"/>
      <c r="S8" s="1"/>
      <c r="T8" s="1"/>
      <c r="U8" s="1"/>
      <c r="AH8" s="2">
        <f>SUM(W8:Z8)</f>
        <v>0</v>
      </c>
      <c r="AI8" s="2">
        <v>1000</v>
      </c>
      <c r="AJ8" s="2">
        <f>+AI8*1.01</f>
        <v>1010</v>
      </c>
      <c r="AK8" s="2">
        <f t="shared" ref="AK8:AR8" si="2">+AJ8*1.01</f>
        <v>1020.1</v>
      </c>
      <c r="AL8" s="2">
        <f t="shared" si="2"/>
        <v>1030.3009999999999</v>
      </c>
      <c r="AM8" s="2">
        <f t="shared" si="2"/>
        <v>1040.60401</v>
      </c>
      <c r="AN8" s="2">
        <f t="shared" si="2"/>
        <v>1051.0100500999999</v>
      </c>
      <c r="AO8" s="2">
        <f t="shared" si="2"/>
        <v>1061.5201506009998</v>
      </c>
      <c r="AP8" s="2">
        <f t="shared" si="2"/>
        <v>1072.1353521070098</v>
      </c>
      <c r="AQ8" s="2">
        <f t="shared" si="2"/>
        <v>1082.8567056280799</v>
      </c>
      <c r="AR8" s="2">
        <f t="shared" si="2"/>
        <v>1093.6852726843608</v>
      </c>
    </row>
    <row r="9" spans="1:44" x14ac:dyDescent="0.25">
      <c r="B9" t="s">
        <v>63</v>
      </c>
      <c r="O9" s="1"/>
      <c r="P9" s="1"/>
      <c r="Q9" s="1"/>
      <c r="R9" s="1"/>
      <c r="S9" s="1"/>
      <c r="T9" s="1"/>
      <c r="U9" s="1"/>
      <c r="AH9" s="2">
        <f>SUM(W9:Z9)</f>
        <v>0</v>
      </c>
      <c r="AI9" s="2">
        <f t="shared" ref="AI9:AR9" si="3">+AH10*0.5</f>
        <v>858.75</v>
      </c>
      <c r="AJ9" s="2">
        <f t="shared" si="3"/>
        <v>687</v>
      </c>
      <c r="AK9" s="2">
        <f t="shared" si="3"/>
        <v>549.6</v>
      </c>
      <c r="AL9" s="2">
        <f t="shared" si="3"/>
        <v>439.68000000000006</v>
      </c>
      <c r="AM9" s="2">
        <f t="shared" si="3"/>
        <v>351.74400000000009</v>
      </c>
      <c r="AN9" s="2">
        <f t="shared" si="3"/>
        <v>281.3952000000001</v>
      </c>
      <c r="AO9" s="2">
        <f t="shared" si="3"/>
        <v>225.11616000000009</v>
      </c>
      <c r="AP9" s="2">
        <f t="shared" si="3"/>
        <v>180.09292800000009</v>
      </c>
      <c r="AQ9" s="2">
        <f t="shared" si="3"/>
        <v>144.07434240000006</v>
      </c>
      <c r="AR9" s="2">
        <f t="shared" si="3"/>
        <v>115.25947392000006</v>
      </c>
    </row>
    <row r="10" spans="1:44" x14ac:dyDescent="0.25">
      <c r="B10" t="s">
        <v>83</v>
      </c>
      <c r="O10" s="1"/>
      <c r="P10" s="1">
        <v>293</v>
      </c>
      <c r="Q10" s="3">
        <v>1757</v>
      </c>
      <c r="R10" s="3">
        <v>2793</v>
      </c>
      <c r="S10" s="3">
        <v>167</v>
      </c>
      <c r="T10" s="1">
        <v>184</v>
      </c>
      <c r="U10" s="3">
        <v>1810</v>
      </c>
      <c r="V10">
        <f>244+679</f>
        <v>923</v>
      </c>
      <c r="W10" s="2">
        <f>+S10</f>
        <v>167</v>
      </c>
      <c r="X10" s="2">
        <f>+T10</f>
        <v>184</v>
      </c>
      <c r="Y10">
        <f>+U10*0.5</f>
        <v>905</v>
      </c>
      <c r="Z10" s="2">
        <f>+V10*0.5</f>
        <v>461.5</v>
      </c>
      <c r="AG10" s="2">
        <f>SUM(S10:V10)</f>
        <v>3084</v>
      </c>
      <c r="AH10" s="2">
        <f>SUM(W10:Z10)</f>
        <v>1717.5</v>
      </c>
      <c r="AI10" s="2">
        <f>+AH10*0.8</f>
        <v>1374</v>
      </c>
      <c r="AJ10" s="2">
        <f t="shared" ref="AJ10:AR10" si="4">+AI10*0.8</f>
        <v>1099.2</v>
      </c>
      <c r="AK10" s="2">
        <f t="shared" si="4"/>
        <v>879.36000000000013</v>
      </c>
      <c r="AL10" s="2">
        <f t="shared" si="4"/>
        <v>703.48800000000017</v>
      </c>
      <c r="AM10" s="2">
        <f t="shared" si="4"/>
        <v>562.7904000000002</v>
      </c>
      <c r="AN10" s="2">
        <f t="shared" si="4"/>
        <v>450.23232000000019</v>
      </c>
      <c r="AO10" s="2">
        <f t="shared" si="4"/>
        <v>360.18585600000017</v>
      </c>
      <c r="AP10" s="2">
        <f t="shared" si="4"/>
        <v>288.14868480000013</v>
      </c>
      <c r="AQ10" s="2">
        <f t="shared" si="4"/>
        <v>230.51894784000012</v>
      </c>
      <c r="AR10" s="2">
        <f t="shared" si="4"/>
        <v>184.4151582720001</v>
      </c>
    </row>
    <row r="11" spans="1:44" s="2" customFormat="1" x14ac:dyDescent="0.25">
      <c r="B11" s="2" t="s">
        <v>8</v>
      </c>
      <c r="C11" s="3"/>
      <c r="D11" s="3"/>
      <c r="E11" s="3">
        <v>0</v>
      </c>
      <c r="F11" s="3">
        <v>200</v>
      </c>
      <c r="G11" s="3">
        <v>1733</v>
      </c>
      <c r="H11" s="3">
        <v>4197</v>
      </c>
      <c r="I11" s="3">
        <v>4810</v>
      </c>
      <c r="J11" s="3">
        <v>6935</v>
      </c>
      <c r="K11" s="3">
        <v>5925</v>
      </c>
      <c r="L11" s="3">
        <v>4531</v>
      </c>
      <c r="M11" s="3">
        <v>3120</v>
      </c>
      <c r="N11" s="3">
        <v>4859</v>
      </c>
      <c r="O11" s="3">
        <v>1828</v>
      </c>
      <c r="P11" s="2">
        <f t="shared" ref="P11:Z11" si="5">+P10+P7</f>
        <v>293</v>
      </c>
      <c r="Q11" s="2">
        <f t="shared" si="5"/>
        <v>1757</v>
      </c>
      <c r="R11" s="2">
        <f t="shared" si="5"/>
        <v>2793</v>
      </c>
      <c r="S11" s="2">
        <f t="shared" si="5"/>
        <v>167</v>
      </c>
      <c r="T11" s="2">
        <f t="shared" si="5"/>
        <v>184</v>
      </c>
      <c r="U11" s="2">
        <f t="shared" si="5"/>
        <v>1820</v>
      </c>
      <c r="V11" s="2">
        <f t="shared" si="5"/>
        <v>938</v>
      </c>
      <c r="W11" s="2">
        <f t="shared" si="5"/>
        <v>187</v>
      </c>
      <c r="X11" s="2">
        <f t="shared" si="5"/>
        <v>209</v>
      </c>
      <c r="Y11" s="2">
        <f t="shared" si="5"/>
        <v>935</v>
      </c>
      <c r="Z11" s="2">
        <f t="shared" si="5"/>
        <v>496.5</v>
      </c>
      <c r="AD11" s="2">
        <f>SUM(G11:J11)</f>
        <v>17675</v>
      </c>
      <c r="AE11" s="2">
        <f>SUM(K11:N11)</f>
        <v>18435</v>
      </c>
      <c r="AF11" s="2">
        <f>SUM(O11:R11)</f>
        <v>6671</v>
      </c>
      <c r="AG11" s="2">
        <f>+AG10+AG7</f>
        <v>3134</v>
      </c>
      <c r="AH11" s="2">
        <f>SUM(AH7:AH10)</f>
        <v>1827.5</v>
      </c>
      <c r="AI11" s="2">
        <f t="shared" ref="AI11:AR11" si="6">+AH11*0.2</f>
        <v>365.5</v>
      </c>
      <c r="AJ11" s="2">
        <f t="shared" si="6"/>
        <v>73.100000000000009</v>
      </c>
      <c r="AK11" s="2">
        <f t="shared" si="6"/>
        <v>14.620000000000003</v>
      </c>
      <c r="AL11" s="2">
        <f t="shared" si="6"/>
        <v>2.9240000000000008</v>
      </c>
      <c r="AM11" s="2">
        <f t="shared" si="6"/>
        <v>0.58480000000000021</v>
      </c>
      <c r="AN11" s="2">
        <f t="shared" si="6"/>
        <v>0.11696000000000005</v>
      </c>
      <c r="AO11" s="2">
        <f t="shared" si="6"/>
        <v>2.339200000000001E-2</v>
      </c>
      <c r="AP11" s="2">
        <f t="shared" si="6"/>
        <v>4.6784000000000018E-3</v>
      </c>
      <c r="AQ11" s="2">
        <f t="shared" si="6"/>
        <v>9.3568000000000037E-4</v>
      </c>
      <c r="AR11" s="2">
        <f t="shared" si="6"/>
        <v>1.8713600000000007E-4</v>
      </c>
    </row>
    <row r="12" spans="1:44" s="2" customFormat="1" x14ac:dyDescent="0.25">
      <c r="B12" s="2" t="s">
        <v>24</v>
      </c>
      <c r="C12" s="3"/>
      <c r="D12" s="3"/>
      <c r="E12" s="3">
        <v>145</v>
      </c>
      <c r="F12" s="3">
        <v>341</v>
      </c>
      <c r="G12" s="3">
        <v>194</v>
      </c>
      <c r="H12" s="3">
        <v>139</v>
      </c>
      <c r="I12" s="3">
        <v>140</v>
      </c>
      <c r="J12" s="3">
        <v>262</v>
      </c>
      <c r="K12" s="3">
        <v>126</v>
      </c>
      <c r="L12" s="3">
        <v>183</v>
      </c>
      <c r="M12" s="3">
        <v>144</v>
      </c>
      <c r="N12" s="3"/>
      <c r="AD12" s="2">
        <f>SUM(G12:J12)</f>
        <v>735</v>
      </c>
      <c r="AE12" s="2">
        <f>SUM(K12:N12)</f>
        <v>453</v>
      </c>
      <c r="AF12" s="2">
        <f>SUM(O12:R12)</f>
        <v>0</v>
      </c>
      <c r="AG12" s="2">
        <f>SUM(S12:V12)</f>
        <v>0</v>
      </c>
      <c r="AH12" s="2">
        <f>SUM(W12:Z12)</f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</row>
    <row r="13" spans="1:44" s="2" customFormat="1" x14ac:dyDescent="0.25">
      <c r="B13" s="2" t="s">
        <v>25</v>
      </c>
      <c r="C13" s="3"/>
      <c r="D13" s="3"/>
      <c r="E13" s="3">
        <v>12</v>
      </c>
      <c r="F13" s="3">
        <v>30</v>
      </c>
      <c r="G13" s="3">
        <v>10</v>
      </c>
      <c r="H13" s="3">
        <v>18</v>
      </c>
      <c r="I13" s="3">
        <v>19</v>
      </c>
      <c r="J13" s="3">
        <v>14</v>
      </c>
      <c r="K13" s="3">
        <v>15</v>
      </c>
      <c r="L13" s="3">
        <v>35</v>
      </c>
      <c r="M13" s="3">
        <v>100</v>
      </c>
      <c r="N13" s="3">
        <v>225</v>
      </c>
      <c r="O13" s="2">
        <v>34</v>
      </c>
      <c r="P13" s="2">
        <v>51</v>
      </c>
      <c r="Q13" s="2">
        <v>74</v>
      </c>
      <c r="R13" s="2">
        <v>18</v>
      </c>
      <c r="S13" s="2">
        <v>0</v>
      </c>
      <c r="T13" s="2">
        <v>57</v>
      </c>
      <c r="U13" s="2">
        <v>42</v>
      </c>
      <c r="V13" s="2">
        <v>28</v>
      </c>
      <c r="W13" s="2">
        <f>+S13</f>
        <v>0</v>
      </c>
      <c r="X13" s="2">
        <f>+T13</f>
        <v>57</v>
      </c>
      <c r="Y13" s="2">
        <f>+U13</f>
        <v>42</v>
      </c>
      <c r="Z13" s="2">
        <f>+V13</f>
        <v>28</v>
      </c>
      <c r="AD13" s="2">
        <f>SUM(G13:J13)</f>
        <v>61</v>
      </c>
      <c r="AE13" s="2">
        <f>SUM(K13:N13)</f>
        <v>375</v>
      </c>
      <c r="AF13" s="2">
        <f>SUM(O13:R13)</f>
        <v>177</v>
      </c>
      <c r="AG13" s="2">
        <f>SUM(S13:V13)</f>
        <v>127</v>
      </c>
      <c r="AH13" s="2">
        <f>SUM(W13:Z13)</f>
        <v>127</v>
      </c>
      <c r="AI13" s="2">
        <f>+AH13</f>
        <v>127</v>
      </c>
      <c r="AJ13" s="2">
        <f t="shared" ref="AJ13:AR13" si="7">+AI13</f>
        <v>127</v>
      </c>
      <c r="AK13" s="2">
        <f t="shared" si="7"/>
        <v>127</v>
      </c>
      <c r="AL13" s="2">
        <f t="shared" si="7"/>
        <v>127</v>
      </c>
      <c r="AM13" s="2">
        <f t="shared" si="7"/>
        <v>127</v>
      </c>
      <c r="AN13" s="2">
        <f t="shared" si="7"/>
        <v>127</v>
      </c>
      <c r="AO13" s="2">
        <f t="shared" si="7"/>
        <v>127</v>
      </c>
      <c r="AP13" s="2">
        <f t="shared" si="7"/>
        <v>127</v>
      </c>
      <c r="AQ13" s="2">
        <f t="shared" si="7"/>
        <v>127</v>
      </c>
      <c r="AR13" s="2">
        <f t="shared" si="7"/>
        <v>127</v>
      </c>
    </row>
    <row r="14" spans="1:44" s="4" customFormat="1" ht="13" x14ac:dyDescent="0.3">
      <c r="B14" s="4" t="s">
        <v>26</v>
      </c>
      <c r="C14" s="5"/>
      <c r="D14" s="5"/>
      <c r="E14" s="5">
        <f t="shared" ref="E14:L14" si="8">SUM(E11:E13)</f>
        <v>157</v>
      </c>
      <c r="F14" s="5">
        <f t="shared" si="8"/>
        <v>571</v>
      </c>
      <c r="G14" s="5">
        <f t="shared" si="8"/>
        <v>1937</v>
      </c>
      <c r="H14" s="5">
        <f t="shared" si="8"/>
        <v>4354</v>
      </c>
      <c r="I14" s="5">
        <f t="shared" si="8"/>
        <v>4969</v>
      </c>
      <c r="J14" s="5">
        <f t="shared" si="8"/>
        <v>7211</v>
      </c>
      <c r="K14" s="5">
        <f t="shared" si="8"/>
        <v>6066</v>
      </c>
      <c r="L14" s="5">
        <f t="shared" si="8"/>
        <v>4749</v>
      </c>
      <c r="M14" s="5">
        <f t="shared" ref="M14:N14" si="9">SUM(M11:M13)</f>
        <v>3364</v>
      </c>
      <c r="N14" s="5">
        <f t="shared" si="9"/>
        <v>5084</v>
      </c>
      <c r="O14" s="5">
        <f t="shared" ref="O14" si="10">SUM(O11:O13)</f>
        <v>1862</v>
      </c>
      <c r="P14" s="5">
        <f t="shared" ref="P14" si="11">SUM(P11:P13)</f>
        <v>344</v>
      </c>
      <c r="Q14" s="5">
        <f t="shared" ref="Q14" si="12">SUM(Q11:Q13)</f>
        <v>1831</v>
      </c>
      <c r="R14" s="5">
        <f t="shared" ref="R14:Z14" si="13">SUM(R11:R13)</f>
        <v>2811</v>
      </c>
      <c r="S14" s="5">
        <f t="shared" si="13"/>
        <v>167</v>
      </c>
      <c r="T14" s="5">
        <f t="shared" si="13"/>
        <v>241</v>
      </c>
      <c r="U14" s="5">
        <f t="shared" si="13"/>
        <v>1862</v>
      </c>
      <c r="V14" s="5">
        <f>SUM(V11:V13)</f>
        <v>966</v>
      </c>
      <c r="W14" s="5">
        <f t="shared" si="13"/>
        <v>187</v>
      </c>
      <c r="X14" s="5">
        <f t="shared" si="13"/>
        <v>266</v>
      </c>
      <c r="Y14" s="5">
        <f t="shared" si="13"/>
        <v>977</v>
      </c>
      <c r="Z14" s="5">
        <f t="shared" si="13"/>
        <v>524.5</v>
      </c>
      <c r="AD14" s="4">
        <f>SUM(AD11:AD13)</f>
        <v>18471</v>
      </c>
      <c r="AE14" s="4">
        <f>SUM(AE11:AE13)</f>
        <v>19263</v>
      </c>
      <c r="AF14" s="4">
        <f>SUM(AF11:AF13)</f>
        <v>6848</v>
      </c>
      <c r="AG14" s="4">
        <f>SUM(AG7:AG13)</f>
        <v>6395</v>
      </c>
      <c r="AH14" s="4">
        <f>+AH13+AH12+AH11</f>
        <v>1954.5</v>
      </c>
      <c r="AI14" s="4">
        <f>SUM(AI7:AI13)</f>
        <v>3868.25</v>
      </c>
      <c r="AJ14" s="4">
        <f>SUM(AJ7:AJ13)</f>
        <v>3182.2000000000003</v>
      </c>
      <c r="AK14" s="4">
        <f t="shared" ref="AK14:AR14" si="14">SUM(AK7:AK13)</f>
        <v>2832.35</v>
      </c>
      <c r="AL14" s="4">
        <f t="shared" si="14"/>
        <v>2569.23</v>
      </c>
      <c r="AM14" s="4">
        <f t="shared" si="14"/>
        <v>2375.1439100000007</v>
      </c>
      <c r="AN14" s="4">
        <f t="shared" si="14"/>
        <v>2231.4173001000004</v>
      </c>
      <c r="AO14" s="4">
        <f t="shared" si="14"/>
        <v>2111.591467101</v>
      </c>
      <c r="AP14" s="4">
        <f t="shared" si="14"/>
        <v>2022.0148472320102</v>
      </c>
      <c r="AQ14" s="4">
        <f t="shared" si="14"/>
        <v>1956.8157956693303</v>
      </c>
      <c r="AR14" s="4">
        <f t="shared" si="14"/>
        <v>1911.3431993396737</v>
      </c>
    </row>
    <row r="15" spans="1:44" s="2" customFormat="1" x14ac:dyDescent="0.25">
      <c r="B15" s="2" t="s">
        <v>34</v>
      </c>
      <c r="C15" s="3"/>
      <c r="D15" s="3"/>
      <c r="E15" s="3">
        <v>0</v>
      </c>
      <c r="F15" s="3">
        <v>8</v>
      </c>
      <c r="G15" s="3">
        <v>193</v>
      </c>
      <c r="H15" s="3">
        <v>750</v>
      </c>
      <c r="I15" s="3">
        <v>722</v>
      </c>
      <c r="J15" s="3">
        <v>952</v>
      </c>
      <c r="K15" s="3">
        <v>1017</v>
      </c>
      <c r="L15" s="3">
        <v>1381</v>
      </c>
      <c r="M15" s="3">
        <v>1100</v>
      </c>
      <c r="N15" s="3">
        <v>1918</v>
      </c>
      <c r="O15" s="3">
        <v>792</v>
      </c>
      <c r="P15" s="3">
        <v>731</v>
      </c>
      <c r="Q15" s="3">
        <v>2241</v>
      </c>
      <c r="R15" s="3">
        <v>929</v>
      </c>
      <c r="S15" s="3">
        <v>96</v>
      </c>
      <c r="T15" s="3">
        <v>115</v>
      </c>
      <c r="U15" s="3">
        <v>514</v>
      </c>
      <c r="V15" s="2">
        <v>739</v>
      </c>
      <c r="AH15" s="2">
        <f>+AH14-AH16</f>
        <v>586.35000000000014</v>
      </c>
      <c r="AI15" s="2">
        <f t="shared" ref="AI15:AR15" si="15">+AI14-AI16</f>
        <v>1160.4750000000004</v>
      </c>
      <c r="AJ15" s="2">
        <f t="shared" si="15"/>
        <v>954.66000000000031</v>
      </c>
      <c r="AK15" s="2">
        <f t="shared" si="15"/>
        <v>849.70500000000015</v>
      </c>
      <c r="AL15" s="2">
        <f t="shared" si="15"/>
        <v>770.76900000000023</v>
      </c>
      <c r="AM15" s="2">
        <f t="shared" si="15"/>
        <v>712.54317300000025</v>
      </c>
      <c r="AN15" s="2">
        <f t="shared" si="15"/>
        <v>669.42519003000029</v>
      </c>
      <c r="AO15" s="2">
        <f t="shared" si="15"/>
        <v>633.47744013030001</v>
      </c>
      <c r="AP15" s="2">
        <f t="shared" si="15"/>
        <v>606.60445416960306</v>
      </c>
      <c r="AQ15" s="2">
        <f t="shared" si="15"/>
        <v>587.04473870079914</v>
      </c>
      <c r="AR15" s="2">
        <f t="shared" si="15"/>
        <v>573.40295980190217</v>
      </c>
    </row>
    <row r="16" spans="1:44" x14ac:dyDescent="0.25">
      <c r="B16" s="2" t="s">
        <v>35</v>
      </c>
      <c r="E16" s="3">
        <f t="shared" ref="E16:L16" si="16">+E14-E15</f>
        <v>157</v>
      </c>
      <c r="F16" s="3">
        <f t="shared" si="16"/>
        <v>563</v>
      </c>
      <c r="G16" s="3">
        <f t="shared" si="16"/>
        <v>1744</v>
      </c>
      <c r="H16" s="3">
        <f t="shared" si="16"/>
        <v>3604</v>
      </c>
      <c r="I16" s="3">
        <f t="shared" si="16"/>
        <v>4247</v>
      </c>
      <c r="J16" s="3">
        <f t="shared" si="16"/>
        <v>6259</v>
      </c>
      <c r="K16" s="3">
        <f t="shared" si="16"/>
        <v>5049</v>
      </c>
      <c r="L16" s="3">
        <f t="shared" si="16"/>
        <v>3368</v>
      </c>
      <c r="M16" s="3">
        <f t="shared" ref="M16:T16" si="17">+M14-M15</f>
        <v>2264</v>
      </c>
      <c r="N16" s="3">
        <f t="shared" si="17"/>
        <v>3166</v>
      </c>
      <c r="O16" s="3">
        <f t="shared" si="17"/>
        <v>1070</v>
      </c>
      <c r="P16" s="3">
        <f t="shared" si="17"/>
        <v>-387</v>
      </c>
      <c r="Q16" s="3">
        <f t="shared" si="17"/>
        <v>-410</v>
      </c>
      <c r="R16" s="3">
        <f t="shared" si="17"/>
        <v>1882</v>
      </c>
      <c r="S16" s="3">
        <f t="shared" si="17"/>
        <v>71</v>
      </c>
      <c r="T16" s="3">
        <f t="shared" si="17"/>
        <v>126</v>
      </c>
      <c r="U16" s="3">
        <f>+U14-U15</f>
        <v>1348</v>
      </c>
      <c r="V16" s="2">
        <f>+V14-V15</f>
        <v>227</v>
      </c>
      <c r="AH16" s="2">
        <f>+AH14*0.7</f>
        <v>1368.1499999999999</v>
      </c>
      <c r="AI16" s="2">
        <f t="shared" ref="AI16:AR16" si="18">+AI14*0.7</f>
        <v>2707.7749999999996</v>
      </c>
      <c r="AJ16" s="2">
        <f t="shared" si="18"/>
        <v>2227.54</v>
      </c>
      <c r="AK16" s="2">
        <f t="shared" si="18"/>
        <v>1982.6449999999998</v>
      </c>
      <c r="AL16" s="2">
        <f t="shared" si="18"/>
        <v>1798.4609999999998</v>
      </c>
      <c r="AM16" s="2">
        <f t="shared" si="18"/>
        <v>1662.6007370000004</v>
      </c>
      <c r="AN16" s="2">
        <f t="shared" si="18"/>
        <v>1561.9921100700001</v>
      </c>
      <c r="AO16" s="2">
        <f t="shared" si="18"/>
        <v>1478.1140269707</v>
      </c>
      <c r="AP16" s="2">
        <f t="shared" si="18"/>
        <v>1415.4103930624071</v>
      </c>
      <c r="AQ16" s="2">
        <f t="shared" si="18"/>
        <v>1369.7710569685312</v>
      </c>
      <c r="AR16" s="2">
        <f t="shared" si="18"/>
        <v>1337.9402395377715</v>
      </c>
    </row>
    <row r="17" spans="2:139" x14ac:dyDescent="0.25">
      <c r="B17" s="2" t="s">
        <v>36</v>
      </c>
      <c r="E17" s="1">
        <v>344</v>
      </c>
      <c r="F17" s="1">
        <v>759</v>
      </c>
      <c r="G17" s="1">
        <v>401</v>
      </c>
      <c r="H17" s="1">
        <v>421</v>
      </c>
      <c r="I17" s="1">
        <v>521</v>
      </c>
      <c r="J17" s="1">
        <v>648</v>
      </c>
      <c r="K17" s="1">
        <v>554</v>
      </c>
      <c r="L17" s="1">
        <v>710</v>
      </c>
      <c r="M17" s="3">
        <v>820</v>
      </c>
      <c r="N17" s="3">
        <v>1211</v>
      </c>
      <c r="O17" s="3">
        <v>1131</v>
      </c>
      <c r="P17" s="3">
        <v>1148</v>
      </c>
      <c r="Q17" s="3">
        <v>1160</v>
      </c>
      <c r="R17" s="3">
        <v>1406</v>
      </c>
      <c r="S17" s="3">
        <v>1063</v>
      </c>
      <c r="T17" s="3">
        <v>1221</v>
      </c>
      <c r="U17" s="3">
        <v>1137</v>
      </c>
      <c r="V17" s="3">
        <v>1122</v>
      </c>
    </row>
    <row r="18" spans="2:139" x14ac:dyDescent="0.25">
      <c r="B18" s="2" t="s">
        <v>37</v>
      </c>
      <c r="E18" s="1">
        <v>48</v>
      </c>
      <c r="F18" s="1">
        <v>79</v>
      </c>
      <c r="G18" s="1">
        <v>77</v>
      </c>
      <c r="H18" s="1">
        <v>121</v>
      </c>
      <c r="I18" s="1">
        <v>168</v>
      </c>
      <c r="J18" s="1">
        <v>201</v>
      </c>
      <c r="K18" s="1">
        <v>268</v>
      </c>
      <c r="L18" s="1">
        <v>211</v>
      </c>
      <c r="M18" s="3">
        <v>278</v>
      </c>
      <c r="N18" s="3">
        <v>375</v>
      </c>
      <c r="O18" s="3">
        <v>305</v>
      </c>
      <c r="P18" s="3">
        <v>332</v>
      </c>
      <c r="Q18" s="3">
        <v>442</v>
      </c>
      <c r="R18" s="3">
        <v>470</v>
      </c>
      <c r="S18" s="3">
        <v>274</v>
      </c>
      <c r="T18" s="3">
        <v>268</v>
      </c>
      <c r="U18" s="3">
        <v>281</v>
      </c>
      <c r="V18" s="2">
        <v>351</v>
      </c>
      <c r="AH18" s="2">
        <f>+AH14*0.25</f>
        <v>488.625</v>
      </c>
      <c r="AI18" s="2">
        <f t="shared" ref="AI18:AR18" si="19">+AI14*0.25</f>
        <v>967.0625</v>
      </c>
      <c r="AJ18" s="2">
        <f t="shared" si="19"/>
        <v>795.55000000000007</v>
      </c>
      <c r="AK18" s="2">
        <f t="shared" si="19"/>
        <v>708.08749999999998</v>
      </c>
      <c r="AL18" s="2">
        <f t="shared" si="19"/>
        <v>642.3075</v>
      </c>
      <c r="AM18" s="2">
        <f t="shared" si="19"/>
        <v>593.78597750000017</v>
      </c>
      <c r="AN18" s="2">
        <f t="shared" si="19"/>
        <v>557.85432502500009</v>
      </c>
      <c r="AO18" s="2">
        <f t="shared" si="19"/>
        <v>527.89786677525001</v>
      </c>
      <c r="AP18" s="2">
        <f t="shared" si="19"/>
        <v>505.50371180800255</v>
      </c>
      <c r="AQ18" s="2">
        <f t="shared" si="19"/>
        <v>489.20394891733258</v>
      </c>
      <c r="AR18" s="2">
        <f t="shared" si="19"/>
        <v>477.83579983491842</v>
      </c>
    </row>
    <row r="19" spans="2:139" x14ac:dyDescent="0.25">
      <c r="B19" t="s">
        <v>32</v>
      </c>
      <c r="E19" s="1">
        <f t="shared" ref="E19:L19" si="20">+E17+E18</f>
        <v>392</v>
      </c>
      <c r="F19" s="1">
        <f t="shared" si="20"/>
        <v>838</v>
      </c>
      <c r="G19" s="1">
        <f t="shared" si="20"/>
        <v>478</v>
      </c>
      <c r="H19" s="1">
        <f t="shared" si="20"/>
        <v>542</v>
      </c>
      <c r="I19" s="1">
        <f t="shared" si="20"/>
        <v>689</v>
      </c>
      <c r="J19" s="1">
        <f t="shared" si="20"/>
        <v>849</v>
      </c>
      <c r="K19" s="1">
        <f t="shared" si="20"/>
        <v>822</v>
      </c>
      <c r="L19" s="1">
        <f t="shared" si="20"/>
        <v>921</v>
      </c>
      <c r="M19" s="3">
        <f t="shared" ref="M19:O19" si="21">+M17+M18</f>
        <v>1098</v>
      </c>
      <c r="N19" s="3">
        <f t="shared" si="21"/>
        <v>1586</v>
      </c>
      <c r="O19" s="3">
        <f t="shared" si="21"/>
        <v>1436</v>
      </c>
      <c r="P19" s="3">
        <f t="shared" ref="P19" si="22">+P17+P18</f>
        <v>1480</v>
      </c>
      <c r="Q19" s="3">
        <f t="shared" ref="Q19" si="23">+Q17+Q18</f>
        <v>1602</v>
      </c>
      <c r="R19" s="3">
        <f t="shared" ref="R19:S19" si="24">+R17+R18</f>
        <v>1876</v>
      </c>
      <c r="S19" s="3">
        <f t="shared" si="24"/>
        <v>1337</v>
      </c>
      <c r="T19" s="3">
        <f>+T18+T17</f>
        <v>1489</v>
      </c>
      <c r="U19" s="3">
        <f>+U18+U17</f>
        <v>1418</v>
      </c>
      <c r="V19" s="3">
        <f>+V18+V17</f>
        <v>1473</v>
      </c>
      <c r="AH19" s="2">
        <f>+AH18+AH17</f>
        <v>488.625</v>
      </c>
      <c r="AI19" s="2">
        <f t="shared" ref="AI19:AR19" si="25">+AI18+AI17</f>
        <v>967.0625</v>
      </c>
      <c r="AJ19" s="2">
        <f t="shared" si="25"/>
        <v>795.55000000000007</v>
      </c>
      <c r="AK19" s="2">
        <f t="shared" si="25"/>
        <v>708.08749999999998</v>
      </c>
      <c r="AL19" s="2">
        <f t="shared" si="25"/>
        <v>642.3075</v>
      </c>
      <c r="AM19" s="2">
        <f t="shared" si="25"/>
        <v>593.78597750000017</v>
      </c>
      <c r="AN19" s="2">
        <f t="shared" si="25"/>
        <v>557.85432502500009</v>
      </c>
      <c r="AO19" s="2">
        <f t="shared" si="25"/>
        <v>527.89786677525001</v>
      </c>
      <c r="AP19" s="2">
        <f t="shared" si="25"/>
        <v>505.50371180800255</v>
      </c>
      <c r="AQ19" s="2">
        <f t="shared" si="25"/>
        <v>489.20394891733258</v>
      </c>
      <c r="AR19" s="2">
        <f t="shared" si="25"/>
        <v>477.83579983491842</v>
      </c>
      <c r="AS19" s="2"/>
    </row>
    <row r="20" spans="2:139" x14ac:dyDescent="0.25">
      <c r="B20" t="s">
        <v>33</v>
      </c>
      <c r="E20" s="3">
        <f t="shared" ref="E20:L20" si="26">+E16-E19</f>
        <v>-235</v>
      </c>
      <c r="F20" s="3">
        <f t="shared" si="26"/>
        <v>-275</v>
      </c>
      <c r="G20" s="3">
        <f t="shared" si="26"/>
        <v>1266</v>
      </c>
      <c r="H20" s="3">
        <f t="shared" si="26"/>
        <v>3062</v>
      </c>
      <c r="I20" s="3">
        <f t="shared" si="26"/>
        <v>3558</v>
      </c>
      <c r="J20" s="3">
        <f t="shared" si="26"/>
        <v>5410</v>
      </c>
      <c r="K20" s="3">
        <f t="shared" si="26"/>
        <v>4227</v>
      </c>
      <c r="L20" s="3">
        <f t="shared" si="26"/>
        <v>2447</v>
      </c>
      <c r="M20" s="3">
        <f t="shared" ref="M20:O20" si="27">+M16-M19</f>
        <v>1166</v>
      </c>
      <c r="N20" s="3">
        <f t="shared" si="27"/>
        <v>1580</v>
      </c>
      <c r="O20" s="3">
        <f t="shared" si="27"/>
        <v>-366</v>
      </c>
      <c r="P20" s="3">
        <f t="shared" ref="P20" si="28">+P16-P19</f>
        <v>-1867</v>
      </c>
      <c r="Q20" s="3">
        <f t="shared" ref="Q20" si="29">+Q16-Q19</f>
        <v>-2012</v>
      </c>
      <c r="R20" s="3">
        <f t="shared" ref="R20:S20" si="30">+R16-R19</f>
        <v>6</v>
      </c>
      <c r="S20" s="3">
        <f t="shared" si="30"/>
        <v>-1266</v>
      </c>
      <c r="T20" s="3">
        <f>+T16-T19</f>
        <v>-1363</v>
      </c>
      <c r="U20" s="3">
        <f>+U16-U19</f>
        <v>-70</v>
      </c>
      <c r="V20" s="3">
        <f>+V16-V19</f>
        <v>-1246</v>
      </c>
      <c r="AH20" s="2">
        <f>+AH16-AH19</f>
        <v>879.52499999999986</v>
      </c>
      <c r="AI20" s="2">
        <f t="shared" ref="AI20:AR20" si="31">+AI16-AI19</f>
        <v>1740.7124999999996</v>
      </c>
      <c r="AJ20" s="2">
        <f t="shared" si="31"/>
        <v>1431.9899999999998</v>
      </c>
      <c r="AK20" s="2">
        <f t="shared" si="31"/>
        <v>1274.5574999999999</v>
      </c>
      <c r="AL20" s="2">
        <f t="shared" si="31"/>
        <v>1156.1534999999999</v>
      </c>
      <c r="AM20" s="2">
        <f t="shared" si="31"/>
        <v>1068.8147595000003</v>
      </c>
      <c r="AN20" s="2">
        <f t="shared" si="31"/>
        <v>1004.137785045</v>
      </c>
      <c r="AO20" s="2">
        <f t="shared" si="31"/>
        <v>950.21616019545002</v>
      </c>
      <c r="AP20" s="2">
        <f t="shared" si="31"/>
        <v>909.90668125440459</v>
      </c>
      <c r="AQ20" s="2">
        <f t="shared" si="31"/>
        <v>880.5671080511986</v>
      </c>
      <c r="AR20" s="2">
        <f t="shared" si="31"/>
        <v>860.10443970285314</v>
      </c>
      <c r="AS20" s="2"/>
    </row>
    <row r="21" spans="2:139" x14ac:dyDescent="0.25">
      <c r="B21" t="s">
        <v>31</v>
      </c>
      <c r="E21" s="1">
        <f>6-3</f>
        <v>3</v>
      </c>
      <c r="F21" s="1">
        <v>4</v>
      </c>
      <c r="G21" s="1">
        <f>4-10</f>
        <v>-6</v>
      </c>
      <c r="H21" s="1">
        <f>3-2</f>
        <v>1</v>
      </c>
      <c r="I21" s="1">
        <f>4-10</f>
        <v>-6</v>
      </c>
      <c r="J21" s="1">
        <f>7-7</f>
        <v>0</v>
      </c>
      <c r="K21" s="1">
        <f>15-13</f>
        <v>2</v>
      </c>
      <c r="L21" s="1">
        <f>40-13</f>
        <v>27</v>
      </c>
      <c r="M21" s="1">
        <f>58-7</f>
        <v>51</v>
      </c>
      <c r="N21" s="1">
        <f>87-12</f>
        <v>75</v>
      </c>
      <c r="O21">
        <f>109-48</f>
        <v>61</v>
      </c>
      <c r="P21">
        <f>104+14</f>
        <v>118</v>
      </c>
      <c r="Q21">
        <f>105-51</f>
        <v>54</v>
      </c>
      <c r="R21">
        <f>103-39</f>
        <v>64</v>
      </c>
      <c r="S21">
        <f>120-19</f>
        <v>101</v>
      </c>
      <c r="T21">
        <f>111-27</f>
        <v>84</v>
      </c>
      <c r="U21">
        <f>103-12</f>
        <v>91</v>
      </c>
      <c r="V21">
        <f>91-29</f>
        <v>62</v>
      </c>
    </row>
    <row r="22" spans="2:139" x14ac:dyDescent="0.25">
      <c r="B22" t="s">
        <v>30</v>
      </c>
      <c r="E22" s="3">
        <f t="shared" ref="E22:L22" si="32">+E20+E21</f>
        <v>-232</v>
      </c>
      <c r="F22" s="3">
        <f t="shared" si="32"/>
        <v>-271</v>
      </c>
      <c r="G22" s="3">
        <f t="shared" si="32"/>
        <v>1260</v>
      </c>
      <c r="H22" s="3">
        <f t="shared" si="32"/>
        <v>3063</v>
      </c>
      <c r="I22" s="3">
        <f t="shared" si="32"/>
        <v>3552</v>
      </c>
      <c r="J22" s="3">
        <f t="shared" si="32"/>
        <v>5410</v>
      </c>
      <c r="K22" s="3">
        <f t="shared" si="32"/>
        <v>4229</v>
      </c>
      <c r="L22" s="3">
        <f t="shared" si="32"/>
        <v>2474</v>
      </c>
      <c r="M22" s="3">
        <f t="shared" ref="M22:S22" si="33">+M20+M21</f>
        <v>1217</v>
      </c>
      <c r="N22" s="3">
        <f t="shared" si="33"/>
        <v>1655</v>
      </c>
      <c r="O22" s="3">
        <f t="shared" si="33"/>
        <v>-305</v>
      </c>
      <c r="P22" s="3">
        <f t="shared" si="33"/>
        <v>-1749</v>
      </c>
      <c r="Q22" s="3">
        <f t="shared" si="33"/>
        <v>-1958</v>
      </c>
      <c r="R22" s="3">
        <f t="shared" si="33"/>
        <v>70</v>
      </c>
      <c r="S22" s="3">
        <f t="shared" si="33"/>
        <v>-1165</v>
      </c>
      <c r="T22" s="3">
        <f>+T20+T21</f>
        <v>-1279</v>
      </c>
      <c r="U22" s="3">
        <f>+U20+U21</f>
        <v>21</v>
      </c>
      <c r="V22" s="3">
        <f>+V20+V21</f>
        <v>-1184</v>
      </c>
      <c r="AH22" s="2">
        <f>+AH20+AH21</f>
        <v>879.52499999999986</v>
      </c>
      <c r="AI22" s="2">
        <f t="shared" ref="AI22:AR22" si="34">+AI20+AI21</f>
        <v>1740.7124999999996</v>
      </c>
      <c r="AJ22" s="2">
        <f t="shared" si="34"/>
        <v>1431.9899999999998</v>
      </c>
      <c r="AK22" s="2">
        <f t="shared" si="34"/>
        <v>1274.5574999999999</v>
      </c>
      <c r="AL22" s="2">
        <f t="shared" si="34"/>
        <v>1156.1534999999999</v>
      </c>
      <c r="AM22" s="2">
        <f t="shared" si="34"/>
        <v>1068.8147595000003</v>
      </c>
      <c r="AN22" s="2">
        <f t="shared" si="34"/>
        <v>1004.137785045</v>
      </c>
      <c r="AO22" s="2">
        <f t="shared" si="34"/>
        <v>950.21616019545002</v>
      </c>
      <c r="AP22" s="2">
        <f t="shared" si="34"/>
        <v>909.90668125440459</v>
      </c>
      <c r="AQ22" s="2">
        <f t="shared" si="34"/>
        <v>880.5671080511986</v>
      </c>
      <c r="AR22" s="2">
        <f t="shared" si="34"/>
        <v>860.10443970285314</v>
      </c>
    </row>
    <row r="23" spans="2:139" x14ac:dyDescent="0.25">
      <c r="B23" t="s">
        <v>29</v>
      </c>
      <c r="E23" s="1">
        <v>1</v>
      </c>
      <c r="F23" s="1">
        <v>1</v>
      </c>
      <c r="G23" s="1">
        <v>39</v>
      </c>
      <c r="H23" s="1">
        <v>283</v>
      </c>
      <c r="I23" s="1">
        <v>219</v>
      </c>
      <c r="J23" s="1">
        <v>542</v>
      </c>
      <c r="K23" s="1">
        <v>572</v>
      </c>
      <c r="L23" s="1">
        <v>277</v>
      </c>
      <c r="M23" s="3">
        <v>174</v>
      </c>
      <c r="N23" s="3">
        <v>190</v>
      </c>
      <c r="O23" s="3">
        <v>-384</v>
      </c>
      <c r="P23" s="3">
        <v>-369</v>
      </c>
      <c r="Q23" s="3">
        <v>1672</v>
      </c>
      <c r="R23" s="3">
        <v>-147</v>
      </c>
      <c r="S23" s="3">
        <v>10</v>
      </c>
      <c r="T23" s="3">
        <v>0</v>
      </c>
      <c r="U23" s="3">
        <v>8</v>
      </c>
      <c r="V23" s="3">
        <v>-64</v>
      </c>
      <c r="AH23" s="2">
        <f>+AH22*0.2</f>
        <v>175.90499999999997</v>
      </c>
      <c r="AI23" s="2">
        <f t="shared" ref="AI23:AR23" si="35">+AI22*0.2</f>
        <v>348.14249999999993</v>
      </c>
      <c r="AJ23" s="2">
        <f t="shared" si="35"/>
        <v>286.39799999999997</v>
      </c>
      <c r="AK23" s="2">
        <f t="shared" si="35"/>
        <v>254.91149999999999</v>
      </c>
      <c r="AL23" s="2">
        <f t="shared" si="35"/>
        <v>231.23069999999998</v>
      </c>
      <c r="AM23" s="2">
        <f t="shared" si="35"/>
        <v>213.76295190000008</v>
      </c>
      <c r="AN23" s="2">
        <f t="shared" si="35"/>
        <v>200.827557009</v>
      </c>
      <c r="AO23" s="2">
        <f t="shared" si="35"/>
        <v>190.04323203909001</v>
      </c>
      <c r="AP23" s="2">
        <f t="shared" si="35"/>
        <v>181.98133625088093</v>
      </c>
      <c r="AQ23" s="2">
        <f t="shared" si="35"/>
        <v>176.11342161023973</v>
      </c>
      <c r="AR23" s="2">
        <f t="shared" si="35"/>
        <v>172.02088794057065</v>
      </c>
    </row>
    <row r="24" spans="2:139" x14ac:dyDescent="0.25">
      <c r="B24" t="s">
        <v>28</v>
      </c>
      <c r="E24" s="3">
        <f t="shared" ref="E24:L24" si="36">+E22-E23</f>
        <v>-233</v>
      </c>
      <c r="F24" s="3">
        <f t="shared" si="36"/>
        <v>-272</v>
      </c>
      <c r="G24" s="3">
        <f t="shared" si="36"/>
        <v>1221</v>
      </c>
      <c r="H24" s="3">
        <f t="shared" si="36"/>
        <v>2780</v>
      </c>
      <c r="I24" s="3">
        <f t="shared" si="36"/>
        <v>3333</v>
      </c>
      <c r="J24" s="3">
        <f t="shared" si="36"/>
        <v>4868</v>
      </c>
      <c r="K24" s="3">
        <f t="shared" si="36"/>
        <v>3657</v>
      </c>
      <c r="L24" s="3">
        <f t="shared" si="36"/>
        <v>2197</v>
      </c>
      <c r="M24" s="3">
        <f t="shared" ref="M24:S24" si="37">+M22-M23</f>
        <v>1043</v>
      </c>
      <c r="N24" s="3">
        <f t="shared" si="37"/>
        <v>1465</v>
      </c>
      <c r="O24" s="3">
        <f t="shared" si="37"/>
        <v>79</v>
      </c>
      <c r="P24" s="3">
        <f t="shared" si="37"/>
        <v>-1380</v>
      </c>
      <c r="Q24" s="3">
        <f t="shared" si="37"/>
        <v>-3630</v>
      </c>
      <c r="R24" s="3">
        <f t="shared" si="37"/>
        <v>217</v>
      </c>
      <c r="S24" s="3">
        <f t="shared" si="37"/>
        <v>-1175</v>
      </c>
      <c r="T24" s="3">
        <f>+T22-T23</f>
        <v>-1279</v>
      </c>
      <c r="U24" s="3">
        <f>+U22-U23</f>
        <v>13</v>
      </c>
      <c r="V24" s="3">
        <f>+V22-V23</f>
        <v>-1120</v>
      </c>
      <c r="AH24" s="2">
        <f>+AH22-AH23</f>
        <v>703.61999999999989</v>
      </c>
      <c r="AI24" s="2">
        <f t="shared" ref="AI24:AR24" si="38">+AI22-AI23</f>
        <v>1392.5699999999997</v>
      </c>
      <c r="AJ24" s="2">
        <f t="shared" si="38"/>
        <v>1145.5919999999999</v>
      </c>
      <c r="AK24" s="2">
        <f t="shared" si="38"/>
        <v>1019.646</v>
      </c>
      <c r="AL24" s="2">
        <f t="shared" si="38"/>
        <v>924.92279999999994</v>
      </c>
      <c r="AM24" s="2">
        <f t="shared" si="38"/>
        <v>855.05180760000019</v>
      </c>
      <c r="AN24" s="2">
        <f t="shared" si="38"/>
        <v>803.31022803600001</v>
      </c>
      <c r="AO24" s="2">
        <f t="shared" si="38"/>
        <v>760.17292815636006</v>
      </c>
      <c r="AP24" s="2">
        <f t="shared" si="38"/>
        <v>727.92534500352372</v>
      </c>
      <c r="AQ24" s="2">
        <f t="shared" si="38"/>
        <v>704.4536864409589</v>
      </c>
      <c r="AR24" s="2">
        <f t="shared" si="38"/>
        <v>688.08355176228247</v>
      </c>
      <c r="AS24" s="2">
        <f>+AR24*(1+$AU$30)</f>
        <v>653.67937417416829</v>
      </c>
      <c r="AT24" s="2">
        <f t="shared" ref="AT24:DE24" si="39">+AS24*(1+$AU$30)</f>
        <v>620.99540546545984</v>
      </c>
      <c r="AU24" s="2">
        <f t="shared" si="39"/>
        <v>589.94563519218684</v>
      </c>
      <c r="AV24" s="2">
        <f t="shared" si="39"/>
        <v>560.44835343257751</v>
      </c>
      <c r="AW24" s="2">
        <f t="shared" si="39"/>
        <v>532.42593576094862</v>
      </c>
      <c r="AX24" s="2">
        <f t="shared" si="39"/>
        <v>505.80463897290116</v>
      </c>
      <c r="AY24" s="2">
        <f t="shared" si="39"/>
        <v>480.51440702425606</v>
      </c>
      <c r="AZ24" s="2">
        <f t="shared" si="39"/>
        <v>456.48868667304322</v>
      </c>
      <c r="BA24" s="2">
        <f t="shared" si="39"/>
        <v>433.66425233939106</v>
      </c>
      <c r="BB24" s="2">
        <f t="shared" si="39"/>
        <v>411.98103972242149</v>
      </c>
      <c r="BC24" s="2">
        <f t="shared" si="39"/>
        <v>391.3819877363004</v>
      </c>
      <c r="BD24" s="2">
        <f t="shared" si="39"/>
        <v>371.81288834948538</v>
      </c>
      <c r="BE24" s="2">
        <f t="shared" si="39"/>
        <v>353.22224393201111</v>
      </c>
      <c r="BF24" s="2">
        <f t="shared" si="39"/>
        <v>335.56113173541053</v>
      </c>
      <c r="BG24" s="2">
        <f t="shared" si="39"/>
        <v>318.78307514863997</v>
      </c>
      <c r="BH24" s="2">
        <f t="shared" si="39"/>
        <v>302.84392139120797</v>
      </c>
      <c r="BI24" s="2">
        <f t="shared" si="39"/>
        <v>287.70172532164759</v>
      </c>
      <c r="BJ24" s="2">
        <f t="shared" si="39"/>
        <v>273.31663905556519</v>
      </c>
      <c r="BK24" s="2">
        <f t="shared" si="39"/>
        <v>259.65080710278693</v>
      </c>
      <c r="BL24" s="2">
        <f t="shared" si="39"/>
        <v>246.66826674764758</v>
      </c>
      <c r="BM24" s="2">
        <f t="shared" si="39"/>
        <v>234.3348534102652</v>
      </c>
      <c r="BN24" s="2">
        <f t="shared" si="39"/>
        <v>222.61811073975193</v>
      </c>
      <c r="BO24" s="2">
        <f t="shared" si="39"/>
        <v>211.48720520276433</v>
      </c>
      <c r="BP24" s="2">
        <f t="shared" si="39"/>
        <v>200.91284494262609</v>
      </c>
      <c r="BQ24" s="2">
        <f t="shared" si="39"/>
        <v>190.86720269549477</v>
      </c>
      <c r="BR24" s="2">
        <f t="shared" si="39"/>
        <v>181.32384256072001</v>
      </c>
      <c r="BS24" s="2">
        <f t="shared" si="39"/>
        <v>172.25765043268399</v>
      </c>
      <c r="BT24" s="2">
        <f t="shared" si="39"/>
        <v>163.64476791104977</v>
      </c>
      <c r="BU24" s="2">
        <f t="shared" si="39"/>
        <v>155.46252951549727</v>
      </c>
      <c r="BV24" s="2">
        <f t="shared" si="39"/>
        <v>147.68940303972241</v>
      </c>
      <c r="BW24" s="2">
        <f t="shared" si="39"/>
        <v>140.30493288773627</v>
      </c>
      <c r="BX24" s="2">
        <f t="shared" si="39"/>
        <v>133.28968624334945</v>
      </c>
      <c r="BY24" s="2">
        <f t="shared" si="39"/>
        <v>126.62520193118198</v>
      </c>
      <c r="BZ24" s="2">
        <f t="shared" si="39"/>
        <v>120.29394183462287</v>
      </c>
      <c r="CA24" s="2">
        <f t="shared" si="39"/>
        <v>114.27924474289172</v>
      </c>
      <c r="CB24" s="2">
        <f t="shared" si="39"/>
        <v>108.56528250574713</v>
      </c>
      <c r="CC24" s="2">
        <f t="shared" si="39"/>
        <v>103.13701838045978</v>
      </c>
      <c r="CD24" s="2">
        <f t="shared" si="39"/>
        <v>97.980167461436778</v>
      </c>
      <c r="CE24" s="2">
        <f t="shared" si="39"/>
        <v>93.081159088364942</v>
      </c>
      <c r="CF24" s="2">
        <f t="shared" si="39"/>
        <v>88.427101133946692</v>
      </c>
      <c r="CG24" s="2">
        <f t="shared" si="39"/>
        <v>84.005746077249356</v>
      </c>
      <c r="CH24" s="2">
        <f t="shared" si="39"/>
        <v>79.805458773386889</v>
      </c>
      <c r="CI24" s="2">
        <f t="shared" si="39"/>
        <v>75.815185834717539</v>
      </c>
      <c r="CJ24" s="2">
        <f t="shared" si="39"/>
        <v>72.024426542981658</v>
      </c>
      <c r="CK24" s="2">
        <f t="shared" si="39"/>
        <v>68.423205215832567</v>
      </c>
      <c r="CL24" s="2">
        <f t="shared" si="39"/>
        <v>65.00204495504093</v>
      </c>
      <c r="CM24" s="2">
        <f t="shared" si="39"/>
        <v>61.751942707288883</v>
      </c>
      <c r="CN24" s="2">
        <f t="shared" si="39"/>
        <v>58.664345571924436</v>
      </c>
      <c r="CO24" s="2">
        <f t="shared" si="39"/>
        <v>55.731128293328211</v>
      </c>
      <c r="CP24" s="2">
        <f t="shared" si="39"/>
        <v>52.944571878661797</v>
      </c>
      <c r="CQ24" s="2">
        <f t="shared" si="39"/>
        <v>50.297343284728704</v>
      </c>
      <c r="CR24" s="2">
        <f t="shared" si="39"/>
        <v>47.782476120492269</v>
      </c>
      <c r="CS24" s="2">
        <f t="shared" si="39"/>
        <v>45.393352314467656</v>
      </c>
      <c r="CT24" s="2">
        <f t="shared" si="39"/>
        <v>43.12368469874427</v>
      </c>
      <c r="CU24" s="2">
        <f t="shared" si="39"/>
        <v>40.967500463807056</v>
      </c>
      <c r="CV24" s="2">
        <f t="shared" si="39"/>
        <v>38.919125440616703</v>
      </c>
      <c r="CW24" s="2">
        <f t="shared" si="39"/>
        <v>36.973169168585869</v>
      </c>
      <c r="CX24" s="2">
        <f t="shared" si="39"/>
        <v>35.124510710156571</v>
      </c>
      <c r="CY24" s="2">
        <f t="shared" si="39"/>
        <v>33.36828517464874</v>
      </c>
      <c r="CZ24" s="2">
        <f t="shared" si="39"/>
        <v>31.6998709159163</v>
      </c>
      <c r="DA24" s="2">
        <f t="shared" si="39"/>
        <v>30.114877370120485</v>
      </c>
      <c r="DB24" s="2">
        <f t="shared" si="39"/>
        <v>28.609133501614458</v>
      </c>
      <c r="DC24" s="2">
        <f t="shared" si="39"/>
        <v>27.178676826533735</v>
      </c>
      <c r="DD24" s="2">
        <f t="shared" si="39"/>
        <v>25.819742985207046</v>
      </c>
      <c r="DE24" s="2">
        <f t="shared" si="39"/>
        <v>24.528755835946694</v>
      </c>
      <c r="DF24" s="2">
        <f t="shared" ref="DF24:EI24" si="40">+DE24*(1+$AU$30)</f>
        <v>23.302318044149359</v>
      </c>
      <c r="DG24" s="2">
        <f t="shared" si="40"/>
        <v>22.137202141941891</v>
      </c>
      <c r="DH24" s="2">
        <f t="shared" si="40"/>
        <v>21.030342034844796</v>
      </c>
      <c r="DI24" s="2">
        <f t="shared" si="40"/>
        <v>19.978824933102555</v>
      </c>
      <c r="DJ24" s="2">
        <f t="shared" si="40"/>
        <v>18.979883686447426</v>
      </c>
      <c r="DK24" s="2">
        <f t="shared" si="40"/>
        <v>18.030889502125053</v>
      </c>
      <c r="DL24" s="2">
        <f t="shared" si="40"/>
        <v>17.1293450270188</v>
      </c>
      <c r="DM24" s="2">
        <f t="shared" si="40"/>
        <v>16.272877775667858</v>
      </c>
      <c r="DN24" s="2">
        <f t="shared" si="40"/>
        <v>15.459233886884464</v>
      </c>
      <c r="DO24" s="2">
        <f t="shared" si="40"/>
        <v>14.68627219254024</v>
      </c>
      <c r="DP24" s="2">
        <f t="shared" si="40"/>
        <v>13.951958582913228</v>
      </c>
      <c r="DQ24" s="2">
        <f t="shared" si="40"/>
        <v>13.254360653767566</v>
      </c>
      <c r="DR24" s="2">
        <f t="shared" si="40"/>
        <v>12.591642621079188</v>
      </c>
      <c r="DS24" s="2">
        <f t="shared" si="40"/>
        <v>11.962060490025229</v>
      </c>
      <c r="DT24" s="2">
        <f t="shared" si="40"/>
        <v>11.363957465523967</v>
      </c>
      <c r="DU24" s="2">
        <f t="shared" si="40"/>
        <v>10.795759592247768</v>
      </c>
      <c r="DV24" s="2">
        <f t="shared" si="40"/>
        <v>10.255971612635379</v>
      </c>
      <c r="DW24" s="2">
        <f t="shared" si="40"/>
        <v>9.7431730320036092</v>
      </c>
      <c r="DX24" s="2">
        <f t="shared" si="40"/>
        <v>9.2560143804034283</v>
      </c>
      <c r="DY24" s="2">
        <f t="shared" si="40"/>
        <v>8.7932136613832572</v>
      </c>
      <c r="DZ24" s="2">
        <f t="shared" si="40"/>
        <v>8.3535529783140934</v>
      </c>
      <c r="EA24" s="2">
        <f t="shared" si="40"/>
        <v>7.9358753293983879</v>
      </c>
      <c r="EB24" s="2">
        <f t="shared" si="40"/>
        <v>7.5390815629284678</v>
      </c>
      <c r="EC24" s="2">
        <f t="shared" si="40"/>
        <v>7.1621274847820438</v>
      </c>
      <c r="ED24" s="2">
        <f t="shared" si="40"/>
        <v>6.8040211105429416</v>
      </c>
      <c r="EE24" s="2">
        <f t="shared" si="40"/>
        <v>6.4638200550157938</v>
      </c>
      <c r="EF24" s="2">
        <f t="shared" si="40"/>
        <v>6.1406290522650036</v>
      </c>
      <c r="EG24" s="2">
        <f t="shared" si="40"/>
        <v>5.8335975996517533</v>
      </c>
      <c r="EH24" s="2">
        <f t="shared" si="40"/>
        <v>5.5419177196691658</v>
      </c>
      <c r="EI24" s="2">
        <f t="shared" si="40"/>
        <v>5.2648218336857076</v>
      </c>
    </row>
    <row r="25" spans="2:139" x14ac:dyDescent="0.25">
      <c r="B25" t="s">
        <v>27</v>
      </c>
      <c r="E25" s="6">
        <f t="shared" ref="E25:L25" si="41">+E24/E26</f>
        <v>-0.58987341772151902</v>
      </c>
      <c r="F25" s="6">
        <f t="shared" si="41"/>
        <v>-0.68513853904282118</v>
      </c>
      <c r="G25" s="6">
        <f t="shared" si="41"/>
        <v>2.8395348837209302</v>
      </c>
      <c r="H25" s="6">
        <f t="shared" si="41"/>
        <v>6.4501160092807428</v>
      </c>
      <c r="I25" s="6">
        <f t="shared" si="41"/>
        <v>7.6797235023041477</v>
      </c>
      <c r="J25" s="6">
        <f t="shared" si="41"/>
        <v>11.294663573085847</v>
      </c>
      <c r="K25" s="6">
        <f t="shared" si="41"/>
        <v>8.5845070422535219</v>
      </c>
      <c r="L25" s="6">
        <f t="shared" si="41"/>
        <v>5.2434367541766109</v>
      </c>
      <c r="M25" s="6">
        <f t="shared" ref="M25:S25" si="42">+M24/M26</f>
        <v>2.5315533980582523</v>
      </c>
      <c r="N25" s="6">
        <f t="shared" si="42"/>
        <v>3.617283950617284</v>
      </c>
      <c r="O25" s="6">
        <f t="shared" si="42"/>
        <v>0.19506172839506172</v>
      </c>
      <c r="P25" s="6">
        <f t="shared" si="42"/>
        <v>-3.622047244094488</v>
      </c>
      <c r="Q25" s="6">
        <f t="shared" si="42"/>
        <v>-9.5275590551181111</v>
      </c>
      <c r="R25" s="6">
        <f t="shared" si="42"/>
        <v>0.54936708860759498</v>
      </c>
      <c r="S25" s="6">
        <f t="shared" si="42"/>
        <v>-3.075916230366492</v>
      </c>
      <c r="T25" s="6">
        <f>+T24/T26</f>
        <v>-3.3307291666666665</v>
      </c>
      <c r="U25" s="6">
        <f>+U24/U26</f>
        <v>3.2581453634085211E-2</v>
      </c>
      <c r="V25" s="6">
        <f>+V24/V26</f>
        <v>-2.9090909090909092</v>
      </c>
      <c r="AH25" s="20">
        <f>+AH24/AH26</f>
        <v>1.8157935483870964</v>
      </c>
      <c r="AI25" s="20">
        <f t="shared" ref="AI25:AR25" si="43">+AI24/AI26</f>
        <v>3.5937290322580639</v>
      </c>
      <c r="AJ25" s="20">
        <f t="shared" si="43"/>
        <v>2.9563664516129027</v>
      </c>
      <c r="AK25" s="20">
        <f t="shared" si="43"/>
        <v>2.6313445161290323</v>
      </c>
      <c r="AL25" s="20">
        <f t="shared" si="43"/>
        <v>2.3868975483870964</v>
      </c>
      <c r="AM25" s="20">
        <f t="shared" si="43"/>
        <v>2.2065853099354844</v>
      </c>
      <c r="AN25" s="20">
        <f t="shared" si="43"/>
        <v>2.0730586529961292</v>
      </c>
      <c r="AO25" s="20">
        <f t="shared" si="43"/>
        <v>1.9617365887906066</v>
      </c>
      <c r="AP25" s="20">
        <f t="shared" si="43"/>
        <v>1.8785170193639322</v>
      </c>
      <c r="AQ25" s="20">
        <f t="shared" si="43"/>
        <v>1.8179449972669908</v>
      </c>
      <c r="AR25" s="20">
        <f t="shared" si="43"/>
        <v>1.7756994884187935</v>
      </c>
    </row>
    <row r="26" spans="2:139" x14ac:dyDescent="0.25">
      <c r="B26" t="s">
        <v>1</v>
      </c>
      <c r="E26" s="1">
        <v>395</v>
      </c>
      <c r="F26" s="1">
        <v>397</v>
      </c>
      <c r="G26" s="1">
        <v>430</v>
      </c>
      <c r="H26" s="1">
        <v>431</v>
      </c>
      <c r="I26" s="1">
        <v>434</v>
      </c>
      <c r="J26" s="1">
        <v>431</v>
      </c>
      <c r="K26" s="1">
        <v>426</v>
      </c>
      <c r="L26" s="1">
        <v>419</v>
      </c>
      <c r="M26" s="1">
        <v>412</v>
      </c>
      <c r="N26" s="1">
        <v>405</v>
      </c>
      <c r="O26" s="1">
        <v>405</v>
      </c>
      <c r="P26" s="1">
        <v>381</v>
      </c>
      <c r="Q26" s="1">
        <v>381</v>
      </c>
      <c r="R26" s="1">
        <v>395</v>
      </c>
      <c r="S26" s="1">
        <v>382</v>
      </c>
      <c r="T26" s="1">
        <v>384</v>
      </c>
      <c r="U26" s="1">
        <v>399</v>
      </c>
      <c r="V26" s="1">
        <v>385</v>
      </c>
      <c r="AH26" s="2">
        <f>AVERAGE(S26:V26)</f>
        <v>387.5</v>
      </c>
      <c r="AI26" s="2">
        <f>+AH26</f>
        <v>387.5</v>
      </c>
      <c r="AJ26" s="2">
        <f>+AI26</f>
        <v>387.5</v>
      </c>
      <c r="AK26" s="2">
        <f t="shared" ref="AK26:AR26" si="44">+AJ26</f>
        <v>387.5</v>
      </c>
      <c r="AL26" s="2">
        <f t="shared" si="44"/>
        <v>387.5</v>
      </c>
      <c r="AM26" s="2">
        <f t="shared" si="44"/>
        <v>387.5</v>
      </c>
      <c r="AN26" s="2">
        <f t="shared" si="44"/>
        <v>387.5</v>
      </c>
      <c r="AO26" s="2">
        <f t="shared" si="44"/>
        <v>387.5</v>
      </c>
      <c r="AP26" s="2">
        <f t="shared" si="44"/>
        <v>387.5</v>
      </c>
      <c r="AQ26" s="2">
        <f t="shared" si="44"/>
        <v>387.5</v>
      </c>
      <c r="AR26" s="2">
        <f t="shared" si="44"/>
        <v>387.5</v>
      </c>
    </row>
    <row r="28" spans="2:139" x14ac:dyDescent="0.25">
      <c r="B28" t="s">
        <v>106</v>
      </c>
      <c r="E28" s="17">
        <f>E16/E14</f>
        <v>1</v>
      </c>
      <c r="F28" s="17">
        <f t="shared" ref="F28:R28" si="45">F16/F14</f>
        <v>0.98598949211908937</v>
      </c>
      <c r="G28" s="17">
        <f t="shared" si="45"/>
        <v>0.90036138358286011</v>
      </c>
      <c r="H28" s="17">
        <f t="shared" si="45"/>
        <v>0.82774460266421679</v>
      </c>
      <c r="I28" s="17">
        <f t="shared" si="45"/>
        <v>0.85469913463473535</v>
      </c>
      <c r="J28" s="17">
        <f t="shared" si="45"/>
        <v>0.86797947580085977</v>
      </c>
      <c r="K28" s="17">
        <f t="shared" si="45"/>
        <v>0.83234421364985167</v>
      </c>
      <c r="L28" s="17">
        <f t="shared" si="45"/>
        <v>0.7092019372499474</v>
      </c>
      <c r="M28" s="17">
        <f t="shared" si="45"/>
        <v>0.67300832342449468</v>
      </c>
      <c r="N28" s="17">
        <f t="shared" si="45"/>
        <v>0.62273800157356407</v>
      </c>
      <c r="O28" s="17">
        <f t="shared" si="45"/>
        <v>0.57465091299677762</v>
      </c>
      <c r="P28" s="17">
        <f t="shared" si="45"/>
        <v>-1.125</v>
      </c>
      <c r="Q28" s="17">
        <f t="shared" si="45"/>
        <v>-0.2239213544511196</v>
      </c>
      <c r="R28" s="17">
        <f t="shared" si="45"/>
        <v>0.66951262895766628</v>
      </c>
      <c r="S28" s="17">
        <f t="shared" ref="S28:V28" si="46">S16/S14</f>
        <v>0.42514970059880242</v>
      </c>
      <c r="T28" s="17">
        <f t="shared" si="46"/>
        <v>0.52282157676348551</v>
      </c>
      <c r="U28" s="17">
        <f t="shared" si="46"/>
        <v>0.72395273899033297</v>
      </c>
      <c r="V28" s="17">
        <f t="shared" si="46"/>
        <v>0.2349896480331263</v>
      </c>
      <c r="AT28" t="s">
        <v>156</v>
      </c>
      <c r="AU28" s="18">
        <v>0.09</v>
      </c>
    </row>
    <row r="29" spans="2:139" x14ac:dyDescent="0.25">
      <c r="B29" s="18" t="s">
        <v>107</v>
      </c>
      <c r="E29" s="17">
        <f>E23/E22</f>
        <v>-4.3103448275862068E-3</v>
      </c>
      <c r="F29" s="17">
        <f t="shared" ref="F29:R29" si="47">F23/F22</f>
        <v>-3.6900369003690036E-3</v>
      </c>
      <c r="G29" s="17">
        <f t="shared" si="47"/>
        <v>3.0952380952380953E-2</v>
      </c>
      <c r="H29" s="17">
        <f t="shared" si="47"/>
        <v>9.2393078681031665E-2</v>
      </c>
      <c r="I29" s="17">
        <f t="shared" si="47"/>
        <v>6.1655405405405407E-2</v>
      </c>
      <c r="J29" s="17">
        <f t="shared" si="47"/>
        <v>0.10018484288354898</v>
      </c>
      <c r="K29" s="17">
        <f t="shared" si="47"/>
        <v>0.13525656183494916</v>
      </c>
      <c r="L29" s="17">
        <f t="shared" si="47"/>
        <v>0.11196443007275667</v>
      </c>
      <c r="M29" s="17">
        <f t="shared" si="47"/>
        <v>0.142974527526705</v>
      </c>
      <c r="N29" s="17">
        <f t="shared" si="47"/>
        <v>0.11480362537764351</v>
      </c>
      <c r="O29" s="17">
        <f t="shared" si="47"/>
        <v>1.2590163934426231</v>
      </c>
      <c r="P29" s="17">
        <f t="shared" si="47"/>
        <v>0.21097770154373929</v>
      </c>
      <c r="Q29" s="17">
        <f t="shared" si="47"/>
        <v>-0.8539325842696629</v>
      </c>
      <c r="R29" s="17">
        <f t="shared" si="47"/>
        <v>-2.1</v>
      </c>
      <c r="S29" s="17">
        <f t="shared" ref="S29:V29" si="48">S23/S22</f>
        <v>-8.5836909871244635E-3</v>
      </c>
      <c r="T29" s="17">
        <f t="shared" si="48"/>
        <v>0</v>
      </c>
      <c r="U29" s="17">
        <f t="shared" si="48"/>
        <v>0.38095238095238093</v>
      </c>
      <c r="V29" s="17">
        <f t="shared" si="48"/>
        <v>5.4054054054054057E-2</v>
      </c>
      <c r="AT29" t="s">
        <v>157</v>
      </c>
      <c r="AU29" s="18">
        <v>0.01</v>
      </c>
    </row>
    <row r="30" spans="2:139" x14ac:dyDescent="0.25">
      <c r="AT30" t="s">
        <v>158</v>
      </c>
      <c r="AU30" s="18">
        <v>-0.05</v>
      </c>
    </row>
    <row r="31" spans="2:139" x14ac:dyDescent="0.25">
      <c r="AT31" t="s">
        <v>159</v>
      </c>
      <c r="AU31" s="2">
        <f>NPV(AU28,AH24:EI24)+Main!K5</f>
        <v>17584.312106225829</v>
      </c>
    </row>
    <row r="32" spans="2:139" s="2" customFormat="1" x14ac:dyDescent="0.25">
      <c r="B32" s="2" t="s">
        <v>3</v>
      </c>
      <c r="C32" s="3"/>
      <c r="D32" s="3"/>
      <c r="E32" s="3"/>
      <c r="F32" s="3"/>
      <c r="G32" s="3"/>
      <c r="H32" s="3"/>
      <c r="I32" s="3"/>
      <c r="J32" s="3"/>
      <c r="K32" s="3">
        <f>5048+5067+9171+12</f>
        <v>19298</v>
      </c>
      <c r="L32" s="3">
        <f>2873+5024+10162+12</f>
        <v>18071</v>
      </c>
      <c r="M32" s="3">
        <f>3027+5321+8655+14</f>
        <v>17017</v>
      </c>
      <c r="N32" s="3"/>
      <c r="T32" s="2">
        <f>2478+6010+2326</f>
        <v>10814</v>
      </c>
      <c r="U32" s="2">
        <f>1644+5223+2335</f>
        <v>9202</v>
      </c>
      <c r="V32" s="2">
        <f>1927+5098+2494</f>
        <v>9519</v>
      </c>
      <c r="AT32" s="2" t="s">
        <v>160</v>
      </c>
      <c r="AU32" s="20">
        <f>+AU31/Main!K3</f>
        <v>45.695161719595738</v>
      </c>
    </row>
    <row r="33" spans="2:22" s="2" customFormat="1" x14ac:dyDescent="0.25">
      <c r="B33" s="2" t="s">
        <v>39</v>
      </c>
      <c r="C33" s="3"/>
      <c r="D33" s="3"/>
      <c r="E33" s="3"/>
      <c r="F33" s="3"/>
      <c r="G33" s="3"/>
      <c r="H33" s="3"/>
      <c r="I33" s="3"/>
      <c r="J33" s="3"/>
      <c r="K33" s="3">
        <v>3173</v>
      </c>
      <c r="L33" s="3">
        <v>2691</v>
      </c>
      <c r="M33" s="3">
        <v>2695</v>
      </c>
      <c r="N33" s="3"/>
      <c r="T33" s="2">
        <v>163</v>
      </c>
      <c r="U33" s="2">
        <v>1564</v>
      </c>
      <c r="V33" s="2">
        <v>358</v>
      </c>
    </row>
    <row r="34" spans="2:22" s="2" customFormat="1" x14ac:dyDescent="0.25">
      <c r="B34" s="2" t="s">
        <v>40</v>
      </c>
      <c r="C34" s="3"/>
      <c r="D34" s="3"/>
      <c r="E34" s="3"/>
      <c r="F34" s="3"/>
      <c r="G34" s="3"/>
      <c r="H34" s="3"/>
      <c r="I34" s="3"/>
      <c r="J34" s="3"/>
      <c r="K34" s="3">
        <v>1942</v>
      </c>
      <c r="L34" s="3">
        <v>1921</v>
      </c>
      <c r="M34" s="3">
        <v>2077</v>
      </c>
      <c r="N34" s="3"/>
      <c r="T34" s="2">
        <v>399</v>
      </c>
      <c r="U34" s="2">
        <v>412</v>
      </c>
      <c r="V34" s="2">
        <v>117</v>
      </c>
    </row>
    <row r="35" spans="2:22" s="2" customFormat="1" x14ac:dyDescent="0.25">
      <c r="B35" s="2" t="s">
        <v>41</v>
      </c>
      <c r="C35" s="3"/>
      <c r="D35" s="3"/>
      <c r="E35" s="3"/>
      <c r="F35" s="3"/>
      <c r="G35" s="3"/>
      <c r="H35" s="3"/>
      <c r="I35" s="3"/>
      <c r="J35" s="3"/>
      <c r="K35" s="3">
        <v>1120</v>
      </c>
      <c r="L35" s="3">
        <v>1054</v>
      </c>
      <c r="M35" s="3">
        <v>1177</v>
      </c>
      <c r="N35" s="3"/>
      <c r="T35" s="2">
        <v>611</v>
      </c>
      <c r="U35" s="2">
        <v>823</v>
      </c>
      <c r="V35" s="2">
        <v>599</v>
      </c>
    </row>
    <row r="36" spans="2:22" s="2" customFormat="1" x14ac:dyDescent="0.25">
      <c r="B36" s="2" t="s">
        <v>42</v>
      </c>
      <c r="C36" s="3"/>
      <c r="D36" s="3"/>
      <c r="E36" s="3"/>
      <c r="F36" s="3"/>
      <c r="G36" s="3"/>
      <c r="H36" s="3"/>
      <c r="I36" s="3"/>
      <c r="J36" s="3"/>
      <c r="K36" s="3">
        <v>1341</v>
      </c>
      <c r="L36" s="3">
        <v>1324</v>
      </c>
      <c r="M36" s="3">
        <v>2019</v>
      </c>
      <c r="N36" s="3"/>
      <c r="T36" s="2">
        <v>2196</v>
      </c>
      <c r="U36" s="2">
        <v>2381</v>
      </c>
      <c r="V36" s="2">
        <v>2196</v>
      </c>
    </row>
    <row r="37" spans="2:22" s="2" customFormat="1" x14ac:dyDescent="0.25">
      <c r="B37" s="2" t="s">
        <v>43</v>
      </c>
      <c r="C37" s="3"/>
      <c r="D37" s="3"/>
      <c r="E37" s="3"/>
      <c r="F37" s="3"/>
      <c r="G37" s="3"/>
      <c r="H37" s="3"/>
      <c r="I37" s="3"/>
      <c r="J37" s="3"/>
      <c r="K37" s="3">
        <v>132</v>
      </c>
      <c r="L37" s="3">
        <v>122</v>
      </c>
      <c r="M37" s="3">
        <v>113</v>
      </c>
      <c r="N37" s="3"/>
      <c r="T37" s="2">
        <v>775</v>
      </c>
      <c r="U37" s="2">
        <v>784</v>
      </c>
      <c r="V37" s="2">
        <v>759</v>
      </c>
    </row>
    <row r="38" spans="2:22" s="2" customFormat="1" x14ac:dyDescent="0.25">
      <c r="B38" s="2" t="s">
        <v>44</v>
      </c>
      <c r="C38" s="3"/>
      <c r="D38" s="3"/>
      <c r="E38" s="3"/>
      <c r="F38" s="3"/>
      <c r="G38" s="3"/>
      <c r="H38" s="3"/>
      <c r="I38" s="3"/>
      <c r="J38" s="3"/>
      <c r="K38" s="3">
        <v>521</v>
      </c>
      <c r="L38" s="3">
        <v>785</v>
      </c>
      <c r="M38" s="3">
        <v>920</v>
      </c>
      <c r="N38" s="3"/>
      <c r="T38" s="2">
        <v>81</v>
      </c>
      <c r="U38" s="2">
        <v>81</v>
      </c>
      <c r="V38" s="2">
        <v>0</v>
      </c>
    </row>
    <row r="39" spans="2:22" s="2" customFormat="1" x14ac:dyDescent="0.25">
      <c r="B39" s="2" t="s">
        <v>45</v>
      </c>
      <c r="C39" s="3"/>
      <c r="D39" s="3"/>
      <c r="E39" s="3"/>
      <c r="F39" s="3"/>
      <c r="G39" s="3"/>
      <c r="H39" s="3"/>
      <c r="I39" s="3"/>
      <c r="J39" s="3"/>
      <c r="K39" s="3">
        <v>82</v>
      </c>
      <c r="L39" s="3">
        <v>75</v>
      </c>
      <c r="M39" s="3">
        <v>38</v>
      </c>
      <c r="N39" s="3"/>
      <c r="T39" s="2">
        <v>641</v>
      </c>
      <c r="U39" s="2">
        <v>556</v>
      </c>
      <c r="V39" s="2">
        <v>594</v>
      </c>
    </row>
    <row r="40" spans="2:22" s="2" customFormat="1" x14ac:dyDescent="0.25">
      <c r="B40" s="2" t="s">
        <v>38</v>
      </c>
      <c r="C40" s="3"/>
      <c r="D40" s="3"/>
      <c r="E40" s="3"/>
      <c r="F40" s="3"/>
      <c r="G40" s="3"/>
      <c r="H40" s="3"/>
      <c r="I40" s="3"/>
      <c r="J40" s="3"/>
      <c r="K40" s="3">
        <f>SUM(K32:K39)</f>
        <v>27609</v>
      </c>
      <c r="L40" s="3">
        <f>SUM(L32:L39)</f>
        <v>26043</v>
      </c>
      <c r="M40" s="3">
        <f>SUM(M32:M39)</f>
        <v>26056</v>
      </c>
      <c r="N40" s="3"/>
      <c r="T40" s="2">
        <f>SUM(T32:T39)</f>
        <v>15680</v>
      </c>
      <c r="U40" s="2">
        <f>SUM(U32:U39)</f>
        <v>15803</v>
      </c>
      <c r="V40" s="2">
        <f>SUM(V32:V39)</f>
        <v>14142</v>
      </c>
    </row>
    <row r="42" spans="2:22" s="2" customFormat="1" x14ac:dyDescent="0.25">
      <c r="B42" s="2" t="s">
        <v>46</v>
      </c>
      <c r="C42" s="3"/>
      <c r="D42" s="3"/>
      <c r="E42" s="3"/>
      <c r="F42" s="3"/>
      <c r="G42" s="3"/>
      <c r="H42" s="3"/>
      <c r="I42" s="3"/>
      <c r="J42" s="3"/>
      <c r="K42" s="3">
        <v>199</v>
      </c>
      <c r="L42" s="3">
        <v>181</v>
      </c>
      <c r="M42" s="3">
        <v>330</v>
      </c>
      <c r="N42" s="3"/>
      <c r="T42" s="2">
        <v>279</v>
      </c>
      <c r="U42" s="2">
        <v>373</v>
      </c>
      <c r="V42" s="2">
        <v>405</v>
      </c>
    </row>
    <row r="43" spans="2:22" s="2" customFormat="1" x14ac:dyDescent="0.25">
      <c r="B43" s="2" t="s">
        <v>47</v>
      </c>
      <c r="C43" s="3"/>
      <c r="D43" s="3"/>
      <c r="E43" s="3"/>
      <c r="F43" s="3"/>
      <c r="G43" s="3"/>
      <c r="H43" s="3"/>
      <c r="I43" s="3"/>
      <c r="J43" s="3"/>
      <c r="K43" s="3">
        <v>1608</v>
      </c>
      <c r="L43" s="3">
        <v>1780</v>
      </c>
      <c r="M43" s="3">
        <v>1856</v>
      </c>
      <c r="N43" s="3"/>
      <c r="T43" s="2">
        <v>1333</v>
      </c>
      <c r="U43" s="2">
        <v>1376</v>
      </c>
      <c r="V43" s="2">
        <v>1427</v>
      </c>
    </row>
    <row r="44" spans="2:22" s="2" customFormat="1" x14ac:dyDescent="0.25">
      <c r="B44" s="2" t="s">
        <v>48</v>
      </c>
      <c r="C44" s="3"/>
      <c r="D44" s="3"/>
      <c r="E44" s="3"/>
      <c r="F44" s="3"/>
      <c r="G44" s="3"/>
      <c r="H44" s="3"/>
      <c r="I44" s="3"/>
      <c r="J44" s="3"/>
      <c r="K44" s="3">
        <f>5599+464</f>
        <v>6063</v>
      </c>
      <c r="L44" s="3">
        <f>4093+405</f>
        <v>4498</v>
      </c>
      <c r="M44" s="3">
        <f>175+4002</f>
        <v>4177</v>
      </c>
      <c r="N44" s="3"/>
      <c r="T44" s="2">
        <f>702+95</f>
        <v>797</v>
      </c>
      <c r="U44" s="2">
        <f>379+95</f>
        <v>474</v>
      </c>
      <c r="V44" s="2">
        <f>153+58</f>
        <v>211</v>
      </c>
    </row>
    <row r="45" spans="2:22" s="2" customFormat="1" x14ac:dyDescent="0.25">
      <c r="B45" s="2" t="s">
        <v>29</v>
      </c>
      <c r="C45" s="3"/>
      <c r="D45" s="3"/>
      <c r="E45" s="3"/>
      <c r="F45" s="3"/>
      <c r="G45" s="3"/>
      <c r="H45" s="3"/>
      <c r="I45" s="3"/>
      <c r="J45" s="3"/>
      <c r="K45" s="3">
        <v>1592</v>
      </c>
      <c r="L45" s="3">
        <v>349</v>
      </c>
      <c r="M45" s="3">
        <v>66</v>
      </c>
      <c r="N45" s="3"/>
      <c r="T45" s="2">
        <v>7</v>
      </c>
      <c r="U45" s="2">
        <v>4</v>
      </c>
      <c r="V45" s="2">
        <v>0</v>
      </c>
    </row>
    <row r="46" spans="2:22" s="2" customFormat="1" x14ac:dyDescent="0.25">
      <c r="B46" s="2" t="s">
        <v>49</v>
      </c>
      <c r="C46" s="3"/>
      <c r="D46" s="3"/>
      <c r="E46" s="3"/>
      <c r="F46" s="3"/>
      <c r="G46" s="3"/>
      <c r="H46" s="3"/>
      <c r="I46" s="3"/>
      <c r="J46" s="3"/>
      <c r="K46" s="3">
        <v>240</v>
      </c>
      <c r="L46" s="3">
        <v>409</v>
      </c>
      <c r="M46" s="3">
        <v>553</v>
      </c>
      <c r="N46" s="3"/>
      <c r="T46" s="2">
        <v>42</v>
      </c>
      <c r="U46" s="2">
        <v>69</v>
      </c>
      <c r="V46" s="2">
        <v>221</v>
      </c>
    </row>
    <row r="47" spans="2:22" s="2" customFormat="1" x14ac:dyDescent="0.25">
      <c r="B47" s="2" t="s">
        <v>50</v>
      </c>
      <c r="C47" s="3"/>
      <c r="D47" s="3"/>
      <c r="E47" s="3"/>
      <c r="F47" s="3"/>
      <c r="G47" s="3"/>
      <c r="H47" s="3"/>
      <c r="I47" s="3"/>
      <c r="J47" s="3"/>
      <c r="K47" s="3">
        <v>95</v>
      </c>
      <c r="L47" s="3">
        <v>87</v>
      </c>
      <c r="M47" s="3">
        <v>79</v>
      </c>
      <c r="N47" s="3"/>
      <c r="T47" s="2">
        <v>668</v>
      </c>
      <c r="U47" s="2">
        <f>679+625</f>
        <v>1304</v>
      </c>
      <c r="V47" s="2">
        <f>671+39</f>
        <v>710</v>
      </c>
    </row>
    <row r="48" spans="2:22" s="2" customFormat="1" x14ac:dyDescent="0.25">
      <c r="B48" s="2" t="s">
        <v>51</v>
      </c>
      <c r="C48" s="3"/>
      <c r="D48" s="3"/>
      <c r="E48" s="3"/>
      <c r="F48" s="3"/>
      <c r="G48" s="3"/>
      <c r="H48" s="3"/>
      <c r="I48" s="3"/>
      <c r="J48" s="3"/>
      <c r="K48" s="3">
        <v>646</v>
      </c>
      <c r="L48" s="3">
        <v>641</v>
      </c>
      <c r="M48" s="3">
        <v>922</v>
      </c>
      <c r="N48" s="3"/>
      <c r="T48" s="2">
        <v>576</v>
      </c>
      <c r="U48" s="2">
        <v>0</v>
      </c>
      <c r="V48" s="2">
        <v>0</v>
      </c>
    </row>
    <row r="49" spans="2:33" s="2" customFormat="1" x14ac:dyDescent="0.25">
      <c r="B49" s="2" t="s">
        <v>108</v>
      </c>
      <c r="C49" s="3"/>
      <c r="D49" s="3"/>
      <c r="E49" s="3"/>
      <c r="F49" s="3"/>
      <c r="G49" s="3"/>
      <c r="H49" s="3"/>
      <c r="I49" s="3"/>
      <c r="J49" s="3"/>
      <c r="K49" s="3">
        <v>91</v>
      </c>
      <c r="L49" s="3">
        <v>113</v>
      </c>
      <c r="M49" s="3">
        <v>81</v>
      </c>
      <c r="N49" s="3"/>
      <c r="T49" s="2">
        <v>266</v>
      </c>
      <c r="U49" s="2">
        <v>276</v>
      </c>
      <c r="V49" s="2">
        <v>267</v>
      </c>
    </row>
    <row r="50" spans="2:33" s="2" customFormat="1" x14ac:dyDescent="0.25">
      <c r="B50" s="2" t="s">
        <v>52</v>
      </c>
      <c r="C50" s="3"/>
      <c r="D50" s="3"/>
      <c r="E50" s="3"/>
      <c r="F50" s="3"/>
      <c r="G50" s="3"/>
      <c r="H50" s="3"/>
      <c r="I50" s="3"/>
      <c r="J50" s="3"/>
      <c r="K50" s="3">
        <v>17075</v>
      </c>
      <c r="L50" s="3">
        <v>17985</v>
      </c>
      <c r="M50" s="3">
        <v>17992</v>
      </c>
      <c r="N50" s="3"/>
      <c r="T50" s="2">
        <v>11712</v>
      </c>
      <c r="U50" s="2">
        <v>11927</v>
      </c>
      <c r="V50" s="2">
        <v>10901</v>
      </c>
    </row>
    <row r="51" spans="2:33" s="2" customFormat="1" x14ac:dyDescent="0.25">
      <c r="B51" s="2" t="s">
        <v>53</v>
      </c>
      <c r="C51" s="3"/>
      <c r="D51" s="3"/>
      <c r="E51" s="3"/>
      <c r="F51" s="3"/>
      <c r="G51" s="3"/>
      <c r="H51" s="3"/>
      <c r="I51" s="3"/>
      <c r="J51" s="3"/>
      <c r="K51" s="3">
        <f>SUM(K42:K50)</f>
        <v>27609</v>
      </c>
      <c r="L51" s="3">
        <f>SUM(L42:L50)</f>
        <v>26043</v>
      </c>
      <c r="M51" s="3">
        <f>SUM(M42:M50)</f>
        <v>26056</v>
      </c>
      <c r="N51" s="3"/>
      <c r="T51" s="2">
        <f>SUM(T42:T50)</f>
        <v>15680</v>
      </c>
      <c r="U51" s="2">
        <f>SUM(U42:U50)</f>
        <v>15803</v>
      </c>
      <c r="V51" s="2">
        <f>SUM(V42:V50)</f>
        <v>14142</v>
      </c>
    </row>
    <row r="54" spans="2:33" s="2" customFormat="1" x14ac:dyDescent="0.25">
      <c r="B54" s="2" t="s">
        <v>98</v>
      </c>
      <c r="C54" s="3"/>
      <c r="D54" s="3"/>
      <c r="E54" s="3"/>
      <c r="F54" s="3"/>
      <c r="G54" s="3"/>
      <c r="H54" s="3">
        <v>1800</v>
      </c>
      <c r="I54" s="3"/>
      <c r="J54" s="3"/>
      <c r="K54" s="3"/>
      <c r="L54" s="3">
        <v>3400</v>
      </c>
      <c r="M54" s="3">
        <v>3700</v>
      </c>
      <c r="N54" s="3"/>
    </row>
    <row r="57" spans="2:33" s="2" customFormat="1" x14ac:dyDescent="0.25">
      <c r="B57" s="2" t="s">
        <v>154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AF57" s="2">
        <v>-3118</v>
      </c>
      <c r="AG57" s="2">
        <v>-3004</v>
      </c>
    </row>
    <row r="58" spans="2:33" x14ac:dyDescent="0.25">
      <c r="B58" t="s">
        <v>155</v>
      </c>
      <c r="AF58" s="2">
        <v>-707</v>
      </c>
      <c r="AG58" s="2">
        <v>-1051</v>
      </c>
    </row>
    <row r="59" spans="2:33" x14ac:dyDescent="0.25">
      <c r="AF59" s="2">
        <f>+AF57+AF58</f>
        <v>-3825</v>
      </c>
      <c r="AG59" s="2">
        <f>+AG57+AG58</f>
        <v>-4055</v>
      </c>
    </row>
  </sheetData>
  <hyperlinks>
    <hyperlink ref="A1" location="Main!A1" display="Main" xr:uid="{DB90B18F-E33E-46EE-878C-F69A84A89155}"/>
  </hyperlink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4E3C-71B5-4048-B117-3278C772E1BF}">
  <dimension ref="A1:C2"/>
  <sheetViews>
    <sheetView zoomScale="175" zoomScaleNormal="175" workbookViewId="0"/>
  </sheetViews>
  <sheetFormatPr defaultRowHeight="12.5" x14ac:dyDescent="0.25"/>
  <cols>
    <col min="1" max="1" width="5" bestFit="1" customWidth="1"/>
  </cols>
  <sheetData>
    <row r="1" spans="1:3" x14ac:dyDescent="0.25">
      <c r="A1" s="19" t="s">
        <v>7</v>
      </c>
    </row>
    <row r="2" spans="1:3" x14ac:dyDescent="0.25">
      <c r="B2" t="s">
        <v>55</v>
      </c>
      <c r="C2" t="s">
        <v>114</v>
      </c>
    </row>
  </sheetData>
  <hyperlinks>
    <hyperlink ref="A1" location="Main!A1" display="Main" xr:uid="{6CB10CB8-6C09-45F1-B4FB-08DC5B4E75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A87B-AEA3-4FAB-8F81-CC20E0ED2CA0}">
  <dimension ref="A1:C7"/>
  <sheetViews>
    <sheetView zoomScale="190" zoomScaleNormal="190" workbookViewId="0"/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9" t="s">
        <v>7</v>
      </c>
    </row>
    <row r="2" spans="1:3" x14ac:dyDescent="0.25">
      <c r="B2" t="s">
        <v>55</v>
      </c>
      <c r="C2" t="s">
        <v>110</v>
      </c>
    </row>
    <row r="3" spans="1:3" x14ac:dyDescent="0.25">
      <c r="B3" t="s">
        <v>96</v>
      </c>
      <c r="C3" t="s">
        <v>120</v>
      </c>
    </row>
    <row r="4" spans="1:3" x14ac:dyDescent="0.25">
      <c r="B4" t="s">
        <v>57</v>
      </c>
      <c r="C4" t="s">
        <v>116</v>
      </c>
    </row>
    <row r="5" spans="1:3" x14ac:dyDescent="0.25">
      <c r="B5" t="s">
        <v>117</v>
      </c>
    </row>
    <row r="6" spans="1:3" ht="13" x14ac:dyDescent="0.3">
      <c r="C6" s="21" t="s">
        <v>119</v>
      </c>
    </row>
    <row r="7" spans="1:3" x14ac:dyDescent="0.25">
      <c r="C7" t="s">
        <v>118</v>
      </c>
    </row>
  </sheetData>
  <hyperlinks>
    <hyperlink ref="A1" location="Main!A1" display="Main" xr:uid="{9BD2B3A6-7328-4643-A4E3-83B7BE45E6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90E5-388E-4F86-BD07-F4D936022199}">
  <dimension ref="A1:C7"/>
  <sheetViews>
    <sheetView workbookViewId="0"/>
  </sheetViews>
  <sheetFormatPr defaultRowHeight="12.5" x14ac:dyDescent="0.25"/>
  <cols>
    <col min="1" max="1" width="4.6328125" bestFit="1" customWidth="1"/>
    <col min="2" max="2" width="11.26953125" bestFit="1" customWidth="1"/>
  </cols>
  <sheetData>
    <row r="1" spans="1:3" x14ac:dyDescent="0.25">
      <c r="A1" s="19" t="s">
        <v>7</v>
      </c>
    </row>
    <row r="2" spans="1:3" x14ac:dyDescent="0.25">
      <c r="B2" t="s">
        <v>55</v>
      </c>
      <c r="C2" t="s">
        <v>73</v>
      </c>
    </row>
    <row r="3" spans="1:3" x14ac:dyDescent="0.25">
      <c r="B3" t="s">
        <v>56</v>
      </c>
      <c r="C3" t="s">
        <v>74</v>
      </c>
    </row>
    <row r="4" spans="1:3" x14ac:dyDescent="0.25">
      <c r="B4" t="s">
        <v>149</v>
      </c>
    </row>
    <row r="5" spans="1:3" x14ac:dyDescent="0.25">
      <c r="B5" t="s">
        <v>117</v>
      </c>
    </row>
    <row r="6" spans="1:3" ht="13" x14ac:dyDescent="0.3">
      <c r="C6" s="21" t="s">
        <v>151</v>
      </c>
    </row>
    <row r="7" spans="1:3" x14ac:dyDescent="0.25">
      <c r="C7" t="s">
        <v>150</v>
      </c>
    </row>
  </sheetData>
  <hyperlinks>
    <hyperlink ref="A1" location="Main!A1" display="Main" xr:uid="{1BEEEB37-0981-4EE5-B765-7BC00F2685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Main</vt:lpstr>
      <vt:lpstr>Model</vt:lpstr>
      <vt:lpstr>Spikevax</vt:lpstr>
      <vt:lpstr>4157</vt:lpstr>
      <vt:lpstr>1647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2022-09-10T06:32:44Z</dcterms:created>
  <dcterms:modified xsi:type="dcterms:W3CDTF">2025-02-19T18:46:22Z</dcterms:modified>
</cp:coreProperties>
</file>