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E994E08-B983-4B72-81F0-4CFD558B0142}" xr6:coauthVersionLast="47" xr6:coauthVersionMax="47" xr10:uidLastSave="{00000000-0000-0000-0000-000000000000}"/>
  <bookViews>
    <workbookView xWindow="-45390" yWindow="585" windowWidth="34620" windowHeight="19830" activeTab="1" xr2:uid="{040A5584-314E-40E5-8C54-C0576405A9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4" i="2" l="1"/>
  <c r="AD67" i="2"/>
  <c r="AD68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G54" i="2"/>
  <c r="AE30" i="2"/>
  <c r="AF30" i="2"/>
  <c r="AD31" i="2"/>
  <c r="AE31" i="2"/>
  <c r="AI54" i="2"/>
  <c r="AH54" i="2"/>
  <c r="AG30" i="2"/>
  <c r="AH30" i="2"/>
  <c r="AF31" i="2"/>
  <c r="AG31" i="2"/>
  <c r="AL54" i="2"/>
  <c r="AK54" i="2"/>
  <c r="AJ54" i="2"/>
  <c r="AJ31" i="2"/>
  <c r="AI31" i="2"/>
  <c r="AH31" i="2"/>
  <c r="AK30" i="2"/>
  <c r="AJ30" i="2"/>
  <c r="AI30" i="2"/>
  <c r="AM54" i="2"/>
  <c r="AN54" i="2"/>
  <c r="AM30" i="2"/>
  <c r="AL30" i="2"/>
  <c r="AL31" i="2"/>
  <c r="AK31" i="2"/>
  <c r="AO54" i="2"/>
  <c r="AM31" i="2"/>
  <c r="AN30" i="2"/>
  <c r="AO30" i="2"/>
  <c r="AP30" i="2"/>
  <c r="AN31" i="2"/>
  <c r="AO31" i="2"/>
  <c r="AQ54" i="2"/>
  <c r="AP54" i="2"/>
  <c r="AR2" i="2"/>
  <c r="AQ2" i="2" s="1"/>
  <c r="AP2" i="2" s="1"/>
  <c r="AO2" i="2" s="1"/>
  <c r="AN2" i="2" s="1"/>
  <c r="AM2" i="2" s="1"/>
  <c r="AL2" i="2" s="1"/>
  <c r="AK2" i="2" s="1"/>
  <c r="AJ2" i="2" s="1"/>
  <c r="AI2" i="2" s="1"/>
  <c r="AH2" i="2" s="1"/>
  <c r="AG2" i="2" s="1"/>
  <c r="AF2" i="2" s="1"/>
  <c r="AE2" i="2" s="1"/>
  <c r="AD2" i="2" s="1"/>
  <c r="AC2" i="2" s="1"/>
  <c r="AB2" i="2" s="1"/>
  <c r="AA2" i="2" s="1"/>
  <c r="Z2" i="2" s="1"/>
  <c r="Y2" i="2" s="1"/>
  <c r="X2" i="2" s="1"/>
  <c r="W2" i="2" s="1"/>
  <c r="AR54" i="2"/>
  <c r="AS30" i="2"/>
  <c r="AR30" i="2"/>
  <c r="AQ30" i="2"/>
  <c r="AR31" i="2"/>
  <c r="AQ31" i="2"/>
  <c r="AP31" i="2"/>
  <c r="AS54" i="2"/>
  <c r="AT30" i="2"/>
  <c r="AU30" i="2"/>
  <c r="AS24" i="2"/>
  <c r="AS22" i="2"/>
  <c r="AS20" i="2"/>
  <c r="AS12" i="2"/>
  <c r="AS31" i="2" s="1"/>
  <c r="AZ10" i="2"/>
  <c r="AT54" i="2"/>
  <c r="AT24" i="2"/>
  <c r="AT22" i="2"/>
  <c r="AT20" i="2"/>
  <c r="AT12" i="2"/>
  <c r="AT31" i="2" s="1"/>
  <c r="AV54" i="2"/>
  <c r="AU54" i="2"/>
  <c r="AU24" i="2"/>
  <c r="AU22" i="2"/>
  <c r="AU20" i="2"/>
  <c r="AU12" i="2"/>
  <c r="AU31" i="2" s="1"/>
  <c r="AV24" i="2"/>
  <c r="AV22" i="2"/>
  <c r="AV10" i="2"/>
  <c r="AV30" i="2" s="1"/>
  <c r="AV20" i="2"/>
  <c r="AY54" i="2"/>
  <c r="AX54" i="2"/>
  <c r="AW54" i="2"/>
  <c r="AW24" i="2"/>
  <c r="AW22" i="2"/>
  <c r="AX24" i="2"/>
  <c r="AX22" i="2"/>
  <c r="AY24" i="2"/>
  <c r="AY22" i="2"/>
  <c r="AX20" i="2"/>
  <c r="AW20" i="2"/>
  <c r="AY20" i="2"/>
  <c r="AW10" i="2"/>
  <c r="AW12" i="2" s="1"/>
  <c r="AW31" i="2" s="1"/>
  <c r="AX10" i="2"/>
  <c r="AX12" i="2" s="1"/>
  <c r="AX31" i="2" s="1"/>
  <c r="AY10" i="2"/>
  <c r="AY12" i="2" s="1"/>
  <c r="AY2" i="2"/>
  <c r="AV2" i="2" s="1"/>
  <c r="K51" i="2"/>
  <c r="L51" i="2" s="1"/>
  <c r="K49" i="2"/>
  <c r="L49" i="2" s="1"/>
  <c r="K48" i="2"/>
  <c r="L48" i="2" s="1"/>
  <c r="K47" i="2"/>
  <c r="L47" i="2" s="1"/>
  <c r="K46" i="2"/>
  <c r="L46" i="2" s="1"/>
  <c r="K40" i="2"/>
  <c r="L40" i="2" s="1"/>
  <c r="K43" i="2"/>
  <c r="L43" i="2" s="1"/>
  <c r="K42" i="2"/>
  <c r="L42" i="2" s="1"/>
  <c r="K36" i="2"/>
  <c r="L36" i="2" s="1"/>
  <c r="K35" i="2"/>
  <c r="L35" i="2" s="1"/>
  <c r="L14" i="2" s="1"/>
  <c r="K34" i="2"/>
  <c r="J50" i="2"/>
  <c r="J41" i="2"/>
  <c r="J44" i="2" s="1"/>
  <c r="J14" i="2"/>
  <c r="J37" i="2"/>
  <c r="J38" i="2" s="1"/>
  <c r="J54" i="2" s="1"/>
  <c r="M2" i="2"/>
  <c r="AZ2" i="2" s="1"/>
  <c r="BA2" i="2" s="1"/>
  <c r="BB2" i="2" s="1"/>
  <c r="BC2" i="2" s="1"/>
  <c r="M30" i="2"/>
  <c r="L30" i="2"/>
  <c r="K30" i="2"/>
  <c r="J30" i="2"/>
  <c r="I30" i="2"/>
  <c r="E24" i="2"/>
  <c r="E22" i="2"/>
  <c r="E20" i="2"/>
  <c r="E12" i="2"/>
  <c r="E31" i="2" s="1"/>
  <c r="F22" i="2"/>
  <c r="I20" i="2"/>
  <c r="I12" i="2"/>
  <c r="F20" i="2"/>
  <c r="F12" i="2"/>
  <c r="F31" i="2" s="1"/>
  <c r="J24" i="2"/>
  <c r="J22" i="2"/>
  <c r="G22" i="2"/>
  <c r="G20" i="2"/>
  <c r="G12" i="2"/>
  <c r="G31" i="2" s="1"/>
  <c r="J12" i="2"/>
  <c r="J31" i="2" s="1"/>
  <c r="J20" i="2"/>
  <c r="K24" i="2"/>
  <c r="K22" i="2"/>
  <c r="K12" i="2"/>
  <c r="K31" i="2" s="1"/>
  <c r="L24" i="2"/>
  <c r="L22" i="2"/>
  <c r="K20" i="2"/>
  <c r="H20" i="2"/>
  <c r="H12" i="2"/>
  <c r="H31" i="2" s="1"/>
  <c r="L20" i="2"/>
  <c r="L12" i="2"/>
  <c r="J4" i="1"/>
  <c r="J7" i="1" s="1"/>
  <c r="J6" i="1"/>
  <c r="J5" i="1"/>
  <c r="AM55" i="2" l="1"/>
  <c r="AO59" i="2"/>
  <c r="AP60" i="2"/>
  <c r="AP59" i="2"/>
  <c r="AQ59" i="2"/>
  <c r="AM56" i="2"/>
  <c r="AN56" i="2"/>
  <c r="AQ60" i="2"/>
  <c r="AR60" i="2"/>
  <c r="AO60" i="2"/>
  <c r="AK55" i="2"/>
  <c r="AL55" i="2"/>
  <c r="AI55" i="2"/>
  <c r="AL56" i="2"/>
  <c r="AM57" i="2"/>
  <c r="AK57" i="2"/>
  <c r="AN57" i="2"/>
  <c r="AL57" i="2"/>
  <c r="AO57" i="2"/>
  <c r="AL58" i="2"/>
  <c r="AN58" i="2"/>
  <c r="AM58" i="2"/>
  <c r="AO58" i="2"/>
  <c r="AM59" i="2"/>
  <c r="AN59" i="2"/>
  <c r="AN60" i="2"/>
  <c r="AJ55" i="2"/>
  <c r="AJ56" i="2"/>
  <c r="AK56" i="2"/>
  <c r="AP58" i="2"/>
  <c r="AW60" i="2"/>
  <c r="AY56" i="2"/>
  <c r="AS56" i="2"/>
  <c r="AU60" i="2"/>
  <c r="AV60" i="2"/>
  <c r="AQ57" i="2"/>
  <c r="AS55" i="2"/>
  <c r="AS57" i="2"/>
  <c r="AP57" i="2"/>
  <c r="AQ55" i="2"/>
  <c r="AT57" i="2"/>
  <c r="AT58" i="2"/>
  <c r="AQ58" i="2"/>
  <c r="AU58" i="2"/>
  <c r="AS59" i="2"/>
  <c r="AT59" i="2"/>
  <c r="AU59" i="2"/>
  <c r="AT60" i="2"/>
  <c r="AN55" i="2"/>
  <c r="AO55" i="2"/>
  <c r="AR55" i="2"/>
  <c r="AP56" i="2"/>
  <c r="AQ56" i="2"/>
  <c r="AS58" i="2"/>
  <c r="AS60" i="2"/>
  <c r="AR56" i="2"/>
  <c r="AR57" i="2"/>
  <c r="AR58" i="2"/>
  <c r="AP55" i="2"/>
  <c r="AO56" i="2"/>
  <c r="AR59" i="2"/>
  <c r="AV59" i="2"/>
  <c r="AY55" i="2"/>
  <c r="AX55" i="2"/>
  <c r="AV58" i="2"/>
  <c r="AW59" i="2"/>
  <c r="AT56" i="2"/>
  <c r="AU57" i="2"/>
  <c r="AX60" i="2"/>
  <c r="AV55" i="2"/>
  <c r="AV12" i="2"/>
  <c r="AV31" i="2" s="1"/>
  <c r="AY59" i="2"/>
  <c r="I21" i="2"/>
  <c r="I23" i="2" s="1"/>
  <c r="I25" i="2" s="1"/>
  <c r="I26" i="2" s="1"/>
  <c r="AY60" i="2"/>
  <c r="AS21" i="2"/>
  <c r="AS23" i="2" s="1"/>
  <c r="AS25" i="2" s="1"/>
  <c r="AS26" i="2" s="1"/>
  <c r="AU56" i="2"/>
  <c r="AV57" i="2"/>
  <c r="AW58" i="2"/>
  <c r="AU21" i="2"/>
  <c r="AU23" i="2" s="1"/>
  <c r="AU25" i="2" s="1"/>
  <c r="AU26" i="2" s="1"/>
  <c r="AT55" i="2"/>
  <c r="AY58" i="2"/>
  <c r="AX59" i="2"/>
  <c r="AY21" i="2"/>
  <c r="AY23" i="2" s="1"/>
  <c r="AY25" i="2" s="1"/>
  <c r="AY26" i="2" s="1"/>
  <c r="AY31" i="2"/>
  <c r="AY57" i="2"/>
  <c r="AX56" i="2"/>
  <c r="AU55" i="2"/>
  <c r="AW55" i="2"/>
  <c r="AW56" i="2"/>
  <c r="AX57" i="2"/>
  <c r="AW30" i="2"/>
  <c r="AX21" i="2"/>
  <c r="AX23" i="2" s="1"/>
  <c r="AX25" i="2" s="1"/>
  <c r="AX26" i="2" s="1"/>
  <c r="AV56" i="2"/>
  <c r="AW57" i="2"/>
  <c r="AT21" i="2"/>
  <c r="AT23" i="2" s="1"/>
  <c r="AT25" i="2" s="1"/>
  <c r="AT26" i="2" s="1"/>
  <c r="AX58" i="2"/>
  <c r="AW21" i="2"/>
  <c r="AW23" i="2" s="1"/>
  <c r="AW25" i="2" s="1"/>
  <c r="AW26" i="2" s="1"/>
  <c r="AX30" i="2"/>
  <c r="AY30" i="2"/>
  <c r="L50" i="2"/>
  <c r="L21" i="2"/>
  <c r="L23" i="2" s="1"/>
  <c r="L25" i="2" s="1"/>
  <c r="K37" i="2"/>
  <c r="L37" i="2" s="1"/>
  <c r="K14" i="2"/>
  <c r="K15" i="2" s="1"/>
  <c r="K16" i="2" s="1"/>
  <c r="L34" i="2"/>
  <c r="K50" i="2"/>
  <c r="K41" i="2"/>
  <c r="L15" i="2"/>
  <c r="L16" i="2" s="1"/>
  <c r="J52" i="2"/>
  <c r="J15" i="2"/>
  <c r="J16" i="2" s="1"/>
  <c r="H21" i="2"/>
  <c r="H23" i="2" s="1"/>
  <c r="H25" i="2" s="1"/>
  <c r="H26" i="2" s="1"/>
  <c r="I31" i="2"/>
  <c r="G21" i="2"/>
  <c r="G23" i="2" s="1"/>
  <c r="G25" i="2" s="1"/>
  <c r="G26" i="2" s="1"/>
  <c r="E21" i="2"/>
  <c r="E23" i="2" s="1"/>
  <c r="E25" i="2" s="1"/>
  <c r="E26" i="2" s="1"/>
  <c r="F21" i="2"/>
  <c r="F23" i="2" s="1"/>
  <c r="F25" i="2" s="1"/>
  <c r="F26" i="2" s="1"/>
  <c r="J21" i="2"/>
  <c r="J23" i="2" s="1"/>
  <c r="J25" i="2" s="1"/>
  <c r="L31" i="2"/>
  <c r="K21" i="2"/>
  <c r="K23" i="2" s="1"/>
  <c r="K25" i="2" s="1"/>
  <c r="AV21" i="2" l="1"/>
  <c r="AV23" i="2" s="1"/>
  <c r="AV25" i="2" s="1"/>
  <c r="AV26" i="2" s="1"/>
  <c r="L38" i="2"/>
  <c r="L54" i="2" s="1"/>
  <c r="K38" i="2"/>
  <c r="K54" i="2" s="1"/>
  <c r="K26" i="2"/>
  <c r="K33" i="2"/>
  <c r="L26" i="2"/>
  <c r="L33" i="2"/>
  <c r="L41" i="2"/>
  <c r="L44" i="2" s="1"/>
  <c r="L52" i="2" s="1"/>
  <c r="K44" i="2"/>
  <c r="K52" i="2" s="1"/>
  <c r="J26" i="2"/>
  <c r="J33" i="2"/>
  <c r="AZ54" i="2" l="1"/>
  <c r="AZ55" i="2"/>
  <c r="AZ59" i="2"/>
  <c r="AZ58" i="2"/>
  <c r="AZ60" i="2"/>
  <c r="AZ56" i="2"/>
  <c r="AZ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tc={26F098AE-606C-469D-8EA5-E5734FC4346B}</author>
  </authors>
  <commentList>
    <comment ref="L10" authorId="0" shapeId="0" xr:uid="{26F098AE-606C-469D-8EA5-E5734FC4346B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6.6B</t>
      </text>
    </comment>
  </commentList>
</comments>
</file>

<file path=xl/sharedStrings.xml><?xml version="1.0" encoding="utf-8"?>
<sst xmlns="http://schemas.openxmlformats.org/spreadsheetml/2006/main" count="162" uniqueCount="155">
  <si>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</si>
  <si>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</si>
  <si>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</si>
  <si>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</si>
  <si>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</si>
  <si>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</si>
  <si>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</si>
  <si>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</si>
  <si>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</si>
  <si>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Gross Profit</t>
  </si>
  <si>
    <t>COGS</t>
  </si>
  <si>
    <t>Operating Expenses</t>
  </si>
  <si>
    <t>Operating Income</t>
  </si>
  <si>
    <t>R&amp;D</t>
  </si>
  <si>
    <t>SG&amp;A</t>
  </si>
  <si>
    <t>Interest Income</t>
  </si>
  <si>
    <t>Pretax Income</t>
  </si>
  <si>
    <t>Taxes</t>
  </si>
  <si>
    <t>Net Income</t>
  </si>
  <si>
    <t>EPS</t>
  </si>
  <si>
    <t>FQ324</t>
  </si>
  <si>
    <t>FQ224</t>
  </si>
  <si>
    <t>FQ124</t>
  </si>
  <si>
    <t>FQ423</t>
  </si>
  <si>
    <t>FQ323</t>
  </si>
  <si>
    <t>FQ223</t>
  </si>
  <si>
    <t>FQ123</t>
  </si>
  <si>
    <t>FQ424</t>
  </si>
  <si>
    <t>FQ125</t>
  </si>
  <si>
    <t>FQ225</t>
  </si>
  <si>
    <t>FQ325</t>
  </si>
  <si>
    <t>FQ425</t>
  </si>
  <si>
    <t>Gross Margin</t>
  </si>
  <si>
    <t>Revenue Growth</t>
  </si>
  <si>
    <t>FQ422</t>
  </si>
  <si>
    <t>Model NI</t>
  </si>
  <si>
    <t>Reported NI</t>
  </si>
  <si>
    <t>Depreciation</t>
  </si>
  <si>
    <t>SBC</t>
  </si>
  <si>
    <t>WC</t>
  </si>
  <si>
    <t>CFFO</t>
  </si>
  <si>
    <t>Gross Profit + D</t>
  </si>
  <si>
    <t>CFFI</t>
  </si>
  <si>
    <t>Securities</t>
  </si>
  <si>
    <t>Government</t>
  </si>
  <si>
    <t>Other</t>
  </si>
  <si>
    <t>Leases</t>
  </si>
  <si>
    <t>Dividends</t>
  </si>
  <si>
    <t>CIC</t>
  </si>
  <si>
    <t>FX</t>
  </si>
  <si>
    <t>CFFF</t>
  </si>
  <si>
    <t>FCF</t>
  </si>
  <si>
    <t>CapEx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</si>
  <si>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</si>
  <si>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</si>
  <si>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</si>
  <si>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</si>
  <si>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</si>
  <si>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</si>
  <si>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</si>
  <si>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</si>
  <si>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</si>
  <si>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</si>
  <si>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</si>
  <si>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</si>
  <si>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</si>
  <si>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</si>
  <si>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</si>
  <si>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</si>
  <si>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</si>
  <si>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</si>
  <si>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</si>
  <si>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F2041</t>
  </si>
  <si>
    <t>F2042</t>
  </si>
  <si>
    <t>F2043</t>
  </si>
  <si>
    <t>F2044</t>
  </si>
  <si>
    <t>F2045</t>
  </si>
  <si>
    <t>F2046</t>
  </si>
  <si>
    <t>F2047</t>
  </si>
  <si>
    <t>F2048</t>
  </si>
  <si>
    <t>F2049</t>
  </si>
  <si>
    <t>F2050</t>
  </si>
  <si>
    <t>F2051</t>
  </si>
  <si>
    <t>F2052</t>
  </si>
  <si>
    <t>F2053</t>
  </si>
  <si>
    <t>F2054</t>
  </si>
  <si>
    <t>F2055</t>
  </si>
  <si>
    <t>F2056</t>
  </si>
  <si>
    <t>F2057</t>
  </si>
  <si>
    <t>F2058</t>
  </si>
  <si>
    <t>F2059</t>
  </si>
  <si>
    <t>F2060</t>
  </si>
  <si>
    <t>F2061</t>
  </si>
  <si>
    <t>F2062</t>
  </si>
  <si>
    <t>F2063</t>
  </si>
  <si>
    <t>F2064</t>
  </si>
  <si>
    <t>F2065</t>
  </si>
  <si>
    <t>F2066</t>
  </si>
  <si>
    <t>F2067</t>
  </si>
  <si>
    <t>F2068</t>
  </si>
  <si>
    <t>F2021</t>
  </si>
  <si>
    <t>F2020</t>
  </si>
  <si>
    <t>F2019</t>
  </si>
  <si>
    <t>F2018</t>
  </si>
  <si>
    <t>Founded: 1978</t>
  </si>
  <si>
    <t>Boise, Idaho</t>
  </si>
  <si>
    <t> DRAM, NAND, and NOR</t>
  </si>
  <si>
    <t>DRAM</t>
  </si>
  <si>
    <t>Volatile</t>
  </si>
  <si>
    <t>DDR4</t>
  </si>
  <si>
    <t>DDR5</t>
  </si>
  <si>
    <t>LPDRAM4</t>
  </si>
  <si>
    <t>LPDRAM5</t>
  </si>
  <si>
    <t>CNBU</t>
  </si>
  <si>
    <t>1x, 1y, 1z, 1-alpha technology nodes</t>
  </si>
  <si>
    <t>MBU</t>
  </si>
  <si>
    <t>EBU</t>
  </si>
  <si>
    <t>SBU</t>
  </si>
  <si>
    <t>FCF T2Y</t>
  </si>
  <si>
    <t>FCF T3Y</t>
  </si>
  <si>
    <t>FCF T4Y</t>
  </si>
  <si>
    <t>FCF T5Y</t>
  </si>
  <si>
    <t>FCF T6Y</t>
  </si>
  <si>
    <t>F2017</t>
  </si>
  <si>
    <t>FCF T7Y</t>
  </si>
  <si>
    <t>Stock Price EOY</t>
  </si>
  <si>
    <t>F2016</t>
  </si>
  <si>
    <t>F2015</t>
  </si>
  <si>
    <t>F2014</t>
  </si>
  <si>
    <t>F2013</t>
  </si>
  <si>
    <t>F2012</t>
  </si>
  <si>
    <t>F2011</t>
  </si>
  <si>
    <t>F2010</t>
  </si>
  <si>
    <t>F2009</t>
  </si>
  <si>
    <t>F2008</t>
  </si>
  <si>
    <t>F2007</t>
  </si>
  <si>
    <t>F2006</t>
  </si>
  <si>
    <t>F2005</t>
  </si>
  <si>
    <t>F2004</t>
  </si>
  <si>
    <t>F2002</t>
  </si>
  <si>
    <t>F2003</t>
  </si>
  <si>
    <t>F2001</t>
  </si>
  <si>
    <t>F2000</t>
  </si>
  <si>
    <t>F1999</t>
  </si>
  <si>
    <t>F1998</t>
  </si>
  <si>
    <t>F1997</t>
  </si>
  <si>
    <t>F1996</t>
  </si>
  <si>
    <t>F1995</t>
  </si>
  <si>
    <t>F1994</t>
  </si>
  <si>
    <t>F1993</t>
  </si>
  <si>
    <t>F1992</t>
  </si>
  <si>
    <t>F1991</t>
  </si>
  <si>
    <t>P/S</t>
  </si>
  <si>
    <t>R Revenue</t>
  </si>
  <si>
    <t>R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</si>
</sst>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i/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6A51B30-E201-47F6-8DBB-C49C069FCA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Model!$AH$2:$AZ$2</c:f>
              <c:numCache>
                <c:formatCode>m/d/yy;@</c:formatCode>
                <c:ptCount val="19"/>
                <c:pt idx="0">
                  <c:v>38963</c:v>
                </c:pt>
                <c:pt idx="1">
                  <c:v>39328</c:v>
                </c:pt>
                <c:pt idx="2">
                  <c:v>39693</c:v>
                </c:pt>
                <c:pt idx="3">
                  <c:v>40058</c:v>
                </c:pt>
                <c:pt idx="4">
                  <c:v>40423</c:v>
                </c:pt>
                <c:pt idx="5">
                  <c:v>40788</c:v>
                </c:pt>
                <c:pt idx="6">
                  <c:v>41153</c:v>
                </c:pt>
                <c:pt idx="7">
                  <c:v>41518</c:v>
                </c:pt>
                <c:pt idx="8">
                  <c:v>41883</c:v>
                </c:pt>
                <c:pt idx="9">
                  <c:v>42248</c:v>
                </c:pt>
                <c:pt idx="10">
                  <c:v>42613</c:v>
                </c:pt>
                <c:pt idx="11">
                  <c:v>42978</c:v>
                </c:pt>
                <c:pt idx="12">
                  <c:v>43342</c:v>
                </c:pt>
                <c:pt idx="13">
                  <c:v>43706</c:v>
                </c:pt>
                <c:pt idx="14">
                  <c:v>44076</c:v>
                </c:pt>
                <c:pt idx="15">
                  <c:v>44441</c:v>
                </c:pt>
                <c:pt idx="16">
                  <c:v>44805</c:v>
                </c:pt>
                <c:pt idx="17">
                  <c:v>45169</c:v>
                </c:pt>
                <c:pt idx="18">
                  <c:v>45535</c:v>
                </c:pt>
              </c:numCache>
            </c:numRef>
          </c:cat>
          <c:val>
            <c:numRef>
              <c:f>Model!$AH$63:$AZ$63</c:f>
              <c:numCache>
                <c:formatCode>General</c:formatCode>
                <c:ptCount val="19"/>
                <c:pt idx="0">
                  <c:v>13.96</c:v>
                </c:pt>
                <c:pt idx="1">
                  <c:v>7.25</c:v>
                </c:pt>
                <c:pt idx="2">
                  <c:v>2.64</c:v>
                </c:pt>
                <c:pt idx="3">
                  <c:v>10.56</c:v>
                </c:pt>
                <c:pt idx="4">
                  <c:v>8.02</c:v>
                </c:pt>
                <c:pt idx="5">
                  <c:v>6.29</c:v>
                </c:pt>
                <c:pt idx="6">
                  <c:v>6.34</c:v>
                </c:pt>
                <c:pt idx="7">
                  <c:v>21.75</c:v>
                </c:pt>
                <c:pt idx="8">
                  <c:v>35.01</c:v>
                </c:pt>
                <c:pt idx="9">
                  <c:v>14.16</c:v>
                </c:pt>
                <c:pt idx="10">
                  <c:v>21.92</c:v>
                </c:pt>
                <c:pt idx="11">
                  <c:v>41.12</c:v>
                </c:pt>
                <c:pt idx="12">
                  <c:v>31.73</c:v>
                </c:pt>
                <c:pt idx="13">
                  <c:v>53.78</c:v>
                </c:pt>
                <c:pt idx="14">
                  <c:v>75.180000000000007</c:v>
                </c:pt>
                <c:pt idx="15">
                  <c:v>93.15</c:v>
                </c:pt>
                <c:pt idx="16">
                  <c:v>49.98</c:v>
                </c:pt>
                <c:pt idx="17" formatCode="#,##0.00">
                  <c:v>85.34</c:v>
                </c:pt>
                <c:pt idx="18" formatCode="#,##0.0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8-4BB0-8C6C-E808DC9E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39199"/>
        <c:axId val="15610358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Model!$AH$2:$AZ$2</c:f>
              <c:numCache>
                <c:formatCode>m/d/yy;@</c:formatCode>
                <c:ptCount val="19"/>
                <c:pt idx="0">
                  <c:v>38963</c:v>
                </c:pt>
                <c:pt idx="1">
                  <c:v>39328</c:v>
                </c:pt>
                <c:pt idx="2">
                  <c:v>39693</c:v>
                </c:pt>
                <c:pt idx="3">
                  <c:v>40058</c:v>
                </c:pt>
                <c:pt idx="4">
                  <c:v>40423</c:v>
                </c:pt>
                <c:pt idx="5">
                  <c:v>40788</c:v>
                </c:pt>
                <c:pt idx="6">
                  <c:v>41153</c:v>
                </c:pt>
                <c:pt idx="7">
                  <c:v>41518</c:v>
                </c:pt>
                <c:pt idx="8">
                  <c:v>41883</c:v>
                </c:pt>
                <c:pt idx="9">
                  <c:v>42248</c:v>
                </c:pt>
                <c:pt idx="10">
                  <c:v>42613</c:v>
                </c:pt>
                <c:pt idx="11">
                  <c:v>42978</c:v>
                </c:pt>
                <c:pt idx="12">
                  <c:v>43342</c:v>
                </c:pt>
                <c:pt idx="13">
                  <c:v>43706</c:v>
                </c:pt>
                <c:pt idx="14">
                  <c:v>44076</c:v>
                </c:pt>
                <c:pt idx="15">
                  <c:v>44441</c:v>
                </c:pt>
                <c:pt idx="16">
                  <c:v>44805</c:v>
                </c:pt>
                <c:pt idx="17">
                  <c:v>45169</c:v>
                </c:pt>
                <c:pt idx="18">
                  <c:v>45535</c:v>
                </c:pt>
              </c:numCache>
            </c:numRef>
          </c:cat>
          <c:val>
            <c:numRef>
              <c:f>Model!$AH$54:$AZ$54</c:f>
              <c:numCache>
                <c:formatCode>#,##0</c:formatCode>
                <c:ptCount val="19"/>
                <c:pt idx="0">
                  <c:v>654</c:v>
                </c:pt>
                <c:pt idx="1">
                  <c:v>-2666</c:v>
                </c:pt>
                <c:pt idx="2">
                  <c:v>-1511</c:v>
                </c:pt>
                <c:pt idx="3">
                  <c:v>718</c:v>
                </c:pt>
                <c:pt idx="4">
                  <c:v>2480</c:v>
                </c:pt>
                <c:pt idx="5">
                  <c:v>-66</c:v>
                </c:pt>
                <c:pt idx="6">
                  <c:v>415</c:v>
                </c:pt>
                <c:pt idx="7">
                  <c:v>369</c:v>
                </c:pt>
                <c:pt idx="8">
                  <c:v>2592</c:v>
                </c:pt>
                <c:pt idx="9">
                  <c:v>1187</c:v>
                </c:pt>
                <c:pt idx="10">
                  <c:v>-2649</c:v>
                </c:pt>
                <c:pt idx="11">
                  <c:v>3419</c:v>
                </c:pt>
                <c:pt idx="12">
                  <c:v>8521</c:v>
                </c:pt>
                <c:pt idx="13">
                  <c:v>3409</c:v>
                </c:pt>
                <c:pt idx="14">
                  <c:v>83</c:v>
                </c:pt>
                <c:pt idx="15">
                  <c:v>2438</c:v>
                </c:pt>
                <c:pt idx="16">
                  <c:v>3114</c:v>
                </c:pt>
                <c:pt idx="17">
                  <c:v>-6117</c:v>
                </c:pt>
                <c:pt idx="18">
                  <c:v>-164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8-4BB0-8C6C-E808DC9E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32479"/>
        <c:axId val="1561041119"/>
      </c:lineChart>
      <c:dateAx>
        <c:axId val="156103919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5839"/>
        <c:crosses val="autoZero"/>
        <c:auto val="1"/>
        <c:lblOffset val="100"/>
        <c:baseTimeUnit val="months"/>
      </c:dateAx>
      <c:valAx>
        <c:axId val="15610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9199"/>
        <c:crosses val="autoZero"/>
        <c:crossBetween val="between"/>
      </c:valAx>
      <c:valAx>
        <c:axId val="156104111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32479"/>
        <c:crosses val="max"/>
        <c:crossBetween val="between"/>
      </c:valAx>
      <c:dateAx>
        <c:axId val="1561032479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1561041119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Model!$AD$2:$AZ$2</c:f>
              <c:numCache>
                <c:formatCode>m/d/yy;@</c:formatCode>
                <c:ptCount val="23"/>
                <c:pt idx="0">
                  <c:v>37503</c:v>
                </c:pt>
                <c:pt idx="1">
                  <c:v>37868</c:v>
                </c:pt>
                <c:pt idx="2">
                  <c:v>38233</c:v>
                </c:pt>
                <c:pt idx="3">
                  <c:v>38598</c:v>
                </c:pt>
                <c:pt idx="4">
                  <c:v>38963</c:v>
                </c:pt>
                <c:pt idx="5">
                  <c:v>39328</c:v>
                </c:pt>
                <c:pt idx="6">
                  <c:v>39693</c:v>
                </c:pt>
                <c:pt idx="7">
                  <c:v>40058</c:v>
                </c:pt>
                <c:pt idx="8">
                  <c:v>40423</c:v>
                </c:pt>
                <c:pt idx="9">
                  <c:v>40788</c:v>
                </c:pt>
                <c:pt idx="10">
                  <c:v>41153</c:v>
                </c:pt>
                <c:pt idx="11">
                  <c:v>41518</c:v>
                </c:pt>
                <c:pt idx="12">
                  <c:v>41883</c:v>
                </c:pt>
                <c:pt idx="13">
                  <c:v>42248</c:v>
                </c:pt>
                <c:pt idx="14">
                  <c:v>42613</c:v>
                </c:pt>
                <c:pt idx="15">
                  <c:v>42978</c:v>
                </c:pt>
                <c:pt idx="16">
                  <c:v>43342</c:v>
                </c:pt>
                <c:pt idx="17">
                  <c:v>43706</c:v>
                </c:pt>
                <c:pt idx="18">
                  <c:v>44076</c:v>
                </c:pt>
                <c:pt idx="19">
                  <c:v>44441</c:v>
                </c:pt>
                <c:pt idx="20">
                  <c:v>44805</c:v>
                </c:pt>
                <c:pt idx="21">
                  <c:v>45169</c:v>
                </c:pt>
                <c:pt idx="22">
                  <c:v>45535</c:v>
                </c:pt>
              </c:numCache>
            </c:numRef>
          </c:cat>
          <c:val>
            <c:numRef>
              <c:f>Model!$AD$65:$AZ$65</c:f>
              <c:numCache>
                <c:formatCode>#,##0</c:formatCode>
                <c:ptCount val="23"/>
                <c:pt idx="0">
                  <c:v>265.81108829568785</c:v>
                </c:pt>
                <c:pt idx="1">
                  <c:v>229.47290274684482</c:v>
                </c:pt>
                <c:pt idx="2">
                  <c:v>356.59919028340084</c:v>
                </c:pt>
                <c:pt idx="3">
                  <c:v>366.64162283996995</c:v>
                </c:pt>
                <c:pt idx="4">
                  <c:v>377.65042979942689</c:v>
                </c:pt>
                <c:pt idx="5">
                  <c:v>784.55172413793105</c:v>
                </c:pt>
                <c:pt idx="6">
                  <c:v>2212.5</c:v>
                </c:pt>
                <c:pt idx="7">
                  <c:v>454.82954545454544</c:v>
                </c:pt>
                <c:pt idx="8">
                  <c:v>1057.6059850374065</c:v>
                </c:pt>
                <c:pt idx="9">
                  <c:v>1397.1383147853735</c:v>
                </c:pt>
                <c:pt idx="10">
                  <c:v>1298.7381703470032</c:v>
                </c:pt>
                <c:pt idx="11">
                  <c:v>417.14942528735634</c:v>
                </c:pt>
                <c:pt idx="12">
                  <c:v>467.23793201942306</c:v>
                </c:pt>
                <c:pt idx="13">
                  <c:v>1143.5028248587571</c:v>
                </c:pt>
                <c:pt idx="14">
                  <c:v>565.64781021897807</c:v>
                </c:pt>
                <c:pt idx="15">
                  <c:v>494.21206225680936</c:v>
                </c:pt>
                <c:pt idx="16">
                  <c:v>957.80018909549324</c:v>
                </c:pt>
                <c:pt idx="17">
                  <c:v>435.21755299367794</c:v>
                </c:pt>
                <c:pt idx="18">
                  <c:v>285.11572226656023</c:v>
                </c:pt>
                <c:pt idx="19">
                  <c:v>297.42351046698872</c:v>
                </c:pt>
                <c:pt idx="20">
                  <c:v>615.40616246498598</c:v>
                </c:pt>
                <c:pt idx="21">
                  <c:v>182.09514881649869</c:v>
                </c:pt>
                <c:pt idx="22">
                  <c:v>277.34444444444443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7-42C1-A4CA-FBE70475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46895"/>
        <c:axId val="550749775"/>
      </c:lineChart>
      <c:dateAx>
        <c:axId val="550746895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49775"/>
        <c:crosses val="autoZero"/>
        <c:auto val="1"/>
        <c:lblOffset val="100"/>
        <c:baseTimeUnit val="months"/>
      </c:dateAx>
      <c:valAx>
        <c:axId val="5507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4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20266</xdr:colOff>
      <xdr:row>0</xdr:row>
      <xdr:rowOff>68617</xdr:rowOff>
    </xdr:from>
    <xdr:to>
      <xdr:col>12</xdr:col>
      <xdr:colOff>20266</xdr:colOff>
      <xdr:row>56</xdr:row>
      <xdr:rowOff>108262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9379AA-F50B-4C2A-4EAF-5C5B161BD2A2}"/>
            </a:ext>
          </a:extLst>
        </xdr:cNvPr>
        <xdr:cNvCxnSpPr/>
      </xdr:nvCxnSpPr>
      <xdr:spPr>
        <a:xfrm>
          <a:off x="7680371" y="68617"/>
          <a:ext cx="0" cy="80606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302950</xdr:colOff>
      <xdr:row>66</xdr:row>
      <xdr:rowOff>5376</xdr:rowOff>
    </xdr:from>
    <xdr:to>
      <xdr:col>50</xdr:col>
      <xdr:colOff>109944</xdr:colOff>
      <xdr:row>86</xdr:row>
      <xdr:rowOff>74852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95BE0-AEE6-A331-8B22-03AF3A84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164855</xdr:colOff>
      <xdr:row>68</xdr:row>
      <xdr:rowOff>21986</xdr:rowOff>
    </xdr:from>
    <xdr:to>
      <xdr:col>38</xdr:col>
      <xdr:colOff>479913</xdr:colOff>
      <xdr:row>85</xdr:row>
      <xdr:rowOff>24917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15C6C5-3D47-B95E-287A-65FE1B51E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28FF62E-232B-4089-B24E-2DC7EF6F124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0" dT="2024-09-19T15:45:24.58" personId="{628FF62E-232B-4089-B24E-2DC7EF6F1249}" id="{26F098AE-606C-469D-8EA5-E5734FC4346B}">
    <text>Q2 guidance: 6.6B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B3D3-F24B-4B90-87C3-03D13C01C91B}">
  <dimension ref="B2:K12"/>
  <sheetViews>
    <sheetView zoomScale="220" zoomScaleNormal="220" workbookViewId="0">
      <selection activeCell="J8" sqref="J8"/>
    </sheetView>
  </sheetViews>
  <sheetFormatPr defaultRowHeight="12.75" x14ac:dyDescent="0.2"/>
  <sheetData>
    <row r="2" spans="2:11" x14ac:dyDescent="0.2">
      <c r="B2" s="18" t="s">
        <v>106</v>
      </c>
      <c r="I2" t="s">
        <v>0</v>
      </c>
      <c r="J2" s="1">
        <v>89</v>
      </c>
    </row>
    <row r="3" spans="2:11" x14ac:dyDescent="0.2">
      <c r="B3" t="s">
        <v>107</v>
      </c>
      <c r="I3" t="s">
        <v>1</v>
      </c>
      <c r="J3" s="2">
        <v>1108.841326</v>
      </c>
      <c r="K3" s="3" t="s">
        <v>6</v>
      </c>
    </row>
    <row r="4" spans="2:11" x14ac:dyDescent="0.2">
      <c r="C4" t="s">
        <v>108</v>
      </c>
      <c r="I4" t="s">
        <v>2</v>
      </c>
      <c r="J4" s="2">
        <f>+J2*J3</f>
        <v>98686.878014000002</v>
      </c>
    </row>
    <row r="5" spans="2:11" x14ac:dyDescent="0.2">
      <c r="C5" t="s">
        <v>111</v>
      </c>
      <c r="I5" t="s">
        <v>3</v>
      </c>
      <c r="J5" s="2">
        <f>7594+785+775</f>
        <v>9154</v>
      </c>
      <c r="K5" s="3" t="s">
        <v>6</v>
      </c>
    </row>
    <row r="6" spans="2:11" x14ac:dyDescent="0.2">
      <c r="C6" t="s">
        <v>112</v>
      </c>
      <c r="I6" t="s">
        <v>4</v>
      </c>
      <c r="J6" s="2">
        <f>12860+398</f>
        <v>13258</v>
      </c>
      <c r="K6" s="3" t="s">
        <v>6</v>
      </c>
    </row>
    <row r="7" spans="2:11" x14ac:dyDescent="0.2">
      <c r="C7" t="s">
        <v>109</v>
      </c>
      <c r="I7" t="s">
        <v>5</v>
      </c>
      <c r="J7" s="2">
        <f>+J4-J5+J6</f>
        <v>102790.878014</v>
      </c>
    </row>
    <row r="8" spans="2:11" x14ac:dyDescent="0.2">
      <c r="C8" t="s">
        <v>110</v>
      </c>
    </row>
    <row r="9" spans="2:11" x14ac:dyDescent="0.2">
      <c r="I9" t="s">
        <v>104</v>
      </c>
    </row>
    <row r="10" spans="2:11" x14ac:dyDescent="0.2">
      <c r="I10" t="s">
        <v>105</v>
      </c>
    </row>
    <row r="12" spans="2:11" x14ac:dyDescent="0.2">
      <c r="B12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ECE1-E2C2-4F5D-AB90-79F4AAA15D0A}">
  <dimension ref="A1:CR68"/>
  <sheetViews>
    <sheetView tabSelected="1" zoomScale="130" zoomScaleNormal="130" workbookViewId="0">
      <pane xSplit="2" ySplit="3" topLeftCell="W12" activePane="bottomRight" state="frozen"/>
      <selection pane="topRight" activeCell="C1" sqref="C1"/>
      <selection pane="bottomLeft" activeCell="A3" sqref="A3"/>
      <selection pane="bottomRight" activeCell="AP35" sqref="AP35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44" max="44" width="9.140625" style="3"/>
  </cols>
  <sheetData>
    <row r="1" spans="1:96" x14ac:dyDescent="0.2">
      <c r="A1" s="11" t="s">
        <v>7</v>
      </c>
    </row>
    <row r="2" spans="1:96" s="4" customFormat="1" x14ac:dyDescent="0.2">
      <c r="C2" s="5"/>
      <c r="D2" s="5"/>
      <c r="E2" s="5">
        <v>44805</v>
      </c>
      <c r="F2" s="5">
        <v>44896</v>
      </c>
      <c r="G2" s="5">
        <v>44987</v>
      </c>
      <c r="H2" s="5">
        <v>45078</v>
      </c>
      <c r="I2" s="5">
        <v>45169</v>
      </c>
      <c r="J2" s="5">
        <v>45260</v>
      </c>
      <c r="K2" s="5">
        <v>45351</v>
      </c>
      <c r="L2" s="5">
        <v>45442</v>
      </c>
      <c r="M2" s="5">
        <f>+I2+366</f>
        <v>45535</v>
      </c>
      <c r="N2" s="5"/>
      <c r="W2" s="4">
        <f t="shared" ref="W2:Z2" si="0">+X2-365</f>
        <v>34948</v>
      </c>
      <c r="X2" s="4">
        <f t="shared" si="0"/>
        <v>35313</v>
      </c>
      <c r="Y2" s="4">
        <f t="shared" si="0"/>
        <v>35678</v>
      </c>
      <c r="Z2" s="4">
        <f t="shared" ref="Z2:AD2" si="1">+AA2-365</f>
        <v>36043</v>
      </c>
      <c r="AA2" s="4">
        <f t="shared" si="1"/>
        <v>36408</v>
      </c>
      <c r="AB2" s="4">
        <f t="shared" si="1"/>
        <v>36773</v>
      </c>
      <c r="AC2" s="4">
        <f t="shared" si="1"/>
        <v>37138</v>
      </c>
      <c r="AD2" s="4">
        <f>+AE2-365</f>
        <v>37503</v>
      </c>
      <c r="AE2" s="4">
        <f>+AF2-365</f>
        <v>37868</v>
      </c>
      <c r="AF2" s="4">
        <f>+AG2-365</f>
        <v>38233</v>
      </c>
      <c r="AG2" s="4">
        <f>+AH2-365</f>
        <v>38598</v>
      </c>
      <c r="AH2" s="4">
        <f>+AI2-365</f>
        <v>38963</v>
      </c>
      <c r="AI2" s="4">
        <f>+AJ2-365</f>
        <v>39328</v>
      </c>
      <c r="AJ2" s="4">
        <f>+AK2-365</f>
        <v>39693</v>
      </c>
      <c r="AK2" s="4">
        <f>+AL2-365</f>
        <v>40058</v>
      </c>
      <c r="AL2" s="4">
        <f>+AM2-365</f>
        <v>40423</v>
      </c>
      <c r="AM2" s="5">
        <f t="shared" ref="AM2:AP2" si="2">+AN2-365</f>
        <v>40788</v>
      </c>
      <c r="AN2" s="5">
        <f t="shared" si="2"/>
        <v>41153</v>
      </c>
      <c r="AO2" s="5">
        <f t="shared" si="2"/>
        <v>41518</v>
      </c>
      <c r="AP2" s="5">
        <f t="shared" ref="AP2:AR2" si="3">+AQ2-365</f>
        <v>41883</v>
      </c>
      <c r="AQ2" s="5">
        <f t="shared" si="3"/>
        <v>42248</v>
      </c>
      <c r="AR2" s="5">
        <f>+AS2-365</f>
        <v>42613</v>
      </c>
      <c r="AS2" s="4">
        <v>42978</v>
      </c>
      <c r="AT2" s="4">
        <v>43342</v>
      </c>
      <c r="AU2" s="4">
        <v>43706</v>
      </c>
      <c r="AV2" s="4">
        <f>+AW2-365</f>
        <v>44076</v>
      </c>
      <c r="AW2" s="4">
        <v>44441</v>
      </c>
      <c r="AX2" s="4">
        <v>44805</v>
      </c>
      <c r="AY2" s="4">
        <f>+I2</f>
        <v>45169</v>
      </c>
      <c r="AZ2" s="4">
        <f>+M2</f>
        <v>45535</v>
      </c>
      <c r="BA2" s="4">
        <f>+AZ2+365</f>
        <v>45900</v>
      </c>
      <c r="BB2" s="4">
        <f>+BA2+365</f>
        <v>46265</v>
      </c>
      <c r="BC2" s="4">
        <f>+BB2+365</f>
        <v>46630</v>
      </c>
    </row>
    <row r="3" spans="1:96" x14ac:dyDescent="0.2">
      <c r="E3" s="3" t="s">
        <v>34</v>
      </c>
      <c r="F3" s="3" t="s">
        <v>26</v>
      </c>
      <c r="G3" s="3" t="s">
        <v>25</v>
      </c>
      <c r="H3" s="3" t="s">
        <v>24</v>
      </c>
      <c r="I3" s="3" t="s">
        <v>23</v>
      </c>
      <c r="J3" s="3" t="s">
        <v>22</v>
      </c>
      <c r="K3" s="3" t="s">
        <v>21</v>
      </c>
      <c r="L3" s="3" t="s">
        <v>20</v>
      </c>
      <c r="M3" s="3" t="s">
        <v>27</v>
      </c>
      <c r="N3" s="3" t="s">
        <v>28</v>
      </c>
      <c r="O3" s="3" t="s">
        <v>29</v>
      </c>
      <c r="P3" s="3" t="s">
        <v>30</v>
      </c>
      <c r="Q3" s="3" t="s">
        <v>31</v>
      </c>
      <c r="R3" s="3"/>
      <c r="S3" s="3" t="s">
        <v>151</v>
      </c>
      <c r="T3" s="3" t="s">
        <v>150</v>
      </c>
      <c r="U3" s="3" t="s">
        <v>149</v>
      </c>
      <c r="V3" s="3" t="s">
        <v>148</v>
      </c>
      <c r="W3" s="3" t="s">
        <v>147</v>
      </c>
      <c r="X3" s="3" t="s">
        <v>146</v>
      </c>
      <c r="Y3" s="3" t="s">
        <v>145</v>
      </c>
      <c r="Z3" s="3" t="s">
        <v>144</v>
      </c>
      <c r="AA3" s="3" t="s">
        <v>143</v>
      </c>
      <c r="AB3" s="3" t="s">
        <v>142</v>
      </c>
      <c r="AC3" s="3" t="s">
        <v>141</v>
      </c>
      <c r="AD3" s="3" t="s">
        <v>139</v>
      </c>
      <c r="AE3" s="3" t="s">
        <v>140</v>
      </c>
      <c r="AF3" s="3" t="s">
        <v>138</v>
      </c>
      <c r="AG3" s="3" t="s">
        <v>137</v>
      </c>
      <c r="AH3" s="3" t="s">
        <v>136</v>
      </c>
      <c r="AI3" s="3" t="s">
        <v>135</v>
      </c>
      <c r="AJ3" s="3" t="s">
        <v>134</v>
      </c>
      <c r="AK3" s="3" t="s">
        <v>133</v>
      </c>
      <c r="AL3" s="3" t="s">
        <v>132</v>
      </c>
      <c r="AM3" s="3" t="s">
        <v>131</v>
      </c>
      <c r="AN3" s="3" t="s">
        <v>130</v>
      </c>
      <c r="AO3" s="3" t="s">
        <v>129</v>
      </c>
      <c r="AP3" s="3" t="s">
        <v>128</v>
      </c>
      <c r="AQ3" s="3" t="s">
        <v>127</v>
      </c>
      <c r="AR3" s="3" t="s">
        <v>126</v>
      </c>
      <c r="AS3" s="3" t="s">
        <v>123</v>
      </c>
      <c r="AT3" s="3" t="s">
        <v>103</v>
      </c>
      <c r="AU3" s="3" t="s">
        <v>102</v>
      </c>
      <c r="AV3" s="3" t="s">
        <v>101</v>
      </c>
      <c r="AW3" s="3" t="s">
        <v>100</v>
      </c>
      <c r="AX3" s="3" t="s">
        <v>53</v>
      </c>
      <c r="AY3" s="3" t="s">
        <v>54</v>
      </c>
      <c r="AZ3" s="3" t="s">
        <v>55</v>
      </c>
      <c r="BA3" s="3" t="s">
        <v>56</v>
      </c>
      <c r="BB3" s="3" t="s">
        <v>57</v>
      </c>
      <c r="BC3" s="3" t="s">
        <v>58</v>
      </c>
      <c r="BD3" s="3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3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3" t="s">
        <v>69</v>
      </c>
      <c r="BO3" s="3" t="s">
        <v>70</v>
      </c>
      <c r="BP3" s="3" t="s">
        <v>71</v>
      </c>
      <c r="BQ3" s="3" t="s">
        <v>72</v>
      </c>
      <c r="BR3" s="3" t="s">
        <v>73</v>
      </c>
      <c r="BS3" s="3" t="s">
        <v>74</v>
      </c>
      <c r="BT3" s="3" t="s">
        <v>75</v>
      </c>
      <c r="BU3" s="3" t="s">
        <v>76</v>
      </c>
      <c r="BV3" s="3" t="s">
        <v>77</v>
      </c>
      <c r="BW3" s="3" t="s">
        <v>78</v>
      </c>
      <c r="BX3" s="3" t="s">
        <v>79</v>
      </c>
      <c r="BY3" s="3" t="s">
        <v>80</v>
      </c>
      <c r="BZ3" s="3" t="s">
        <v>81</v>
      </c>
      <c r="CA3" s="3" t="s">
        <v>82</v>
      </c>
      <c r="CB3" s="3" t="s">
        <v>83</v>
      </c>
      <c r="CC3" s="3" t="s">
        <v>84</v>
      </c>
      <c r="CD3" s="3" t="s">
        <v>85</v>
      </c>
      <c r="CE3" s="3" t="s">
        <v>86</v>
      </c>
      <c r="CF3" s="3" t="s">
        <v>87</v>
      </c>
      <c r="CG3" s="3" t="s">
        <v>88</v>
      </c>
      <c r="CH3" s="3" t="s">
        <v>89</v>
      </c>
      <c r="CI3" s="3" t="s">
        <v>90</v>
      </c>
      <c r="CJ3" s="3" t="s">
        <v>91</v>
      </c>
      <c r="CK3" s="3" t="s">
        <v>92</v>
      </c>
      <c r="CL3" s="3" t="s">
        <v>93</v>
      </c>
      <c r="CM3" s="3" t="s">
        <v>94</v>
      </c>
      <c r="CN3" s="3" t="s">
        <v>95</v>
      </c>
      <c r="CO3" s="3" t="s">
        <v>96</v>
      </c>
      <c r="CP3" s="3" t="s">
        <v>97</v>
      </c>
      <c r="CQ3" s="3" t="s">
        <v>98</v>
      </c>
      <c r="CR3" s="3" t="s">
        <v>99</v>
      </c>
    </row>
    <row r="4" spans="1:96" x14ac:dyDescent="0.2">
      <c r="B4" t="s">
        <v>113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T4" s="3"/>
      <c r="AU4" s="3"/>
      <c r="AV4" s="14">
        <v>9184</v>
      </c>
      <c r="AW4" s="14">
        <v>12280</v>
      </c>
      <c r="AX4" s="14">
        <v>13693</v>
      </c>
      <c r="AY4" s="14">
        <v>5710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 x14ac:dyDescent="0.2">
      <c r="B5" t="s">
        <v>115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T5" s="3"/>
      <c r="AU5" s="3"/>
      <c r="AV5" s="6">
        <v>5702</v>
      </c>
      <c r="AW5" s="6">
        <v>7203</v>
      </c>
      <c r="AX5" s="6">
        <v>7260</v>
      </c>
      <c r="AY5" s="6">
        <v>3630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 x14ac:dyDescent="0.2">
      <c r="B6" t="s">
        <v>116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T6" s="3"/>
      <c r="AU6" s="3"/>
      <c r="AV6" s="6">
        <v>2759</v>
      </c>
      <c r="AW6" s="6">
        <v>4209</v>
      </c>
      <c r="AX6" s="6">
        <v>5235</v>
      </c>
      <c r="AY6" s="6">
        <v>3640</v>
      </c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 x14ac:dyDescent="0.2">
      <c r="B7" t="s">
        <v>117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T7" s="3"/>
      <c r="AU7" s="3"/>
      <c r="AV7" s="6">
        <v>3765</v>
      </c>
      <c r="AW7" s="6">
        <v>3973</v>
      </c>
      <c r="AX7" s="6">
        <v>4553</v>
      </c>
      <c r="AY7" s="6">
        <v>2550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 x14ac:dyDescent="0.2"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T8" s="3"/>
      <c r="AU8" s="3"/>
      <c r="AV8" s="6">
        <v>25</v>
      </c>
      <c r="AW8" s="3">
        <v>40</v>
      </c>
      <c r="AX8" s="3">
        <v>17</v>
      </c>
      <c r="AY8" s="3">
        <v>10</v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 x14ac:dyDescent="0.2"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 s="9" customFormat="1" x14ac:dyDescent="0.2">
      <c r="B10" s="9" t="s">
        <v>8</v>
      </c>
      <c r="C10" s="10"/>
      <c r="D10" s="10"/>
      <c r="E10" s="10">
        <v>6643</v>
      </c>
      <c r="F10" s="10">
        <v>4085</v>
      </c>
      <c r="G10" s="10">
        <v>3693</v>
      </c>
      <c r="H10" s="10">
        <v>3752</v>
      </c>
      <c r="I10" s="10">
        <v>4010</v>
      </c>
      <c r="J10" s="10">
        <v>4726</v>
      </c>
      <c r="K10" s="10">
        <v>5824</v>
      </c>
      <c r="L10" s="10">
        <v>6811</v>
      </c>
      <c r="M10" s="10">
        <v>7600</v>
      </c>
      <c r="N10" s="10"/>
      <c r="AD10" s="9">
        <v>2589</v>
      </c>
      <c r="AE10" s="9">
        <v>3091</v>
      </c>
      <c r="AF10" s="9">
        <v>4404</v>
      </c>
      <c r="AG10" s="9">
        <v>4880</v>
      </c>
      <c r="AH10" s="9">
        <v>5272</v>
      </c>
      <c r="AI10" s="9">
        <v>5688</v>
      </c>
      <c r="AJ10" s="9">
        <v>5841</v>
      </c>
      <c r="AK10" s="9">
        <v>4803</v>
      </c>
      <c r="AL10" s="9">
        <v>8482</v>
      </c>
      <c r="AM10" s="9">
        <v>8788</v>
      </c>
      <c r="AN10" s="9">
        <v>8234</v>
      </c>
      <c r="AO10" s="9">
        <v>9073</v>
      </c>
      <c r="AP10" s="9">
        <v>16358</v>
      </c>
      <c r="AQ10" s="9">
        <v>16192</v>
      </c>
      <c r="AR10" s="10">
        <v>12399</v>
      </c>
      <c r="AS10" s="9">
        <v>20322</v>
      </c>
      <c r="AT10" s="9">
        <v>30391</v>
      </c>
      <c r="AU10" s="9">
        <v>23406</v>
      </c>
      <c r="AV10" s="9">
        <f>SUM(AV4:AV8)</f>
        <v>21435</v>
      </c>
      <c r="AW10" s="9">
        <f>SUM(AW4:AW8)</f>
        <v>27705</v>
      </c>
      <c r="AX10" s="9">
        <f>SUM(AX4:AX8)</f>
        <v>30758</v>
      </c>
      <c r="AY10" s="9">
        <f>SUM(AY4:AY8)</f>
        <v>15540</v>
      </c>
      <c r="AZ10" s="9">
        <f>SUM(J10:M10)</f>
        <v>24961</v>
      </c>
    </row>
    <row r="11" spans="1:96" s="2" customFormat="1" x14ac:dyDescent="0.2">
      <c r="B11" s="2" t="s">
        <v>10</v>
      </c>
      <c r="C11" s="6"/>
      <c r="D11" s="6"/>
      <c r="E11" s="6">
        <v>4021</v>
      </c>
      <c r="F11" s="6">
        <v>3192</v>
      </c>
      <c r="G11" s="6">
        <v>4899</v>
      </c>
      <c r="H11" s="6">
        <v>4420</v>
      </c>
      <c r="I11" s="6">
        <v>4445</v>
      </c>
      <c r="J11" s="6">
        <v>4761</v>
      </c>
      <c r="K11" s="6">
        <v>4745</v>
      </c>
      <c r="L11" s="6">
        <v>4979</v>
      </c>
      <c r="M11" s="6"/>
      <c r="N11" s="6"/>
      <c r="AP11" s="2">
        <v>10921</v>
      </c>
      <c r="AQ11" s="2">
        <v>10977</v>
      </c>
      <c r="AR11" s="6">
        <v>9894</v>
      </c>
      <c r="AS11" s="2">
        <v>11886</v>
      </c>
      <c r="AT11" s="2">
        <v>12500</v>
      </c>
      <c r="AU11" s="2">
        <v>12704</v>
      </c>
      <c r="AV11" s="2">
        <v>14883</v>
      </c>
      <c r="AW11" s="2">
        <v>17282</v>
      </c>
      <c r="AX11" s="2">
        <v>16860</v>
      </c>
      <c r="AY11" s="2">
        <v>16956</v>
      </c>
    </row>
    <row r="12" spans="1:96" s="2" customFormat="1" x14ac:dyDescent="0.2">
      <c r="B12" s="2" t="s">
        <v>9</v>
      </c>
      <c r="C12" s="6"/>
      <c r="D12" s="6"/>
      <c r="E12" s="6">
        <f>+E10-E11</f>
        <v>2622</v>
      </c>
      <c r="F12" s="6">
        <f>+F10-F11</f>
        <v>893</v>
      </c>
      <c r="G12" s="10">
        <f>+G10-G11</f>
        <v>-1206</v>
      </c>
      <c r="H12" s="10">
        <f>+H10-H11</f>
        <v>-668</v>
      </c>
      <c r="I12" s="10">
        <f>+I10-I11</f>
        <v>-435</v>
      </c>
      <c r="J12" s="10">
        <f>+J10-J11</f>
        <v>-35</v>
      </c>
      <c r="K12" s="6">
        <f>+K10-K11</f>
        <v>1079</v>
      </c>
      <c r="L12" s="6">
        <f>+L10-L11</f>
        <v>1832</v>
      </c>
      <c r="M12" s="6"/>
      <c r="N12" s="6"/>
      <c r="AD12" s="2">
        <v>-111</v>
      </c>
      <c r="AE12" s="2">
        <v>-21</v>
      </c>
      <c r="AF12" s="2">
        <v>1314</v>
      </c>
      <c r="AG12" s="2">
        <v>1146</v>
      </c>
      <c r="AH12" s="2">
        <v>1200</v>
      </c>
      <c r="AI12" s="2">
        <v>1078</v>
      </c>
      <c r="AJ12" s="2">
        <v>-55</v>
      </c>
      <c r="AK12" s="2">
        <v>-440</v>
      </c>
      <c r="AL12" s="2">
        <v>2714</v>
      </c>
      <c r="AM12" s="2">
        <v>1758</v>
      </c>
      <c r="AN12" s="2">
        <v>968</v>
      </c>
      <c r="AO12" s="2">
        <v>1847</v>
      </c>
      <c r="AP12" s="2">
        <v>5437</v>
      </c>
      <c r="AQ12" s="2">
        <v>5215</v>
      </c>
      <c r="AR12" s="6">
        <v>2505</v>
      </c>
      <c r="AS12" s="2">
        <f>+AS10-AS11</f>
        <v>8436</v>
      </c>
      <c r="AT12" s="2">
        <f>+AT10-AT11</f>
        <v>17891</v>
      </c>
      <c r="AU12" s="2">
        <f>+AU10-AU11</f>
        <v>10702</v>
      </c>
      <c r="AV12" s="2">
        <f>+AV10-AV11</f>
        <v>6552</v>
      </c>
      <c r="AW12" s="2">
        <f>+AW10-AW11</f>
        <v>10423</v>
      </c>
      <c r="AX12" s="2">
        <f>+AX10-AX11</f>
        <v>13898</v>
      </c>
      <c r="AY12" s="2">
        <f>+AY10-AY11</f>
        <v>-1416</v>
      </c>
    </row>
    <row r="13" spans="1:96" s="2" customFormat="1" x14ac:dyDescent="0.2">
      <c r="C13" s="6"/>
      <c r="D13" s="6"/>
      <c r="E13" s="6"/>
      <c r="F13" s="6"/>
      <c r="G13" s="10"/>
      <c r="H13" s="10"/>
      <c r="I13" s="10"/>
      <c r="J13" s="10"/>
      <c r="K13" s="6"/>
      <c r="L13" s="6"/>
      <c r="M13" s="6"/>
      <c r="N13" s="6"/>
      <c r="AR13" s="6"/>
    </row>
    <row r="14" spans="1:96" s="15" customFormat="1" x14ac:dyDescent="0.2">
      <c r="B14" s="15" t="s">
        <v>37</v>
      </c>
      <c r="C14" s="16"/>
      <c r="D14" s="16"/>
      <c r="E14" s="16"/>
      <c r="F14" s="16"/>
      <c r="G14" s="16"/>
      <c r="H14" s="16"/>
      <c r="I14" s="16"/>
      <c r="J14" s="16">
        <f>+J35</f>
        <v>1915</v>
      </c>
      <c r="K14" s="16">
        <f>+K35</f>
        <v>1924</v>
      </c>
      <c r="L14" s="16">
        <f>+L35</f>
        <v>1955</v>
      </c>
      <c r="M14" s="16"/>
      <c r="N14" s="16"/>
      <c r="AR14" s="16"/>
    </row>
    <row r="15" spans="1:96" s="15" customFormat="1" x14ac:dyDescent="0.2">
      <c r="B15" s="15" t="s">
        <v>41</v>
      </c>
      <c r="C15" s="16"/>
      <c r="D15" s="16"/>
      <c r="E15" s="16"/>
      <c r="F15" s="16"/>
      <c r="G15" s="16"/>
      <c r="H15" s="16"/>
      <c r="I15" s="16"/>
      <c r="J15" s="16">
        <f>+J12+J14</f>
        <v>1880</v>
      </c>
      <c r="K15" s="16">
        <f>+K12+K14</f>
        <v>3003</v>
      </c>
      <c r="L15" s="16">
        <f>+L12+L14</f>
        <v>3787</v>
      </c>
      <c r="M15" s="16"/>
      <c r="N15" s="16"/>
      <c r="AR15" s="16"/>
    </row>
    <row r="16" spans="1:96" s="15" customFormat="1" x14ac:dyDescent="0.2">
      <c r="B16" s="15" t="s">
        <v>32</v>
      </c>
      <c r="C16" s="16"/>
      <c r="D16" s="16"/>
      <c r="E16" s="16"/>
      <c r="F16" s="16"/>
      <c r="G16" s="16"/>
      <c r="H16" s="16"/>
      <c r="I16" s="16"/>
      <c r="J16" s="17">
        <f>+J15/J10</f>
        <v>0.3977994075327973</v>
      </c>
      <c r="K16" s="17">
        <f>+K15/K10</f>
        <v>0.515625</v>
      </c>
      <c r="L16" s="17">
        <f>+L15/L10</f>
        <v>0.55601233299075026</v>
      </c>
      <c r="M16" s="16"/>
      <c r="N16" s="16"/>
      <c r="AR16" s="16"/>
    </row>
    <row r="17" spans="2:51" s="2" customFormat="1" x14ac:dyDescent="0.2">
      <c r="C17" s="6"/>
      <c r="D17" s="6"/>
      <c r="E17" s="6"/>
      <c r="F17" s="6"/>
      <c r="G17" s="10"/>
      <c r="H17" s="10"/>
      <c r="I17" s="10"/>
      <c r="J17" s="10"/>
      <c r="K17" s="6"/>
      <c r="L17" s="6"/>
      <c r="M17" s="6"/>
      <c r="N17" s="6"/>
      <c r="AR17" s="6"/>
    </row>
    <row r="18" spans="2:51" s="2" customFormat="1" x14ac:dyDescent="0.2">
      <c r="B18" s="2" t="s">
        <v>13</v>
      </c>
      <c r="C18" s="6"/>
      <c r="D18" s="6"/>
      <c r="E18" s="6">
        <v>839</v>
      </c>
      <c r="F18" s="6">
        <v>849</v>
      </c>
      <c r="G18" s="6">
        <v>788</v>
      </c>
      <c r="H18" s="6"/>
      <c r="I18" s="6">
        <v>719</v>
      </c>
      <c r="J18" s="6">
        <v>845</v>
      </c>
      <c r="K18" s="6">
        <v>832</v>
      </c>
      <c r="L18" s="6">
        <v>850</v>
      </c>
      <c r="M18" s="6"/>
      <c r="N18" s="6"/>
      <c r="AR18" s="6"/>
      <c r="AS18" s="2">
        <v>1824</v>
      </c>
      <c r="AT18" s="2">
        <v>2141</v>
      </c>
      <c r="AU18" s="2">
        <v>2441</v>
      </c>
      <c r="AV18" s="2">
        <v>2600</v>
      </c>
      <c r="AW18" s="2">
        <v>2663</v>
      </c>
      <c r="AX18" s="13">
        <v>3116</v>
      </c>
      <c r="AY18" s="2">
        <v>3114</v>
      </c>
    </row>
    <row r="19" spans="2:51" s="2" customFormat="1" x14ac:dyDescent="0.2">
      <c r="B19" s="2" t="s">
        <v>14</v>
      </c>
      <c r="C19" s="6"/>
      <c r="D19" s="6"/>
      <c r="E19" s="6">
        <v>280</v>
      </c>
      <c r="F19" s="6">
        <v>251</v>
      </c>
      <c r="G19" s="6">
        <v>231</v>
      </c>
      <c r="H19" s="6"/>
      <c r="I19" s="6">
        <v>219</v>
      </c>
      <c r="J19" s="6">
        <v>263</v>
      </c>
      <c r="K19" s="6">
        <v>280</v>
      </c>
      <c r="L19" s="6">
        <v>291</v>
      </c>
      <c r="M19" s="6"/>
      <c r="N19" s="6"/>
      <c r="AR19" s="6"/>
      <c r="AS19" s="2">
        <v>743</v>
      </c>
      <c r="AT19" s="2">
        <v>813</v>
      </c>
      <c r="AU19" s="2">
        <v>836</v>
      </c>
      <c r="AV19" s="2">
        <v>881</v>
      </c>
      <c r="AW19" s="2">
        <v>894</v>
      </c>
      <c r="AX19" s="2">
        <v>1066</v>
      </c>
      <c r="AY19" s="2">
        <v>920</v>
      </c>
    </row>
    <row r="20" spans="2:51" s="2" customFormat="1" x14ac:dyDescent="0.2">
      <c r="B20" s="2" t="s">
        <v>11</v>
      </c>
      <c r="C20" s="6"/>
      <c r="D20" s="6"/>
      <c r="E20" s="6">
        <f t="shared" ref="E20:K20" si="4">+E18+E19</f>
        <v>1119</v>
      </c>
      <c r="F20" s="6">
        <f t="shared" si="4"/>
        <v>1100</v>
      </c>
      <c r="G20" s="6">
        <f t="shared" si="4"/>
        <v>1019</v>
      </c>
      <c r="H20" s="6">
        <f t="shared" si="4"/>
        <v>0</v>
      </c>
      <c r="I20" s="6">
        <f t="shared" si="4"/>
        <v>938</v>
      </c>
      <c r="J20" s="6">
        <f t="shared" si="4"/>
        <v>1108</v>
      </c>
      <c r="K20" s="6">
        <f t="shared" si="4"/>
        <v>1112</v>
      </c>
      <c r="L20" s="6">
        <f>+L18+L19</f>
        <v>1141</v>
      </c>
      <c r="M20" s="6"/>
      <c r="N20" s="6"/>
      <c r="AR20" s="6"/>
      <c r="AS20" s="2">
        <f t="shared" ref="AS20:AX20" si="5">+AS19+AS18</f>
        <v>2567</v>
      </c>
      <c r="AT20" s="2">
        <f t="shared" si="5"/>
        <v>2954</v>
      </c>
      <c r="AU20" s="2">
        <f t="shared" si="5"/>
        <v>3277</v>
      </c>
      <c r="AV20" s="2">
        <f t="shared" si="5"/>
        <v>3481</v>
      </c>
      <c r="AW20" s="2">
        <f t="shared" si="5"/>
        <v>3557</v>
      </c>
      <c r="AX20" s="2">
        <f t="shared" si="5"/>
        <v>4182</v>
      </c>
      <c r="AY20" s="2">
        <f>+AY19+AY18</f>
        <v>4034</v>
      </c>
    </row>
    <row r="21" spans="2:51" s="2" customFormat="1" x14ac:dyDescent="0.2">
      <c r="B21" s="2" t="s">
        <v>12</v>
      </c>
      <c r="C21" s="6"/>
      <c r="D21" s="6"/>
      <c r="E21" s="6">
        <f t="shared" ref="E21:K21" si="6">+E12-E20</f>
        <v>1503</v>
      </c>
      <c r="F21" s="6">
        <f t="shared" si="6"/>
        <v>-207</v>
      </c>
      <c r="G21" s="6">
        <f t="shared" si="6"/>
        <v>-2225</v>
      </c>
      <c r="H21" s="6">
        <f t="shared" si="6"/>
        <v>-668</v>
      </c>
      <c r="I21" s="6">
        <f t="shared" si="6"/>
        <v>-1373</v>
      </c>
      <c r="J21" s="6">
        <f t="shared" si="6"/>
        <v>-1143</v>
      </c>
      <c r="K21" s="6">
        <f t="shared" si="6"/>
        <v>-33</v>
      </c>
      <c r="L21" s="6">
        <f>+L12-L20</f>
        <v>691</v>
      </c>
      <c r="M21" s="6"/>
      <c r="N21" s="6"/>
      <c r="AR21" s="6"/>
      <c r="AS21" s="2">
        <f t="shared" ref="AS21:AX21" si="7">+AS12-AS20</f>
        <v>5869</v>
      </c>
      <c r="AT21" s="2">
        <f t="shared" si="7"/>
        <v>14937</v>
      </c>
      <c r="AU21" s="2">
        <f t="shared" si="7"/>
        <v>7425</v>
      </c>
      <c r="AV21" s="2">
        <f t="shared" si="7"/>
        <v>3071</v>
      </c>
      <c r="AW21" s="2">
        <f t="shared" si="7"/>
        <v>6866</v>
      </c>
      <c r="AX21" s="2">
        <f t="shared" si="7"/>
        <v>9716</v>
      </c>
      <c r="AY21" s="2">
        <f>+AY12-AY20</f>
        <v>-5450</v>
      </c>
    </row>
    <row r="22" spans="2:51" x14ac:dyDescent="0.2">
      <c r="B22" s="2" t="s">
        <v>15</v>
      </c>
      <c r="E22" s="3">
        <f>23+54-45+23</f>
        <v>55</v>
      </c>
      <c r="F22" s="3">
        <f>11-51-4</f>
        <v>-44</v>
      </c>
      <c r="G22" s="3">
        <f>119-89+2-8</f>
        <v>24</v>
      </c>
      <c r="J22" s="3">
        <f>-27-15</f>
        <v>-42</v>
      </c>
      <c r="K22" s="3">
        <f>130-144-7</f>
        <v>-21</v>
      </c>
      <c r="L22" s="6">
        <f>136-150+10</f>
        <v>-4</v>
      </c>
      <c r="AS22">
        <f>-1+41-601-112</f>
        <v>-673</v>
      </c>
      <c r="AT22">
        <f>57+120-342-465</f>
        <v>-630</v>
      </c>
      <c r="AU22">
        <f>-78+205-128-405</f>
        <v>-406</v>
      </c>
      <c r="AV22">
        <f>-8+114-194+60</f>
        <v>-28</v>
      </c>
      <c r="AW22">
        <f>-95+37-183+81</f>
        <v>-160</v>
      </c>
      <c r="AX22">
        <f>34+96-189-38</f>
        <v>-97</v>
      </c>
      <c r="AY22">
        <f>-124+468-388+7</f>
        <v>-37</v>
      </c>
    </row>
    <row r="23" spans="2:51" x14ac:dyDescent="0.2">
      <c r="B23" s="2" t="s">
        <v>16</v>
      </c>
      <c r="E23" s="6">
        <f t="shared" ref="E23:J23" si="8">+E21+E22</f>
        <v>1558</v>
      </c>
      <c r="F23" s="6">
        <f t="shared" si="8"/>
        <v>-251</v>
      </c>
      <c r="G23" s="6">
        <f t="shared" si="8"/>
        <v>-2201</v>
      </c>
      <c r="H23" s="6">
        <f t="shared" si="8"/>
        <v>-668</v>
      </c>
      <c r="I23" s="6">
        <f t="shared" si="8"/>
        <v>-1373</v>
      </c>
      <c r="J23" s="6">
        <f t="shared" si="8"/>
        <v>-1185</v>
      </c>
      <c r="K23" s="6">
        <f>+K21+K22</f>
        <v>-54</v>
      </c>
      <c r="L23" s="6">
        <f>+L21+L22</f>
        <v>687</v>
      </c>
      <c r="AS23" s="2">
        <f>+AS21+AS22</f>
        <v>5196</v>
      </c>
      <c r="AT23" s="2">
        <f>+AT21+AT22</f>
        <v>14307</v>
      </c>
      <c r="AU23" s="2">
        <f>+AU21+AU22</f>
        <v>7019</v>
      </c>
      <c r="AV23" s="2">
        <f>+AV21+AV22</f>
        <v>3043</v>
      </c>
      <c r="AW23" s="2">
        <f>+AW21+AW22</f>
        <v>6706</v>
      </c>
      <c r="AX23" s="2">
        <f>+AX21+AX22</f>
        <v>9619</v>
      </c>
      <c r="AY23" s="2">
        <f>+AY21+AY22</f>
        <v>-5487</v>
      </c>
    </row>
    <row r="24" spans="2:51" x14ac:dyDescent="0.2">
      <c r="B24" s="2" t="s">
        <v>17</v>
      </c>
      <c r="E24" s="3">
        <f>56+5</f>
        <v>61</v>
      </c>
      <c r="F24" s="3">
        <v>19</v>
      </c>
      <c r="J24" s="3">
        <f>73+6</f>
        <v>79</v>
      </c>
      <c r="K24" s="6">
        <f>622+1</f>
        <v>623</v>
      </c>
      <c r="L24" s="6">
        <f>377+6</f>
        <v>383</v>
      </c>
      <c r="AS24">
        <f>114-8</f>
        <v>106</v>
      </c>
      <c r="AT24">
        <f>168+1</f>
        <v>169</v>
      </c>
      <c r="AU24">
        <f>693-3</f>
        <v>690</v>
      </c>
      <c r="AV24">
        <f>280-7</f>
        <v>273</v>
      </c>
      <c r="AW24">
        <f>394-37</f>
        <v>357</v>
      </c>
      <c r="AX24">
        <f>888-4</f>
        <v>884</v>
      </c>
      <c r="AY24">
        <f>177-2</f>
        <v>175</v>
      </c>
    </row>
    <row r="25" spans="2:51" x14ac:dyDescent="0.2">
      <c r="B25" s="2" t="s">
        <v>18</v>
      </c>
      <c r="E25" s="6">
        <f t="shared" ref="E25:J25" si="9">+E23-E24</f>
        <v>1497</v>
      </c>
      <c r="F25" s="6">
        <f t="shared" si="9"/>
        <v>-270</v>
      </c>
      <c r="G25" s="6">
        <f t="shared" si="9"/>
        <v>-2201</v>
      </c>
      <c r="H25" s="6">
        <f t="shared" si="9"/>
        <v>-668</v>
      </c>
      <c r="I25" s="6">
        <f t="shared" si="9"/>
        <v>-1373</v>
      </c>
      <c r="J25" s="6">
        <f t="shared" si="9"/>
        <v>-1264</v>
      </c>
      <c r="K25" s="6">
        <f>+K23-K24</f>
        <v>-677</v>
      </c>
      <c r="L25" s="6">
        <f>+L23-L24</f>
        <v>304</v>
      </c>
      <c r="AS25" s="2">
        <f>+AS23-AS24</f>
        <v>5090</v>
      </c>
      <c r="AT25" s="2">
        <f>+AT23-AT24</f>
        <v>14138</v>
      </c>
      <c r="AU25" s="2">
        <f>+AU23-AU24</f>
        <v>6329</v>
      </c>
      <c r="AV25" s="2">
        <f>+AV23-AV24</f>
        <v>2770</v>
      </c>
      <c r="AW25" s="2">
        <f>+AW23-AW24</f>
        <v>6349</v>
      </c>
      <c r="AX25" s="2">
        <f>+AX23-AX24</f>
        <v>8735</v>
      </c>
      <c r="AY25" s="2">
        <f>+AY23-AY24</f>
        <v>-5662</v>
      </c>
    </row>
    <row r="26" spans="2:51" x14ac:dyDescent="0.2">
      <c r="B26" s="2" t="s">
        <v>19</v>
      </c>
      <c r="E26" s="8">
        <f>+E25/E27</f>
        <v>1.3535262206148282</v>
      </c>
      <c r="F26" s="8">
        <f>+F25/F27</f>
        <v>-0.24657534246575341</v>
      </c>
      <c r="G26" s="8">
        <f>+G25/G27</f>
        <v>-2.0174152153987168</v>
      </c>
      <c r="H26" s="8" t="e">
        <f>+H25/H27</f>
        <v>#DIV/0!</v>
      </c>
      <c r="I26" s="8">
        <f>+I25/I27</f>
        <v>-1.2538812785388127</v>
      </c>
      <c r="J26" s="8">
        <f>+J25/J27</f>
        <v>-1.1490909090909092</v>
      </c>
      <c r="K26" s="8">
        <f>+K25/K27</f>
        <v>-0.6077199281867145</v>
      </c>
      <c r="L26" s="8">
        <f>+L25/L27</f>
        <v>0.27070347284060553</v>
      </c>
      <c r="AS26" s="1">
        <f>+AS25/AS27</f>
        <v>4.4107452339688038</v>
      </c>
      <c r="AT26" s="1">
        <f>+AT25/AT27</f>
        <v>11.503661513425548</v>
      </c>
      <c r="AU26" s="1">
        <f>+AU25/AU27</f>
        <v>5.5371828521434825</v>
      </c>
      <c r="AV26" s="1">
        <f>+AV25/AV27</f>
        <v>2.4491600353669321</v>
      </c>
      <c r="AW26" s="1">
        <f>+AW25/AW27</f>
        <v>5.5644171779141107</v>
      </c>
      <c r="AX26" s="1">
        <f>+AX25/AX27</f>
        <v>7.785204991087344</v>
      </c>
      <c r="AY26" s="1">
        <f>+AY25/AY27</f>
        <v>-5.1802378774016464</v>
      </c>
    </row>
    <row r="27" spans="2:51" x14ac:dyDescent="0.2">
      <c r="B27" s="2" t="s">
        <v>1</v>
      </c>
      <c r="E27" s="6">
        <v>1106</v>
      </c>
      <c r="F27" s="6">
        <v>1095</v>
      </c>
      <c r="G27" s="6">
        <v>1091</v>
      </c>
      <c r="I27" s="6">
        <v>1095</v>
      </c>
      <c r="J27" s="6">
        <v>1100</v>
      </c>
      <c r="K27" s="6">
        <v>1114</v>
      </c>
      <c r="L27" s="6">
        <v>1123</v>
      </c>
      <c r="AS27" s="2">
        <v>1154</v>
      </c>
      <c r="AT27" s="2">
        <v>1229</v>
      </c>
      <c r="AU27" s="2">
        <v>1143</v>
      </c>
      <c r="AV27" s="2">
        <v>1131</v>
      </c>
      <c r="AW27" s="2">
        <v>1141</v>
      </c>
      <c r="AX27" s="2">
        <v>1122</v>
      </c>
      <c r="AY27" s="2">
        <v>1093</v>
      </c>
    </row>
    <row r="30" spans="2:51" s="20" customFormat="1" x14ac:dyDescent="0.2">
      <c r="B30" s="9" t="s">
        <v>33</v>
      </c>
      <c r="C30" s="19"/>
      <c r="D30" s="19"/>
      <c r="E30" s="19"/>
      <c r="F30" s="19"/>
      <c r="G30" s="19"/>
      <c r="H30" s="19"/>
      <c r="I30" s="12">
        <f>+I10/E10-1</f>
        <v>-0.39635706758994427</v>
      </c>
      <c r="J30" s="12">
        <f>+J10/F10-1</f>
        <v>0.1569155446756425</v>
      </c>
      <c r="K30" s="12">
        <f>+K10/G10-1</f>
        <v>0.57703763877606273</v>
      </c>
      <c r="L30" s="12">
        <f>+L10/H10-1</f>
        <v>0.81529850746268662</v>
      </c>
      <c r="M30" s="12">
        <f>+M10/I10-1</f>
        <v>0.89526184538653375</v>
      </c>
      <c r="N30" s="19"/>
      <c r="AE30" s="21">
        <f t="shared" ref="AE30:AL30" si="10">+AE10/AD10-1</f>
        <v>0.19389725762842791</v>
      </c>
      <c r="AF30" s="21">
        <f t="shared" si="10"/>
        <v>0.42478162406988029</v>
      </c>
      <c r="AG30" s="21">
        <f t="shared" si="10"/>
        <v>0.10808356039963662</v>
      </c>
      <c r="AH30" s="21">
        <f t="shared" si="10"/>
        <v>8.0327868852458906E-2</v>
      </c>
      <c r="AI30" s="21">
        <f t="shared" si="10"/>
        <v>7.8907435508345891E-2</v>
      </c>
      <c r="AJ30" s="21">
        <f t="shared" si="10"/>
        <v>2.6898734177215111E-2</v>
      </c>
      <c r="AK30" s="21">
        <f t="shared" si="10"/>
        <v>-0.17770929635336419</v>
      </c>
      <c r="AL30" s="21">
        <f t="shared" ref="AL30:AT30" si="11">+AL10/AK10-1</f>
        <v>0.76597959608577981</v>
      </c>
      <c r="AM30" s="21">
        <f t="shared" si="11"/>
        <v>3.6076397076161282E-2</v>
      </c>
      <c r="AN30" s="21">
        <f t="shared" si="11"/>
        <v>-6.3040509786071897E-2</v>
      </c>
      <c r="AO30" s="21">
        <f t="shared" si="11"/>
        <v>0.10189458343453972</v>
      </c>
      <c r="AP30" s="21">
        <f t="shared" si="11"/>
        <v>0.80293177559792794</v>
      </c>
      <c r="AQ30" s="21">
        <f t="shared" si="11"/>
        <v>-1.0147939845946974E-2</v>
      </c>
      <c r="AR30" s="21">
        <f t="shared" si="11"/>
        <v>-0.23425148221343872</v>
      </c>
      <c r="AS30" s="21">
        <f t="shared" si="11"/>
        <v>0.63900314541495273</v>
      </c>
      <c r="AT30" s="21">
        <f>+AT10/AS10-1</f>
        <v>0.49547288652691668</v>
      </c>
      <c r="AU30" s="21">
        <f>+AU10/AT10-1</f>
        <v>-0.22983778092198348</v>
      </c>
      <c r="AV30" s="21">
        <f>+AV10/AU10-1</f>
        <v>-8.4209177134068169E-2</v>
      </c>
      <c r="AW30" s="21">
        <f>+AW10/AV10-1</f>
        <v>0.29251224632610207</v>
      </c>
      <c r="AX30" s="21">
        <f>+AX10/AW10-1</f>
        <v>0.11019671539433307</v>
      </c>
      <c r="AY30" s="21">
        <f>+AY10/AX10-1</f>
        <v>-0.4947655894401457</v>
      </c>
    </row>
    <row r="31" spans="2:51" x14ac:dyDescent="0.2">
      <c r="B31" s="2" t="s">
        <v>32</v>
      </c>
      <c r="E31" s="7">
        <f>+E12/E10</f>
        <v>0.39470118922173719</v>
      </c>
      <c r="F31" s="7">
        <f>+F12/F10</f>
        <v>0.21860465116279071</v>
      </c>
      <c r="G31" s="12">
        <f>+G12/G10</f>
        <v>-0.32656376929325753</v>
      </c>
      <c r="H31" s="12">
        <f>+H12/H10</f>
        <v>-0.17803837953091683</v>
      </c>
      <c r="I31" s="12">
        <f>+I12/I10</f>
        <v>-0.10847880299251871</v>
      </c>
      <c r="J31" s="12">
        <f>+J12/J10</f>
        <v>-7.4058400338552688E-3</v>
      </c>
      <c r="K31" s="7">
        <f>+K12/K10</f>
        <v>0.18526785714285715</v>
      </c>
      <c r="L31" s="7">
        <f>+L12/L10</f>
        <v>0.26897665541036558</v>
      </c>
      <c r="AD31" s="7">
        <f t="shared" ref="AD31:AK31" si="12">+AD12/AD10</f>
        <v>-4.287369640787949E-2</v>
      </c>
      <c r="AE31" s="7">
        <f t="shared" si="12"/>
        <v>-6.7939178259462957E-3</v>
      </c>
      <c r="AF31" s="7">
        <f t="shared" si="12"/>
        <v>0.29836512261580383</v>
      </c>
      <c r="AG31" s="7">
        <f t="shared" si="12"/>
        <v>0.23483606557377049</v>
      </c>
      <c r="AH31" s="7">
        <f t="shared" si="12"/>
        <v>0.22761760242792109</v>
      </c>
      <c r="AI31" s="7">
        <f t="shared" si="12"/>
        <v>0.18952180028129395</v>
      </c>
      <c r="AJ31" s="7">
        <f t="shared" si="12"/>
        <v>-9.4161958568738224E-3</v>
      </c>
      <c r="AK31" s="7">
        <f t="shared" ref="AK31:AS31" si="13">+AK12/AK10</f>
        <v>-9.1609410784926085E-2</v>
      </c>
      <c r="AL31" s="7">
        <f t="shared" si="13"/>
        <v>0.31997170478660691</v>
      </c>
      <c r="AM31" s="7">
        <f t="shared" si="13"/>
        <v>0.20004551661356396</v>
      </c>
      <c r="AN31" s="7">
        <f t="shared" si="13"/>
        <v>0.11756133106631042</v>
      </c>
      <c r="AO31" s="7">
        <f t="shared" si="13"/>
        <v>0.2035710349388295</v>
      </c>
      <c r="AP31" s="7">
        <f t="shared" si="13"/>
        <v>0.33237559603863553</v>
      </c>
      <c r="AQ31" s="7">
        <f t="shared" si="13"/>
        <v>0.32207262845849804</v>
      </c>
      <c r="AR31" s="7">
        <f t="shared" si="13"/>
        <v>0.20203242196951368</v>
      </c>
      <c r="AS31" s="7">
        <f t="shared" ref="AS31:AU31" si="14">+AS12/AS10</f>
        <v>0.41511662237968705</v>
      </c>
      <c r="AT31" s="7">
        <f t="shared" si="14"/>
        <v>0.588694021256293</v>
      </c>
      <c r="AU31" s="7">
        <f t="shared" si="14"/>
        <v>0.45723318807143465</v>
      </c>
      <c r="AV31" s="7">
        <f t="shared" ref="AV31:AY31" si="15">+AV12/AV10</f>
        <v>0.30566829951014696</v>
      </c>
      <c r="AW31" s="7">
        <f t="shared" si="15"/>
        <v>0.37621367984118392</v>
      </c>
      <c r="AX31" s="7">
        <f t="shared" si="15"/>
        <v>0.45184992522270628</v>
      </c>
      <c r="AY31" s="7">
        <f t="shared" si="15"/>
        <v>-9.1119691119691121E-2</v>
      </c>
    </row>
    <row r="33" spans="2:51" x14ac:dyDescent="0.2">
      <c r="B33" t="s">
        <v>35</v>
      </c>
      <c r="J33" s="10">
        <f>+J25</f>
        <v>-1264</v>
      </c>
      <c r="K33" s="10">
        <f>+K25</f>
        <v>-677</v>
      </c>
      <c r="L33" s="10">
        <f>+L25</f>
        <v>304</v>
      </c>
    </row>
    <row r="34" spans="2:51" x14ac:dyDescent="0.2">
      <c r="B34" t="s">
        <v>36</v>
      </c>
      <c r="J34" s="6">
        <v>-1234</v>
      </c>
      <c r="K34" s="6">
        <f>-441-J34</f>
        <v>793</v>
      </c>
      <c r="L34" s="6">
        <f>-109-K34-J34</f>
        <v>332</v>
      </c>
    </row>
    <row r="35" spans="2:51" x14ac:dyDescent="0.2">
      <c r="B35" t="s">
        <v>37</v>
      </c>
      <c r="J35" s="6">
        <v>1915</v>
      </c>
      <c r="K35" s="6">
        <f>3839-J35</f>
        <v>1924</v>
      </c>
      <c r="L35" s="6">
        <f>5794-K35-J35</f>
        <v>1955</v>
      </c>
    </row>
    <row r="36" spans="2:51" x14ac:dyDescent="0.2">
      <c r="B36" t="s">
        <v>38</v>
      </c>
      <c r="J36" s="6">
        <v>188</v>
      </c>
      <c r="K36" s="6">
        <f>401-J36</f>
        <v>213</v>
      </c>
      <c r="L36" s="6">
        <f>620-K36-J36</f>
        <v>219</v>
      </c>
    </row>
    <row r="37" spans="2:51" x14ac:dyDescent="0.2">
      <c r="B37" t="s">
        <v>39</v>
      </c>
      <c r="J37" s="6">
        <f>-501+111+271+579+72</f>
        <v>532</v>
      </c>
      <c r="K37" s="6">
        <f>-1759-57-799+573+706+157-J37</f>
        <v>-1711</v>
      </c>
      <c r="L37" s="6">
        <f>-2562-125-435+846+769+304-K37-J37</f>
        <v>-24</v>
      </c>
    </row>
    <row r="38" spans="2:51" x14ac:dyDescent="0.2">
      <c r="B38" t="s">
        <v>40</v>
      </c>
      <c r="J38" s="6">
        <f>SUM(J34:J37)</f>
        <v>1401</v>
      </c>
      <c r="K38" s="6">
        <f>SUM(K34:K37)</f>
        <v>1219</v>
      </c>
      <c r="L38" s="6">
        <f>SUM(L34:L37)</f>
        <v>2482</v>
      </c>
      <c r="AF38" s="2">
        <v>1159</v>
      </c>
      <c r="AG38" s="2">
        <v>1237</v>
      </c>
      <c r="AH38" s="2">
        <v>2019</v>
      </c>
      <c r="AI38" s="2">
        <v>937</v>
      </c>
      <c r="AJ38" s="2">
        <v>1018</v>
      </c>
      <c r="AK38" s="2">
        <v>1206</v>
      </c>
      <c r="AL38" s="2">
        <v>3096</v>
      </c>
      <c r="AM38" s="2">
        <v>2484</v>
      </c>
      <c r="AN38" s="2">
        <v>2114</v>
      </c>
      <c r="AO38" s="2">
        <v>1811</v>
      </c>
      <c r="AP38" s="2">
        <v>5699</v>
      </c>
      <c r="AQ38" s="2">
        <v>5208</v>
      </c>
      <c r="AR38" s="6">
        <v>3168</v>
      </c>
      <c r="AS38" s="2">
        <v>8153</v>
      </c>
      <c r="AT38" s="2">
        <v>17400</v>
      </c>
      <c r="AU38" s="2">
        <v>13189</v>
      </c>
      <c r="AV38" s="2">
        <v>8306</v>
      </c>
      <c r="AW38" s="2">
        <v>12468</v>
      </c>
      <c r="AX38" s="2">
        <v>15181</v>
      </c>
      <c r="AY38" s="2">
        <v>1559</v>
      </c>
    </row>
    <row r="39" spans="2:51" x14ac:dyDescent="0.2">
      <c r="J39" s="6"/>
      <c r="K39" s="6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6"/>
      <c r="AS39" s="2"/>
      <c r="AT39" s="2"/>
      <c r="AU39" s="2"/>
      <c r="AV39" s="2"/>
      <c r="AW39" s="2"/>
      <c r="AX39" s="2"/>
      <c r="AY39" s="2"/>
    </row>
    <row r="40" spans="2:51" x14ac:dyDescent="0.2">
      <c r="B40" t="s">
        <v>52</v>
      </c>
      <c r="J40" s="6">
        <v>-1796</v>
      </c>
      <c r="K40" s="6">
        <f>-3180-J40</f>
        <v>-1384</v>
      </c>
      <c r="L40" s="6">
        <f>-5266-K40-J40</f>
        <v>-2086</v>
      </c>
      <c r="AF40" s="2">
        <v>1799</v>
      </c>
      <c r="AG40" s="2">
        <v>1849</v>
      </c>
      <c r="AH40" s="2">
        <v>-1365</v>
      </c>
      <c r="AI40" s="2">
        <v>-3603</v>
      </c>
      <c r="AJ40" s="2">
        <v>-2529</v>
      </c>
      <c r="AK40" s="2">
        <v>-488</v>
      </c>
      <c r="AL40" s="2">
        <v>-616</v>
      </c>
      <c r="AM40" s="2">
        <v>-2550</v>
      </c>
      <c r="AN40" s="2">
        <v>-1699</v>
      </c>
      <c r="AO40" s="2">
        <v>-1442</v>
      </c>
      <c r="AP40" s="2">
        <v>-3107</v>
      </c>
      <c r="AQ40" s="2">
        <v>-4021</v>
      </c>
      <c r="AR40" s="6">
        <v>-5817</v>
      </c>
      <c r="AS40" s="2">
        <v>-4734</v>
      </c>
      <c r="AT40" s="2">
        <v>-8879</v>
      </c>
      <c r="AU40" s="2">
        <v>-9780</v>
      </c>
      <c r="AV40" s="2">
        <v>-8223</v>
      </c>
      <c r="AW40" s="2">
        <v>-10030</v>
      </c>
      <c r="AX40" s="2">
        <v>-12067</v>
      </c>
      <c r="AY40" s="2">
        <v>-7676</v>
      </c>
    </row>
    <row r="41" spans="2:51" x14ac:dyDescent="0.2">
      <c r="B41" t="s">
        <v>43</v>
      </c>
      <c r="J41" s="6">
        <f>-199+374</f>
        <v>175</v>
      </c>
      <c r="K41" s="6">
        <f>-465-J41+726</f>
        <v>86</v>
      </c>
      <c r="L41" s="6">
        <f>-1110+1433-K41-J41</f>
        <v>62</v>
      </c>
    </row>
    <row r="42" spans="2:51" x14ac:dyDescent="0.2">
      <c r="B42" t="s">
        <v>44</v>
      </c>
      <c r="J42" s="6">
        <v>85</v>
      </c>
      <c r="K42" s="6">
        <f>234-J42</f>
        <v>149</v>
      </c>
      <c r="L42" s="6">
        <f>267-K42-J42</f>
        <v>33</v>
      </c>
    </row>
    <row r="43" spans="2:51" x14ac:dyDescent="0.2">
      <c r="B43" t="s">
        <v>45</v>
      </c>
      <c r="J43" s="6">
        <v>-22</v>
      </c>
      <c r="K43" s="6">
        <f>-24-J43</f>
        <v>-2</v>
      </c>
      <c r="L43" s="6">
        <f>-35-K43-J43</f>
        <v>-11</v>
      </c>
    </row>
    <row r="44" spans="2:51" x14ac:dyDescent="0.2">
      <c r="B44" t="s">
        <v>42</v>
      </c>
      <c r="J44" s="6">
        <f>SUM(J40:J43)</f>
        <v>-1558</v>
      </c>
      <c r="K44" s="6">
        <f>SUM(K40:K43)</f>
        <v>-1151</v>
      </c>
      <c r="L44" s="6">
        <f>SUM(L40:L43)</f>
        <v>-2002</v>
      </c>
    </row>
    <row r="45" spans="2:51" x14ac:dyDescent="0.2">
      <c r="J45" s="6"/>
      <c r="K45" s="6"/>
    </row>
    <row r="46" spans="2:51" x14ac:dyDescent="0.2">
      <c r="B46" t="s">
        <v>47</v>
      </c>
      <c r="J46" s="6">
        <v>-129</v>
      </c>
      <c r="K46" s="6">
        <f>-256-J46</f>
        <v>-127</v>
      </c>
      <c r="L46" s="6">
        <f>-384-K46-J46</f>
        <v>-128</v>
      </c>
    </row>
    <row r="47" spans="2:51" x14ac:dyDescent="0.2">
      <c r="B47" t="s">
        <v>46</v>
      </c>
      <c r="J47" s="6">
        <v>-56</v>
      </c>
      <c r="K47" s="6">
        <f>-82-J47</f>
        <v>-26</v>
      </c>
      <c r="L47" s="6">
        <f>-127-K47-J47</f>
        <v>-45</v>
      </c>
    </row>
    <row r="48" spans="2:51" x14ac:dyDescent="0.2">
      <c r="B48" t="s">
        <v>4</v>
      </c>
      <c r="J48" s="6">
        <v>-53</v>
      </c>
      <c r="K48" s="6">
        <f>-1101-J48+999</f>
        <v>-49</v>
      </c>
      <c r="L48" s="6">
        <f>999-1816-K48-J48</f>
        <v>-715</v>
      </c>
    </row>
    <row r="49" spans="2:52" x14ac:dyDescent="0.2">
      <c r="B49" t="s">
        <v>45</v>
      </c>
      <c r="J49" s="6">
        <v>-114</v>
      </c>
      <c r="K49" s="6">
        <f>-18-J49</f>
        <v>96</v>
      </c>
      <c r="L49" s="6">
        <f>-40-K49-J49</f>
        <v>-22</v>
      </c>
    </row>
    <row r="50" spans="2:52" x14ac:dyDescent="0.2">
      <c r="B50" t="s">
        <v>50</v>
      </c>
      <c r="J50" s="6">
        <f>SUM(J46:J49)</f>
        <v>-352</v>
      </c>
      <c r="K50" s="6">
        <f>SUM(K46:K49)</f>
        <v>-106</v>
      </c>
      <c r="L50" s="6">
        <f>SUM(L46:L49)</f>
        <v>-910</v>
      </c>
    </row>
    <row r="51" spans="2:52" x14ac:dyDescent="0.2">
      <c r="B51" t="s">
        <v>49</v>
      </c>
      <c r="J51" s="6">
        <v>-1</v>
      </c>
      <c r="K51" s="6">
        <f>-8-J51</f>
        <v>-7</v>
      </c>
      <c r="L51" s="6">
        <f>-15-K51-J51</f>
        <v>-7</v>
      </c>
    </row>
    <row r="52" spans="2:52" x14ac:dyDescent="0.2">
      <c r="B52" t="s">
        <v>48</v>
      </c>
      <c r="J52" s="6">
        <f>J51+J50+J44+J38</f>
        <v>-510</v>
      </c>
      <c r="K52" s="6">
        <f>K51+K50+K44+K38</f>
        <v>-45</v>
      </c>
      <c r="L52" s="6">
        <f>L51+L50+L44+L38</f>
        <v>-437</v>
      </c>
    </row>
    <row r="54" spans="2:52" x14ac:dyDescent="0.2">
      <c r="B54" t="s">
        <v>51</v>
      </c>
      <c r="J54" s="6">
        <f>+J38+J40</f>
        <v>-395</v>
      </c>
      <c r="K54" s="6">
        <f>+K38+K40</f>
        <v>-165</v>
      </c>
      <c r="L54" s="6">
        <f>+L38+L40</f>
        <v>396</v>
      </c>
      <c r="AF54" s="9">
        <f>+AF38+AF40</f>
        <v>2958</v>
      </c>
      <c r="AG54" s="9">
        <f t="shared" ref="AF54:AM54" si="16">+AG38+AG40</f>
        <v>3086</v>
      </c>
      <c r="AH54" s="9">
        <f t="shared" si="16"/>
        <v>654</v>
      </c>
      <c r="AI54" s="9">
        <f t="shared" si="16"/>
        <v>-2666</v>
      </c>
      <c r="AJ54" s="9">
        <f t="shared" si="16"/>
        <v>-1511</v>
      </c>
      <c r="AK54" s="9">
        <f t="shared" si="16"/>
        <v>718</v>
      </c>
      <c r="AL54" s="9">
        <f t="shared" si="16"/>
        <v>2480</v>
      </c>
      <c r="AM54" s="9">
        <f t="shared" ref="AM54:AW54" si="17">+AM38+AM40</f>
        <v>-66</v>
      </c>
      <c r="AN54" s="9">
        <f t="shared" si="17"/>
        <v>415</v>
      </c>
      <c r="AO54" s="9">
        <f t="shared" si="17"/>
        <v>369</v>
      </c>
      <c r="AP54" s="9">
        <f t="shared" si="17"/>
        <v>2592</v>
      </c>
      <c r="AQ54" s="9">
        <f t="shared" si="17"/>
        <v>1187</v>
      </c>
      <c r="AR54" s="9">
        <f t="shared" si="17"/>
        <v>-2649</v>
      </c>
      <c r="AS54" s="9">
        <f t="shared" si="17"/>
        <v>3419</v>
      </c>
      <c r="AT54" s="9">
        <f t="shared" si="17"/>
        <v>8521</v>
      </c>
      <c r="AU54" s="9">
        <f t="shared" si="17"/>
        <v>3409</v>
      </c>
      <c r="AV54" s="9">
        <f t="shared" si="17"/>
        <v>83</v>
      </c>
      <c r="AW54" s="9">
        <f>+AW38+AW40</f>
        <v>2438</v>
      </c>
      <c r="AX54" s="9">
        <f>+AX38+AX40</f>
        <v>3114</v>
      </c>
      <c r="AY54" s="9">
        <f>+AY38+AY40</f>
        <v>-6117</v>
      </c>
      <c r="AZ54" s="9">
        <f>SUM(J54:L54)</f>
        <v>-164</v>
      </c>
    </row>
    <row r="55" spans="2:52" x14ac:dyDescent="0.2">
      <c r="B55" t="s">
        <v>118</v>
      </c>
      <c r="AI55" s="2">
        <f t="shared" ref="AI55" si="18">+AI54+AH54</f>
        <v>-2012</v>
      </c>
      <c r="AJ55" s="2">
        <f t="shared" ref="AJ55" si="19">+AJ54+AI54</f>
        <v>-4177</v>
      </c>
      <c r="AK55" s="2">
        <f t="shared" ref="AK55" si="20">+AK54+AJ54</f>
        <v>-793</v>
      </c>
      <c r="AL55" s="2">
        <f t="shared" ref="AL55" si="21">+AL54+AK54</f>
        <v>3198</v>
      </c>
      <c r="AM55" s="2">
        <f t="shared" ref="AM55" si="22">+AM54+AL54</f>
        <v>2414</v>
      </c>
      <c r="AN55" s="2">
        <f t="shared" ref="AN55:AR55" si="23">+AN54+AM54</f>
        <v>349</v>
      </c>
      <c r="AO55" s="2">
        <f t="shared" si="23"/>
        <v>784</v>
      </c>
      <c r="AP55" s="2">
        <f t="shared" si="23"/>
        <v>2961</v>
      </c>
      <c r="AQ55" s="2">
        <f t="shared" si="23"/>
        <v>3779</v>
      </c>
      <c r="AR55" s="2">
        <f t="shared" si="23"/>
        <v>-1462</v>
      </c>
      <c r="AS55" s="2">
        <f>+AS54+AR54</f>
        <v>770</v>
      </c>
      <c r="AT55" s="2">
        <f>+AT54+AS54</f>
        <v>11940</v>
      </c>
      <c r="AU55" s="2">
        <f>+AU54+AT54</f>
        <v>11930</v>
      </c>
      <c r="AV55" s="2">
        <f>+AV54+AU54</f>
        <v>3492</v>
      </c>
      <c r="AW55" s="2">
        <f>+AW54+AV54</f>
        <v>2521</v>
      </c>
      <c r="AX55" s="2">
        <f>+AX54+AW54</f>
        <v>5552</v>
      </c>
      <c r="AY55" s="2">
        <f>+AY54+AX54</f>
        <v>-3003</v>
      </c>
      <c r="AZ55" s="2">
        <f>+AZ54+AY54</f>
        <v>-6281</v>
      </c>
    </row>
    <row r="56" spans="2:52" s="22" customFormat="1" x14ac:dyDescent="0.2">
      <c r="B56" s="22" t="s">
        <v>119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AJ56" s="13">
        <f t="shared" ref="AJ56" si="24">SUM(AH54:AJ54)</f>
        <v>-3523</v>
      </c>
      <c r="AK56" s="13">
        <f>SUM(AI54:AK54)</f>
        <v>-3459</v>
      </c>
      <c r="AL56" s="13">
        <f t="shared" ref="AL56" si="25">SUM(AJ54:AL54)</f>
        <v>1687</v>
      </c>
      <c r="AM56" s="13">
        <f t="shared" ref="AM56" si="26">SUM(AK54:AM54)</f>
        <v>3132</v>
      </c>
      <c r="AN56" s="13">
        <f t="shared" ref="AN56" si="27">SUM(AL54:AN54)</f>
        <v>2829</v>
      </c>
      <c r="AO56" s="13">
        <f t="shared" ref="AO56:AS56" si="28">SUM(AM54:AO54)</f>
        <v>718</v>
      </c>
      <c r="AP56" s="13">
        <f t="shared" si="28"/>
        <v>3376</v>
      </c>
      <c r="AQ56" s="13">
        <f t="shared" si="28"/>
        <v>4148</v>
      </c>
      <c r="AR56" s="13">
        <f t="shared" si="28"/>
        <v>1130</v>
      </c>
      <c r="AS56" s="13">
        <f t="shared" si="28"/>
        <v>1957</v>
      </c>
      <c r="AT56" s="13">
        <f>SUM(AR54:AT54)</f>
        <v>9291</v>
      </c>
      <c r="AU56" s="13">
        <f>SUM(AS54:AU54)</f>
        <v>15349</v>
      </c>
      <c r="AV56" s="13">
        <f>SUM(AT54:AV54)</f>
        <v>12013</v>
      </c>
      <c r="AW56" s="13">
        <f>SUM(AU54:AW54)</f>
        <v>5930</v>
      </c>
      <c r="AX56" s="13">
        <f>SUM(AV54:AX54)</f>
        <v>5635</v>
      </c>
      <c r="AY56" s="13">
        <f>SUM(AW54:AY54)</f>
        <v>-565</v>
      </c>
      <c r="AZ56" s="13">
        <f>SUM(AX54:AZ54)</f>
        <v>-3167</v>
      </c>
    </row>
    <row r="57" spans="2:52" x14ac:dyDescent="0.2">
      <c r="B57" t="s">
        <v>120</v>
      </c>
      <c r="AK57" s="2">
        <f t="shared" ref="AK57" si="29">SUM(AH54:AK54)</f>
        <v>-2805</v>
      </c>
      <c r="AL57" s="2">
        <f t="shared" ref="AL57" si="30">SUM(AI54:AL54)</f>
        <v>-979</v>
      </c>
      <c r="AM57" s="2">
        <f t="shared" ref="AM57" si="31">SUM(AJ54:AM54)</f>
        <v>1621</v>
      </c>
      <c r="AN57" s="2">
        <f t="shared" ref="AN57" si="32">SUM(AK54:AN54)</f>
        <v>3547</v>
      </c>
      <c r="AO57" s="2">
        <f t="shared" ref="AO57" si="33">SUM(AL54:AO54)</f>
        <v>3198</v>
      </c>
      <c r="AP57" s="2">
        <f t="shared" ref="AP57:AT57" si="34">SUM(AM54:AP54)</f>
        <v>3310</v>
      </c>
      <c r="AQ57" s="2">
        <f t="shared" si="34"/>
        <v>4563</v>
      </c>
      <c r="AR57" s="2">
        <f t="shared" si="34"/>
        <v>1499</v>
      </c>
      <c r="AS57" s="2">
        <f t="shared" si="34"/>
        <v>4549</v>
      </c>
      <c r="AT57" s="2">
        <f t="shared" si="34"/>
        <v>10478</v>
      </c>
      <c r="AU57" s="2">
        <f>SUM(AR54:AU54)</f>
        <v>12700</v>
      </c>
      <c r="AV57" s="2">
        <f>SUM(AS54:AV54)</f>
        <v>15432</v>
      </c>
      <c r="AW57" s="2">
        <f>SUM(AT54:AW54)</f>
        <v>14451</v>
      </c>
      <c r="AX57" s="2">
        <f>SUM(AU54:AX54)</f>
        <v>9044</v>
      </c>
      <c r="AY57" s="2">
        <f>SUM(AV54:AY54)</f>
        <v>-482</v>
      </c>
      <c r="AZ57" s="2">
        <f>SUM(AW54:AZ54)</f>
        <v>-729</v>
      </c>
    </row>
    <row r="58" spans="2:52" x14ac:dyDescent="0.2">
      <c r="B58" t="s">
        <v>121</v>
      </c>
      <c r="AL58" s="13">
        <f t="shared" ref="AL58" si="35">SUM(AH54:AL54)</f>
        <v>-325</v>
      </c>
      <c r="AM58" s="13">
        <f t="shared" ref="AM58" si="36">SUM(AI54:AM54)</f>
        <v>-1045</v>
      </c>
      <c r="AN58" s="13">
        <f t="shared" ref="AN58" si="37">SUM(AJ54:AN54)</f>
        <v>2036</v>
      </c>
      <c r="AO58" s="13">
        <f t="shared" ref="AO58" si="38">SUM(AK54:AO54)</f>
        <v>3916</v>
      </c>
      <c r="AP58" s="13">
        <f t="shared" ref="AP58" si="39">SUM(AL54:AP54)</f>
        <v>5790</v>
      </c>
      <c r="AQ58" s="13">
        <f t="shared" ref="AQ58:AU58" si="40">SUM(AM54:AQ54)</f>
        <v>4497</v>
      </c>
      <c r="AR58" s="13">
        <f t="shared" si="40"/>
        <v>1914</v>
      </c>
      <c r="AS58" s="13">
        <f t="shared" si="40"/>
        <v>4918</v>
      </c>
      <c r="AT58" s="13">
        <f t="shared" si="40"/>
        <v>13070</v>
      </c>
      <c r="AU58" s="13">
        <f t="shared" si="40"/>
        <v>13887</v>
      </c>
      <c r="AV58" s="13">
        <f>SUM(AR54:AV54)</f>
        <v>12783</v>
      </c>
      <c r="AW58" s="13">
        <f>SUM(AS54:AW54)</f>
        <v>17870</v>
      </c>
      <c r="AX58" s="13">
        <f>SUM(AT54:AX54)</f>
        <v>17565</v>
      </c>
      <c r="AY58" s="2">
        <f>SUM(AU54:AY54)</f>
        <v>2927</v>
      </c>
      <c r="AZ58" s="2">
        <f>SUM(AV54:AZ54)</f>
        <v>-646</v>
      </c>
    </row>
    <row r="59" spans="2:52" x14ac:dyDescent="0.2">
      <c r="B59" t="s">
        <v>122</v>
      </c>
      <c r="AM59" s="2">
        <f t="shared" ref="AM59" si="41">SUM(AH54:AM54)</f>
        <v>-391</v>
      </c>
      <c r="AN59" s="2">
        <f t="shared" ref="AN59" si="42">SUM(AI54:AN54)</f>
        <v>-630</v>
      </c>
      <c r="AO59" s="2">
        <f t="shared" ref="AO59" si="43">SUM(AJ54:AO54)</f>
        <v>2405</v>
      </c>
      <c r="AP59" s="2">
        <f t="shared" ref="AP59" si="44">SUM(AK54:AP54)</f>
        <v>6508</v>
      </c>
      <c r="AQ59" s="2">
        <f t="shared" ref="AQ59" si="45">SUM(AL54:AQ54)</f>
        <v>6977</v>
      </c>
      <c r="AR59" s="2">
        <f t="shared" ref="AR59:AV59" si="46">SUM(AM54:AR54)</f>
        <v>1848</v>
      </c>
      <c r="AS59" s="2">
        <f t="shared" si="46"/>
        <v>5333</v>
      </c>
      <c r="AT59" s="2">
        <f t="shared" si="46"/>
        <v>13439</v>
      </c>
      <c r="AU59" s="2">
        <f t="shared" si="46"/>
        <v>16479</v>
      </c>
      <c r="AV59" s="2">
        <f t="shared" si="46"/>
        <v>13970</v>
      </c>
      <c r="AW59" s="2">
        <f>SUM(AR54:AW54)</f>
        <v>15221</v>
      </c>
      <c r="AX59" s="2">
        <f>SUM(AS54:AX54)</f>
        <v>20984</v>
      </c>
      <c r="AY59" s="2">
        <f>SUM(AT54:AY54)</f>
        <v>11448</v>
      </c>
      <c r="AZ59" s="2">
        <f>SUM(AU54:AZ54)</f>
        <v>2763</v>
      </c>
    </row>
    <row r="60" spans="2:52" x14ac:dyDescent="0.2">
      <c r="B60" t="s">
        <v>124</v>
      </c>
      <c r="AN60" s="2">
        <f t="shared" ref="AN60" si="47">SUM(AH54:AN54)</f>
        <v>24</v>
      </c>
      <c r="AO60" s="2">
        <f t="shared" ref="AO60" si="48">SUM(AI54:AO54)</f>
        <v>-261</v>
      </c>
      <c r="AP60" s="2">
        <f t="shared" ref="AP60" si="49">SUM(AJ54:AP54)</f>
        <v>4997</v>
      </c>
      <c r="AQ60" s="2">
        <f t="shared" ref="AQ60" si="50">SUM(AK54:AQ54)</f>
        <v>7695</v>
      </c>
      <c r="AR60" s="2">
        <f t="shared" ref="AR60" si="51">SUM(AL54:AR54)</f>
        <v>4328</v>
      </c>
      <c r="AS60" s="2">
        <f t="shared" ref="AS60:AW60" si="52">SUM(AM54:AS54)</f>
        <v>5267</v>
      </c>
      <c r="AT60" s="2">
        <f t="shared" si="52"/>
        <v>13854</v>
      </c>
      <c r="AU60" s="2">
        <f t="shared" si="52"/>
        <v>16848</v>
      </c>
      <c r="AV60" s="2">
        <f t="shared" si="52"/>
        <v>16562</v>
      </c>
      <c r="AW60" s="2">
        <f t="shared" si="52"/>
        <v>16408</v>
      </c>
      <c r="AX60" s="2">
        <f>SUM(AR54:AX54)</f>
        <v>18335</v>
      </c>
      <c r="AY60" s="2">
        <f>SUM(AS54:AY54)</f>
        <v>14867</v>
      </c>
      <c r="AZ60" s="2">
        <f>SUM(AT54:AZ54)</f>
        <v>11284</v>
      </c>
    </row>
    <row r="63" spans="2:52" x14ac:dyDescent="0.2">
      <c r="B63" t="s">
        <v>125</v>
      </c>
      <c r="S63" s="24">
        <v>1.4125000000000001</v>
      </c>
      <c r="T63" s="1">
        <v>1.8875</v>
      </c>
      <c r="U63" s="1">
        <v>4.6500000000000004</v>
      </c>
      <c r="V63" s="1">
        <v>11.0313</v>
      </c>
      <c r="W63" s="1">
        <v>19.809999999999999</v>
      </c>
      <c r="X63" s="1">
        <v>14.56</v>
      </c>
      <c r="Y63">
        <v>12.97</v>
      </c>
      <c r="Z63">
        <v>25.28</v>
      </c>
      <c r="AA63" s="20">
        <v>39.06</v>
      </c>
      <c r="AB63" s="24">
        <v>35.5</v>
      </c>
      <c r="AC63" s="24">
        <v>31</v>
      </c>
      <c r="AD63" s="24">
        <v>9.74</v>
      </c>
      <c r="AE63" s="20">
        <v>13.47</v>
      </c>
      <c r="AF63" s="20">
        <v>12.35</v>
      </c>
      <c r="AG63" s="20">
        <v>13.31</v>
      </c>
      <c r="AH63" s="20">
        <v>13.96</v>
      </c>
      <c r="AI63" s="20">
        <v>7.25</v>
      </c>
      <c r="AJ63" s="20">
        <v>2.64</v>
      </c>
      <c r="AK63">
        <v>10.56</v>
      </c>
      <c r="AL63">
        <v>8.02</v>
      </c>
      <c r="AM63">
        <v>6.29</v>
      </c>
      <c r="AN63">
        <v>6.34</v>
      </c>
      <c r="AO63">
        <v>21.75</v>
      </c>
      <c r="AP63">
        <v>35.01</v>
      </c>
      <c r="AQ63">
        <v>14.16</v>
      </c>
      <c r="AR63" s="3">
        <v>21.92</v>
      </c>
      <c r="AS63">
        <v>41.12</v>
      </c>
      <c r="AT63">
        <v>31.73</v>
      </c>
      <c r="AU63">
        <v>53.78</v>
      </c>
      <c r="AV63">
        <v>75.180000000000007</v>
      </c>
      <c r="AW63">
        <v>93.15</v>
      </c>
      <c r="AX63">
        <v>49.98</v>
      </c>
      <c r="AY63" s="1">
        <v>85.34</v>
      </c>
      <c r="AZ63" s="1">
        <v>90</v>
      </c>
    </row>
    <row r="65" spans="2:52" x14ac:dyDescent="0.2">
      <c r="B65" t="s">
        <v>152</v>
      </c>
      <c r="AD65" s="2">
        <f>AD10/AD63</f>
        <v>265.81108829568785</v>
      </c>
      <c r="AE65" s="2">
        <f t="shared" ref="AE65:AZ65" si="53">AE10/AE63</f>
        <v>229.47290274684482</v>
      </c>
      <c r="AF65" s="2">
        <f t="shared" si="53"/>
        <v>356.59919028340084</v>
      </c>
      <c r="AG65" s="2">
        <f t="shared" si="53"/>
        <v>366.64162283996995</v>
      </c>
      <c r="AH65" s="2">
        <f t="shared" si="53"/>
        <v>377.65042979942689</v>
      </c>
      <c r="AI65" s="2">
        <f t="shared" si="53"/>
        <v>784.55172413793105</v>
      </c>
      <c r="AJ65" s="2">
        <f t="shared" si="53"/>
        <v>2212.5</v>
      </c>
      <c r="AK65" s="2">
        <f t="shared" si="53"/>
        <v>454.82954545454544</v>
      </c>
      <c r="AL65" s="2">
        <f t="shared" si="53"/>
        <v>1057.6059850374065</v>
      </c>
      <c r="AM65" s="2">
        <f t="shared" si="53"/>
        <v>1397.1383147853735</v>
      </c>
      <c r="AN65" s="2">
        <f t="shared" si="53"/>
        <v>1298.7381703470032</v>
      </c>
      <c r="AO65" s="2">
        <f t="shared" si="53"/>
        <v>417.14942528735634</v>
      </c>
      <c r="AP65" s="2">
        <f t="shared" si="53"/>
        <v>467.23793201942306</v>
      </c>
      <c r="AQ65" s="2">
        <f t="shared" si="53"/>
        <v>1143.5028248587571</v>
      </c>
      <c r="AR65" s="2">
        <f t="shared" si="53"/>
        <v>565.64781021897807</v>
      </c>
      <c r="AS65" s="2">
        <f t="shared" si="53"/>
        <v>494.21206225680936</v>
      </c>
      <c r="AT65" s="2">
        <f t="shared" si="53"/>
        <v>957.80018909549324</v>
      </c>
      <c r="AU65" s="2">
        <f t="shared" si="53"/>
        <v>435.21755299367794</v>
      </c>
      <c r="AV65" s="2">
        <f t="shared" si="53"/>
        <v>285.11572226656023</v>
      </c>
      <c r="AW65" s="2">
        <f t="shared" si="53"/>
        <v>297.42351046698872</v>
      </c>
      <c r="AX65" s="2">
        <f t="shared" si="53"/>
        <v>615.40616246498598</v>
      </c>
      <c r="AY65" s="2">
        <f t="shared" si="53"/>
        <v>182.09514881649869</v>
      </c>
      <c r="AZ65" s="2">
        <f t="shared" si="53"/>
        <v>277.34444444444443</v>
      </c>
    </row>
    <row r="66" spans="2:52" x14ac:dyDescent="0.2">
      <c r="AD66" s="2"/>
    </row>
    <row r="67" spans="2:52" x14ac:dyDescent="0.2">
      <c r="AB67" s="20" t="s">
        <v>153</v>
      </c>
      <c r="AD67" s="24">
        <f>CORREL(AD63:AZ63,AD10:AZ10)</f>
        <v>0.75122759643426718</v>
      </c>
    </row>
    <row r="68" spans="2:52" x14ac:dyDescent="0.2">
      <c r="AB68" s="20" t="s">
        <v>154</v>
      </c>
      <c r="AD68" s="24">
        <f>CORREL(AF63:AZ63,AF54:AZ54)</f>
        <v>-7.7804094292837064E-2</v>
      </c>
    </row>
  </sheetData>
  <phoneticPr fontId="5" type="noConversion"/>
  <hyperlinks>
    <hyperlink ref="A1" location="Main!A1" display="Main" xr:uid="{8500311A-A2A0-4708-A1FC-B4D34FF7D086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2024-09-19T15:33:44Z</dcterms:created>
  <dcterms:modified xsi:type="dcterms:W3CDTF">2024-09-19T17:36:15Z</dcterms:modified>
</cp:coreProperties>
</file>