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rtin Shkreli - DL\models\"/>
    </mc:Choice>
  </mc:AlternateContent>
  <xr:revisionPtr revIDLastSave="0" documentId="13_ncr:1_{927DF8EC-DC5A-41DA-AA0C-EE13803250CD}" xr6:coauthVersionLast="47" xr6:coauthVersionMax="47" xr10:uidLastSave="{00000000-0000-0000-0000-000000000000}"/>
  <bookViews>
    <workbookView xWindow="10430" yWindow="3830" windowWidth="22990" windowHeight="13690" xr2:uid="{409249CC-86EB-47D2-8A0E-5D085FBE782F}"/>
  </bookViews>
  <sheets>
    <sheet name="Main" sheetId="1" r:id="rId1"/>
    <sheet name="Model" sheetId="2" r:id="rId2"/>
    <sheet name="Ingrezza" sheetId="3" r:id="rId3"/>
    <sheet name="osavampator" sheetId="4" r:id="rId4"/>
    <sheet name="crinecerfont" sheetId="5" r:id="rId5"/>
    <sheet name="1117568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M30" i="2" l="1"/>
  <c r="AT16" i="2"/>
  <c r="AS16" i="2"/>
  <c r="AR16" i="2"/>
  <c r="AQ16" i="2"/>
  <c r="AP16" i="2"/>
  <c r="AO16" i="2"/>
  <c r="AN16" i="2"/>
  <c r="AN9" i="2"/>
  <c r="AT7" i="2"/>
  <c r="AS7" i="2"/>
  <c r="AR7" i="2"/>
  <c r="AQ7" i="2"/>
  <c r="AP7" i="2"/>
  <c r="AO7" i="2"/>
  <c r="AT4" i="2"/>
  <c r="AS4" i="2"/>
  <c r="AR4" i="2"/>
  <c r="AQ4" i="2"/>
  <c r="AP4" i="2"/>
  <c r="AO4" i="2"/>
  <c r="AM69" i="2"/>
  <c r="AM68" i="2"/>
  <c r="AM63" i="2"/>
  <c r="AM61" i="2"/>
  <c r="AM59" i="2"/>
  <c r="AM58" i="2"/>
  <c r="AM46" i="2"/>
  <c r="AM45" i="2"/>
  <c r="AM44" i="2"/>
  <c r="AM43" i="2"/>
  <c r="AM42" i="2"/>
  <c r="AM41" i="2"/>
  <c r="AM39" i="2"/>
  <c r="AM38" i="2"/>
  <c r="AM37" i="2"/>
  <c r="AM36" i="2"/>
  <c r="AM35" i="2"/>
  <c r="AM34" i="2"/>
  <c r="AM33" i="2"/>
  <c r="AM32" i="2"/>
  <c r="AM31" i="2"/>
  <c r="AM12" i="2"/>
  <c r="V48" i="2"/>
  <c r="U48" i="2"/>
  <c r="T48" i="2"/>
  <c r="R48" i="2"/>
  <c r="Q48" i="2"/>
  <c r="P48" i="2"/>
  <c r="O48" i="2"/>
  <c r="N48" i="2"/>
  <c r="M48" i="2"/>
  <c r="L48" i="2"/>
  <c r="K48" i="2"/>
  <c r="J48" i="2"/>
  <c r="I48" i="2"/>
  <c r="H48" i="2"/>
  <c r="G48" i="2"/>
  <c r="F48" i="2"/>
  <c r="E48" i="2"/>
  <c r="D48" i="2"/>
  <c r="C48" i="2"/>
  <c r="W21" i="2"/>
  <c r="W19" i="2"/>
  <c r="W46" i="2"/>
  <c r="W30" i="2"/>
  <c r="W39" i="2" s="1"/>
  <c r="V39" i="2"/>
  <c r="AL12" i="2"/>
  <c r="AK12" i="2"/>
  <c r="W26" i="2" l="1"/>
  <c r="V26" i="2"/>
  <c r="U26" i="2"/>
  <c r="T26" i="2"/>
  <c r="X4" i="2"/>
  <c r="X26" i="2" s="1"/>
  <c r="AN4" i="2"/>
  <c r="AN7" i="2" s="1"/>
  <c r="AN12" i="2" s="1"/>
  <c r="AA12" i="2"/>
  <c r="Z12" i="2"/>
  <c r="Y12" i="2"/>
  <c r="X12" i="2"/>
  <c r="V17" i="2"/>
  <c r="AM16" i="2"/>
  <c r="AG19" i="2"/>
  <c r="AG7" i="2"/>
  <c r="AG26" i="2" s="1"/>
  <c r="AG17" i="2"/>
  <c r="AF17" i="2"/>
  <c r="AE17" i="2"/>
  <c r="AE12" i="2"/>
  <c r="AE14" i="2" s="1"/>
  <c r="AE18" i="2" s="1"/>
  <c r="AE20" i="2" s="1"/>
  <c r="AE22" i="2" s="1"/>
  <c r="AF12" i="2"/>
  <c r="AF14" i="2" s="1"/>
  <c r="AH17" i="2"/>
  <c r="AJ11" i="2"/>
  <c r="AI11" i="2"/>
  <c r="AH11" i="2"/>
  <c r="AS11" i="2" s="1"/>
  <c r="AH7" i="2"/>
  <c r="AI7" i="2"/>
  <c r="AJ7" i="2"/>
  <c r="AI19" i="2"/>
  <c r="AI17" i="2"/>
  <c r="AJ19" i="2"/>
  <c r="AJ17" i="2"/>
  <c r="R19" i="2"/>
  <c r="P19" i="2"/>
  <c r="P17" i="2"/>
  <c r="T19" i="2"/>
  <c r="AL24" i="2"/>
  <c r="AK24" i="2"/>
  <c r="AL21" i="2"/>
  <c r="AK21" i="2"/>
  <c r="AL16" i="2"/>
  <c r="AK16" i="2"/>
  <c r="AM15" i="2"/>
  <c r="AL15" i="2"/>
  <c r="AK15" i="2"/>
  <c r="AM24" i="2"/>
  <c r="AL13" i="2"/>
  <c r="AK13" i="2"/>
  <c r="AL7" i="2"/>
  <c r="W12" i="2"/>
  <c r="V12" i="2"/>
  <c r="S19" i="2"/>
  <c r="O19" i="2"/>
  <c r="AK19" i="2" s="1"/>
  <c r="U46" i="2"/>
  <c r="U30" i="2"/>
  <c r="U39" i="2" s="1"/>
  <c r="S26" i="2"/>
  <c r="R26" i="2"/>
  <c r="Q26" i="2"/>
  <c r="P26" i="2"/>
  <c r="U17" i="2"/>
  <c r="T17" i="2"/>
  <c r="S17" i="2"/>
  <c r="R17" i="2"/>
  <c r="Q17" i="2"/>
  <c r="U12" i="2"/>
  <c r="U14" i="2" s="1"/>
  <c r="U28" i="2" s="1"/>
  <c r="T12" i="2"/>
  <c r="T14" i="2" s="1"/>
  <c r="S12" i="2"/>
  <c r="R12" i="2"/>
  <c r="R14" i="2" s="1"/>
  <c r="Q12" i="2"/>
  <c r="Q14" i="2" s="1"/>
  <c r="Q28" i="2" s="1"/>
  <c r="P12" i="2"/>
  <c r="P14" i="2" s="1"/>
  <c r="N17" i="2"/>
  <c r="M30" i="2"/>
  <c r="AQ11" i="2"/>
  <c r="AP11" i="2"/>
  <c r="AO11" i="2"/>
  <c r="AE2" i="2"/>
  <c r="AF2" i="2" s="1"/>
  <c r="AG2" i="2" s="1"/>
  <c r="AH2" i="2" s="1"/>
  <c r="AI2" i="2" s="1"/>
  <c r="AJ2" i="2" s="1"/>
  <c r="AK2" i="2" s="1"/>
  <c r="AL2" i="2" s="1"/>
  <c r="AM2" i="2" s="1"/>
  <c r="AN2" i="2" s="1"/>
  <c r="AO2" i="2" s="1"/>
  <c r="AP2" i="2" s="1"/>
  <c r="AQ2" i="2" s="1"/>
  <c r="AR2" i="2" s="1"/>
  <c r="AS2" i="2" s="1"/>
  <c r="AT2" i="2" s="1"/>
  <c r="AU2" i="2" s="1"/>
  <c r="AV2" i="2" s="1"/>
  <c r="AW2" i="2" s="1"/>
  <c r="AX2" i="2" s="1"/>
  <c r="AY2" i="2" s="1"/>
  <c r="AZ2" i="2" s="1"/>
  <c r="BA2" i="2" s="1"/>
  <c r="BB2" i="2" s="1"/>
  <c r="BC2" i="2" s="1"/>
  <c r="O17" i="2"/>
  <c r="AK7" i="2"/>
  <c r="N26" i="2"/>
  <c r="N12" i="2"/>
  <c r="N14" i="2" s="1"/>
  <c r="C17" i="2"/>
  <c r="C12" i="2"/>
  <c r="C14" i="2" s="1"/>
  <c r="H26" i="2"/>
  <c r="D17" i="2"/>
  <c r="D12" i="2"/>
  <c r="D14" i="2" s="1"/>
  <c r="M26" i="2"/>
  <c r="L26" i="2"/>
  <c r="K26" i="2"/>
  <c r="J26" i="2"/>
  <c r="I26" i="2"/>
  <c r="E17" i="2"/>
  <c r="E12" i="2"/>
  <c r="E14" i="2" s="1"/>
  <c r="F17" i="2"/>
  <c r="F12" i="2"/>
  <c r="F14" i="2" s="1"/>
  <c r="F28" i="2" s="1"/>
  <c r="J17" i="2"/>
  <c r="J12" i="2"/>
  <c r="J14" i="2" s="1"/>
  <c r="G17" i="2"/>
  <c r="G12" i="2"/>
  <c r="G14" i="2" s="1"/>
  <c r="K17" i="2"/>
  <c r="K12" i="2"/>
  <c r="K14" i="2" s="1"/>
  <c r="H12" i="2"/>
  <c r="H14" i="2" s="1"/>
  <c r="H28" i="2" s="1"/>
  <c r="H17" i="2"/>
  <c r="L17" i="2"/>
  <c r="L12" i="2"/>
  <c r="L14" i="2" s="1"/>
  <c r="L28" i="2" s="1"/>
  <c r="I17" i="2"/>
  <c r="M17" i="2"/>
  <c r="M12" i="2"/>
  <c r="M14" i="2" s="1"/>
  <c r="I12" i="2"/>
  <c r="I14" i="2" s="1"/>
  <c r="I28" i="2" s="1"/>
  <c r="L4" i="1"/>
  <c r="L7" i="1" l="1"/>
  <c r="AH12" i="2"/>
  <c r="AH14" i="2" s="1"/>
  <c r="AH28" i="2" s="1"/>
  <c r="Y4" i="2"/>
  <c r="AI26" i="2"/>
  <c r="W17" i="2"/>
  <c r="P18" i="2"/>
  <c r="P20" i="2" s="1"/>
  <c r="P22" i="2" s="1"/>
  <c r="P23" i="2" s="1"/>
  <c r="K18" i="2"/>
  <c r="K20" i="2" s="1"/>
  <c r="K22" i="2" s="1"/>
  <c r="K23" i="2" s="1"/>
  <c r="AF28" i="2"/>
  <c r="AF18" i="2"/>
  <c r="AF20" i="2" s="1"/>
  <c r="AF22" i="2" s="1"/>
  <c r="AR11" i="2"/>
  <c r="AH18" i="2"/>
  <c r="AH20" i="2" s="1"/>
  <c r="AH22" i="2" s="1"/>
  <c r="AH23" i="2" s="1"/>
  <c r="AI12" i="2"/>
  <c r="AI14" i="2" s="1"/>
  <c r="AI28" i="2" s="1"/>
  <c r="AJ12" i="2"/>
  <c r="AJ14" i="2" s="1"/>
  <c r="AM19" i="2"/>
  <c r="AH26" i="2"/>
  <c r="AG12" i="2"/>
  <c r="AG14" i="2" s="1"/>
  <c r="AG18" i="2" s="1"/>
  <c r="AG20" i="2" s="1"/>
  <c r="AG22" i="2" s="1"/>
  <c r="AG23" i="2" s="1"/>
  <c r="AT11" i="2"/>
  <c r="R18" i="2"/>
  <c r="AJ18" i="2"/>
  <c r="AJ28" i="2"/>
  <c r="U18" i="2"/>
  <c r="U20" i="2" s="1"/>
  <c r="U22" i="2" s="1"/>
  <c r="U23" i="2" s="1"/>
  <c r="Q18" i="2"/>
  <c r="Q20" i="2" s="1"/>
  <c r="Q22" i="2" s="1"/>
  <c r="Q23" i="2" s="1"/>
  <c r="T18" i="2"/>
  <c r="T20" i="2" s="1"/>
  <c r="T22" i="2" s="1"/>
  <c r="T23" i="2" s="1"/>
  <c r="R28" i="2"/>
  <c r="W14" i="2"/>
  <c r="W18" i="2" s="1"/>
  <c r="AM7" i="2"/>
  <c r="AL19" i="2"/>
  <c r="T28" i="2"/>
  <c r="S14" i="2"/>
  <c r="S18" i="2" s="1"/>
  <c r="S20" i="2" s="1"/>
  <c r="S22" i="2" s="1"/>
  <c r="AI18" i="2"/>
  <c r="AI20" i="2" s="1"/>
  <c r="AI22" i="2" s="1"/>
  <c r="AI23" i="2" s="1"/>
  <c r="AJ20" i="2"/>
  <c r="AJ22" i="2" s="1"/>
  <c r="AJ23" i="2" s="1"/>
  <c r="R20" i="2"/>
  <c r="R22" i="2" s="1"/>
  <c r="R23" i="2" s="1"/>
  <c r="P28" i="2"/>
  <c r="AN24" i="2"/>
  <c r="AO24" i="2" s="1"/>
  <c r="J18" i="2"/>
  <c r="J20" i="2" s="1"/>
  <c r="J22" i="2" s="1"/>
  <c r="J23" i="2" s="1"/>
  <c r="N18" i="2"/>
  <c r="O12" i="2"/>
  <c r="O14" i="2" s="1"/>
  <c r="O18" i="2" s="1"/>
  <c r="AJ26" i="2"/>
  <c r="K28" i="2"/>
  <c r="AK26" i="2"/>
  <c r="O26" i="2"/>
  <c r="G18" i="2"/>
  <c r="G20" i="2" s="1"/>
  <c r="G22" i="2" s="1"/>
  <c r="G23" i="2" s="1"/>
  <c r="AN11" i="2"/>
  <c r="AL14" i="2"/>
  <c r="AL26" i="2"/>
  <c r="C28" i="2"/>
  <c r="C18" i="2"/>
  <c r="C20" i="2" s="1"/>
  <c r="C22" i="2" s="1"/>
  <c r="C23" i="2" s="1"/>
  <c r="M28" i="2"/>
  <c r="M18" i="2"/>
  <c r="M20" i="2" s="1"/>
  <c r="M22" i="2" s="1"/>
  <c r="M23" i="2" s="1"/>
  <c r="I18" i="2"/>
  <c r="I20" i="2" s="1"/>
  <c r="I22" i="2" s="1"/>
  <c r="I23" i="2" s="1"/>
  <c r="J28" i="2"/>
  <c r="G28" i="2"/>
  <c r="D28" i="2"/>
  <c r="D18" i="2"/>
  <c r="D20" i="2" s="1"/>
  <c r="D22" i="2" s="1"/>
  <c r="D23" i="2" s="1"/>
  <c r="E28" i="2"/>
  <c r="E18" i="2"/>
  <c r="E20" i="2" s="1"/>
  <c r="E22" i="2" s="1"/>
  <c r="E23" i="2" s="1"/>
  <c r="F18" i="2"/>
  <c r="F20" i="2" s="1"/>
  <c r="F22" i="2" s="1"/>
  <c r="F23" i="2" s="1"/>
  <c r="H18" i="2"/>
  <c r="H20" i="2" s="1"/>
  <c r="H22" i="2" s="1"/>
  <c r="H23" i="2" s="1"/>
  <c r="L18" i="2"/>
  <c r="L20" i="2" s="1"/>
  <c r="L22" i="2" s="1"/>
  <c r="L23" i="2" s="1"/>
  <c r="S23" i="2" l="1"/>
  <c r="S48" i="2"/>
  <c r="Z4" i="2"/>
  <c r="Y26" i="2"/>
  <c r="AG28" i="2"/>
  <c r="O28" i="2"/>
  <c r="W20" i="2"/>
  <c r="W28" i="2"/>
  <c r="S28" i="2"/>
  <c r="AM13" i="2"/>
  <c r="V14" i="2"/>
  <c r="AK14" i="2"/>
  <c r="AK28" i="2" s="1"/>
  <c r="AK17" i="2"/>
  <c r="N28" i="2"/>
  <c r="AL28" i="2"/>
  <c r="AM26" i="2"/>
  <c r="AP24" i="2"/>
  <c r="AA4" i="2" l="1"/>
  <c r="AA26" i="2" s="1"/>
  <c r="Z26" i="2"/>
  <c r="V28" i="2"/>
  <c r="V18" i="2"/>
  <c r="V20" i="2" s="1"/>
  <c r="AK18" i="2"/>
  <c r="AK20" i="2" s="1"/>
  <c r="AK22" i="2" s="1"/>
  <c r="AK23" i="2" s="1"/>
  <c r="AL17" i="2"/>
  <c r="AL18" i="2" s="1"/>
  <c r="AN26" i="2"/>
  <c r="AM14" i="2"/>
  <c r="AQ24" i="2"/>
  <c r="V22" i="2" l="1"/>
  <c r="W22" i="2"/>
  <c r="AM17" i="2"/>
  <c r="AM18" i="2" s="1"/>
  <c r="AM28" i="2"/>
  <c r="AN13" i="2"/>
  <c r="AN14" i="2" s="1"/>
  <c r="AO26" i="2"/>
  <c r="AO12" i="2"/>
  <c r="AO13" i="2" s="1"/>
  <c r="AO14" i="2" s="1"/>
  <c r="AR24" i="2"/>
  <c r="W23" i="2" l="1"/>
  <c r="W48" i="2"/>
  <c r="V23" i="2"/>
  <c r="AN19" i="2"/>
  <c r="AM21" i="2"/>
  <c r="AN17" i="2"/>
  <c r="AN18" i="2" s="1"/>
  <c r="AN28" i="2"/>
  <c r="AO28" i="2"/>
  <c r="AP12" i="2"/>
  <c r="AP13" i="2" s="1"/>
  <c r="AP14" i="2" s="1"/>
  <c r="AP26" i="2"/>
  <c r="AS24" i="2"/>
  <c r="AO17" i="2" l="1"/>
  <c r="AO18" i="2" s="1"/>
  <c r="AQ26" i="2"/>
  <c r="AQ12" i="2"/>
  <c r="AQ13" i="2" s="1"/>
  <c r="AQ14" i="2" s="1"/>
  <c r="AP28" i="2"/>
  <c r="AT24" i="2"/>
  <c r="AP17" i="2" l="1"/>
  <c r="AP18" i="2" s="1"/>
  <c r="AQ28" i="2"/>
  <c r="AR12" i="2"/>
  <c r="AR13" i="2" s="1"/>
  <c r="AR14" i="2" s="1"/>
  <c r="AR26" i="2"/>
  <c r="AQ17" i="2" l="1"/>
  <c r="AQ18" i="2" s="1"/>
  <c r="AR28" i="2"/>
  <c r="AS26" i="2"/>
  <c r="AS12" i="2"/>
  <c r="AS13" i="2" s="1"/>
  <c r="AS14" i="2" s="1"/>
  <c r="AR17" i="2" l="1"/>
  <c r="AR18" i="2" s="1"/>
  <c r="AS28" i="2"/>
  <c r="AT26" i="2"/>
  <c r="AT12" i="2"/>
  <c r="AT13" i="2" s="1"/>
  <c r="AT14" i="2" s="1"/>
  <c r="AT17" i="2" l="1"/>
  <c r="AT18" i="2" s="1"/>
  <c r="AS17" i="2"/>
  <c r="AS18" i="2" s="1"/>
  <c r="AT28" i="2"/>
  <c r="N20" i="2" l="1"/>
  <c r="N22" i="2" s="1"/>
  <c r="O20" i="2"/>
  <c r="N23" i="2" l="1"/>
  <c r="O22" i="2"/>
  <c r="O23" i="2" s="1"/>
  <c r="AL20" i="2" l="1"/>
  <c r="AL22" i="2" s="1"/>
  <c r="AM20" i="2" l="1"/>
  <c r="AM22" i="2" s="1"/>
  <c r="AL23" i="2"/>
  <c r="AM23" i="2" l="1"/>
  <c r="AM48" i="2"/>
  <c r="AN20" i="2"/>
  <c r="AN21" i="2" l="1"/>
  <c r="AN22" i="2" s="1"/>
  <c r="AN23" i="2" l="1"/>
  <c r="AO19" i="2" l="1"/>
  <c r="AO20" i="2" s="1"/>
  <c r="AO21" i="2" s="1"/>
  <c r="AO22" i="2" s="1"/>
  <c r="AO23" i="2" l="1"/>
  <c r="AP19" i="2"/>
  <c r="AP20" i="2" s="1"/>
  <c r="AP21" i="2" l="1"/>
  <c r="AP22" i="2" s="1"/>
  <c r="AP23" i="2" l="1"/>
  <c r="AQ19" i="2" l="1"/>
  <c r="AQ20" i="2" s="1"/>
  <c r="AQ21" i="2" l="1"/>
  <c r="AQ22" i="2" s="1"/>
  <c r="AQ23" i="2" l="1"/>
  <c r="AR19" i="2" l="1"/>
  <c r="AR20" i="2" s="1"/>
  <c r="AR21" i="2" s="1"/>
  <c r="AR22" i="2" s="1"/>
  <c r="AR23" i="2" l="1"/>
  <c r="AS19" i="2"/>
  <c r="AS20" i="2" s="1"/>
  <c r="AS21" i="2" s="1"/>
  <c r="AS22" i="2" s="1"/>
  <c r="AS23" i="2" s="1"/>
  <c r="AT19" i="2" l="1"/>
  <c r="AT20" i="2" s="1"/>
  <c r="AT21" i="2" l="1"/>
  <c r="AT22" i="2" s="1"/>
  <c r="AW31" i="2" s="1"/>
  <c r="AW32" i="2" l="1"/>
  <c r="AT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tc={3069B2B6-6AE1-4411-A9B6-C363B5550C85}</author>
    <author>tc={E76A3321-30D1-474A-816C-3601963F366F}</author>
    <author>tc={7FBC2ADF-FD82-44A5-A73B-E95A5D513C1A}</author>
    <author>tc={98D11F55-839D-450A-B2B9-0C3B07A81771}</author>
  </authors>
  <commentList>
    <comment ref="AK4" authorId="0" shapeId="0" xr:uid="{3069B2B6-6AE1-4411-A9B6-C363B5550C85}">
      <text>
        <t>[Threaded comment]
Your version of Excel allows you to read this threaded comment; however, any edits to it will get removed if the file is opened in a newer version of Excel. Learn more: https://go.microsoft.com/fwlink/?linkid=870924
Comment:
    Q3 guidance: 1400-1425</t>
      </text>
    </comment>
    <comment ref="AM4" authorId="1" shapeId="0" xr:uid="{E76A3321-30D1-474A-816C-3601963F366F}">
      <text>
        <t>[Threaded comment]
Your version of Excel allows you to read this threaded comment; however, any edits to it will get removed if the file is opened in a newer version of Excel. Learn more: https://go.microsoft.com/fwlink/?linkid=870924
Comment:
    Raised guidance to 2.25-2.30B</t>
      </text>
    </comment>
    <comment ref="AN4" authorId="2" shapeId="0" xr:uid="{7FBC2ADF-FD82-44A5-A73B-E95A5D513C1A}">
      <text>
        <t>[Threaded comment]
Your version of Excel allows you to read this threaded comment; however, any edits to it will get removed if the file is opened in a newer version of Excel. Learn more: https://go.microsoft.com/fwlink/?linkid=870924
Comment:
    Q4 guidance: 2.5-2.6B</t>
      </text>
    </comment>
    <comment ref="BA4" authorId="3" shapeId="0" xr:uid="{98D11F55-839D-450A-B2B9-0C3B07A81771}">
      <text>
        <t>[Threaded comment]
Your version of Excel allows you to read this threaded comment; however, any edits to it will get removed if the file is opened in a newer version of Excel. Learn more: https://go.microsoft.com/fwlink/?linkid=870924
Comment:
    Settlement with generics</t>
      </text>
    </comment>
  </commentList>
</comments>
</file>

<file path=xl/sharedStrings.xml><?xml version="1.0" encoding="utf-8"?>
<sst xmlns="http://schemas.openxmlformats.org/spreadsheetml/2006/main" count="237" uniqueCount="178">
  <si>
    <t>Price</t>
  </si>
  <si>
    <t>Shares</t>
  </si>
  <si>
    <t>MC</t>
  </si>
  <si>
    <t>Cash</t>
  </si>
  <si>
    <t>Debt</t>
  </si>
  <si>
    <t>EV</t>
  </si>
  <si>
    <t>Q222</t>
  </si>
  <si>
    <t>Main</t>
  </si>
  <si>
    <t>Revenue</t>
  </si>
  <si>
    <t>Q120</t>
  </si>
  <si>
    <t>Q220</t>
  </si>
  <si>
    <t>Q320</t>
  </si>
  <si>
    <t>Q420</t>
  </si>
  <si>
    <t>Q121</t>
  </si>
  <si>
    <t>Q221</t>
  </si>
  <si>
    <t>Q321</t>
  </si>
  <si>
    <t>Q421</t>
  </si>
  <si>
    <t>Q122</t>
  </si>
  <si>
    <t>Q322</t>
  </si>
  <si>
    <t>Q422</t>
  </si>
  <si>
    <t>Product</t>
  </si>
  <si>
    <t>Collab</t>
  </si>
  <si>
    <t>Brand</t>
  </si>
  <si>
    <t>Ingrezza (valbenazine)</t>
  </si>
  <si>
    <t>Indication</t>
  </si>
  <si>
    <t>TD</t>
  </si>
  <si>
    <t>Ongentys (opicapone)</t>
  </si>
  <si>
    <t>Parkinson's</t>
  </si>
  <si>
    <t>Ingrezza</t>
  </si>
  <si>
    <t>CEO</t>
  </si>
  <si>
    <t>Ingrezza Rx</t>
  </si>
  <si>
    <t>IP</t>
  </si>
  <si>
    <t>Economics</t>
  </si>
  <si>
    <t>Mitsubishi Tanabe in Japan</t>
  </si>
  <si>
    <t>NBI-1117568</t>
  </si>
  <si>
    <t>Schizophrenia</t>
  </si>
  <si>
    <t>MOA</t>
  </si>
  <si>
    <t>VMAT2</t>
  </si>
  <si>
    <t>COGS</t>
  </si>
  <si>
    <t>Gross Profit</t>
  </si>
  <si>
    <t>OpEx</t>
  </si>
  <si>
    <t>OpInc</t>
  </si>
  <si>
    <t>R&amp;D</t>
  </si>
  <si>
    <t>SG&amp;A</t>
  </si>
  <si>
    <t>Interest</t>
  </si>
  <si>
    <t>Pretax</t>
  </si>
  <si>
    <t>Taxes</t>
  </si>
  <si>
    <t>Net Income</t>
  </si>
  <si>
    <t>EPS</t>
  </si>
  <si>
    <t>NBI-827104</t>
  </si>
  <si>
    <t>IDIA</t>
  </si>
  <si>
    <t>Epilepsy</t>
  </si>
  <si>
    <t>T-type Ca channel blocker</t>
  </si>
  <si>
    <t>M4 agonist</t>
  </si>
  <si>
    <t>Sosei</t>
  </si>
  <si>
    <t>NBI-1070770</t>
  </si>
  <si>
    <t>crinecerfont</t>
  </si>
  <si>
    <t>CRF1 antagonist</t>
  </si>
  <si>
    <t>CAH</t>
  </si>
  <si>
    <t>Approved</t>
  </si>
  <si>
    <t>Phase</t>
  </si>
  <si>
    <t>I</t>
  </si>
  <si>
    <t>II</t>
  </si>
  <si>
    <t>NBI-1065846</t>
  </si>
  <si>
    <t>GPR139 agonist</t>
  </si>
  <si>
    <t>MDD</t>
  </si>
  <si>
    <t>AMPA</t>
  </si>
  <si>
    <t>TAK</t>
  </si>
  <si>
    <t>NBI-921352</t>
  </si>
  <si>
    <t>Nav1.6</t>
  </si>
  <si>
    <t>XENE</t>
  </si>
  <si>
    <t>Ingrezza y/y</t>
  </si>
  <si>
    <t>Gross Margin</t>
  </si>
  <si>
    <t>Q419</t>
  </si>
  <si>
    <t>Generic</t>
  </si>
  <si>
    <t>valbenazine</t>
  </si>
  <si>
    <t>VMAT2 inhibitor</t>
  </si>
  <si>
    <t>8357697 - MOU for hyperkinetic disorder - expires 11/08/2027</t>
  </si>
  <si>
    <t>NPV</t>
  </si>
  <si>
    <t>Discount</t>
  </si>
  <si>
    <t>Share</t>
  </si>
  <si>
    <t>ROIC</t>
  </si>
  <si>
    <t>8038627 - COM - expires 2031 (adjusted for H-W)</t>
  </si>
  <si>
    <t>12/6/22: NBI-827104 "STEAMBOAT" study fails</t>
  </si>
  <si>
    <t>Q123</t>
  </si>
  <si>
    <t>Q223</t>
  </si>
  <si>
    <t>Q323</t>
  </si>
  <si>
    <t>Q423</t>
  </si>
  <si>
    <t>Q124</t>
  </si>
  <si>
    <t>Q224</t>
  </si>
  <si>
    <t>Q324</t>
  </si>
  <si>
    <t>Q424</t>
  </si>
  <si>
    <t>AR</t>
  </si>
  <si>
    <t>Inventory</t>
  </si>
  <si>
    <t>OCA</t>
  </si>
  <si>
    <t>DT</t>
  </si>
  <si>
    <t>ROU</t>
  </si>
  <si>
    <t>PPE</t>
  </si>
  <si>
    <t>Goodwill</t>
  </si>
  <si>
    <t>ONCA</t>
  </si>
  <si>
    <t>Assets</t>
  </si>
  <si>
    <t>L+SE</t>
  </si>
  <si>
    <t>SE</t>
  </si>
  <si>
    <t>AP</t>
  </si>
  <si>
    <t>OCL</t>
  </si>
  <si>
    <t>Lease</t>
  </si>
  <si>
    <t>ONCL</t>
  </si>
  <si>
    <t>Tardive Dyskinesia, Huntington's chorea</t>
  </si>
  <si>
    <t>Ingrezza, Dysval in Japan, Remleas in other Asian markets.</t>
  </si>
  <si>
    <t>Orilissa (elagolix)</t>
  </si>
  <si>
    <t>Endometriosis</t>
  </si>
  <si>
    <t>Kyle Gano succeeding Kevin Gorman</t>
  </si>
  <si>
    <t>Clinical Trials</t>
  </si>
  <si>
    <t>AMPA PAM</t>
  </si>
  <si>
    <t>NMDA NR2B nam</t>
  </si>
  <si>
    <t>M4 antagonist</t>
  </si>
  <si>
    <t>luvadaxistat</t>
  </si>
  <si>
    <t>12/29/24 PDUFA</t>
  </si>
  <si>
    <t>Phase III "CAHtalyst"</t>
  </si>
  <si>
    <t>DAAO inhibitor</t>
  </si>
  <si>
    <t>NBI-1065890</t>
  </si>
  <si>
    <t>NBI-1076986</t>
  </si>
  <si>
    <t>VYGR</t>
  </si>
  <si>
    <t>day 28: -4.3 MADRS, p=0.0159 for one dose, -3.0 p=0.0873 for another dose</t>
  </si>
  <si>
    <t>day 56: -7.5 MADRS, p=0.0016 for one dose, -3.6, p=0.1082 for another dose.</t>
  </si>
  <si>
    <t>Takeda</t>
  </si>
  <si>
    <t>Phase II "SAVITRI" n=183 MDD</t>
  </si>
  <si>
    <t>Ongentys</t>
  </si>
  <si>
    <t>Elagolix</t>
  </si>
  <si>
    <t>Other</t>
  </si>
  <si>
    <t>Phase III - initiate early 2025</t>
  </si>
  <si>
    <t>Phase II "SCZ2028"</t>
  </si>
  <si>
    <t>placebo -10.7 from baseline</t>
  </si>
  <si>
    <t>Week 6 PANSS 7.5point (18.2 from baseline) vs placebo, p=0.011</t>
  </si>
  <si>
    <t>Cobenfy separation ~11.3 points in EMERGENT-3, 8.4 in EMERGENT-2</t>
  </si>
  <si>
    <t>III starting</t>
  </si>
  <si>
    <t>Q125</t>
  </si>
  <si>
    <t>Q225</t>
  </si>
  <si>
    <t>Q325</t>
  </si>
  <si>
    <t>Q425</t>
  </si>
  <si>
    <t>Crenessity (crinecerfont)</t>
  </si>
  <si>
    <t>Crenessity</t>
  </si>
  <si>
    <t>osavampator</t>
  </si>
  <si>
    <t>NBI-1065845, fka TAK-653</t>
  </si>
  <si>
    <t>day 58 MADRS primary endpoint</t>
  </si>
  <si>
    <t>Phase III n=200 MDD vs. placebo</t>
  </si>
  <si>
    <t>Royalty</t>
  </si>
  <si>
    <t>Model NI</t>
  </si>
  <si>
    <t>Reported NI</t>
  </si>
  <si>
    <t>CFFO</t>
  </si>
  <si>
    <t>WC</t>
  </si>
  <si>
    <t>Fair Value</t>
  </si>
  <si>
    <t>Amort of Intangibles</t>
  </si>
  <si>
    <t>Investment premium</t>
  </si>
  <si>
    <t>Depreciation</t>
  </si>
  <si>
    <t>Converts</t>
  </si>
  <si>
    <t>SBC</t>
  </si>
  <si>
    <t>CFFI</t>
  </si>
  <si>
    <t>CapEx</t>
  </si>
  <si>
    <t>Investments</t>
  </si>
  <si>
    <t>ESOP</t>
  </si>
  <si>
    <t>Buyback</t>
  </si>
  <si>
    <t>Convert</t>
  </si>
  <si>
    <t>CFFF</t>
  </si>
  <si>
    <t>CIC</t>
  </si>
  <si>
    <t>NBI-1117570</t>
  </si>
  <si>
    <t>NBI-1117567</t>
  </si>
  <si>
    <t>NBI-1117569</t>
  </si>
  <si>
    <t>mixed agonist</t>
  </si>
  <si>
    <t>M1 preferring agonist</t>
  </si>
  <si>
    <t>M4 preferring agonist</t>
  </si>
  <si>
    <t>acquired Nxera?</t>
  </si>
  <si>
    <t>Movement Disorders</t>
  </si>
  <si>
    <t>terminated luvadaxistat, NBI-1065846, NBI-827104</t>
  </si>
  <si>
    <t>PC</t>
  </si>
  <si>
    <t>GBA1 gene therapy</t>
  </si>
  <si>
    <t>NBI-921355</t>
  </si>
  <si>
    <t>Nav1.2/Nav1.6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</si>
</sst>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5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u/>
      <sz val="10"/>
      <color theme="10"/>
      <name val="Arial"/>
      <family val="2"/>
    </font>
    <font>
      <sz val="10"/>
      <name val="Arial"/>
      <family val="2"/>
    </font>
    <font>
      <b/>
      <u/>
      <sz val="10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1">
    <xf numFmtId="0" fontId="0" fillId="0" borderId="0" xfId="0"/>
    <xf numFmtId="4" fontId="0" fillId="0" borderId="0" xfId="0" applyNumberFormat="1"/>
    <xf numFmtId="0" fontId="0" fillId="0" borderId="0" xfId="0" applyAlignment="1">
      <alignment horizontal="right"/>
    </xf>
    <xf numFmtId="3" fontId="0" fillId="0" borderId="0" xfId="0" applyNumberFormat="1"/>
    <xf numFmtId="4" fontId="0" fillId="0" borderId="0" xfId="0" applyNumberFormat="1" applyAlignment="1">
      <alignment horizontal="right"/>
    </xf>
    <xf numFmtId="3" fontId="0" fillId="0" borderId="0" xfId="0" applyNumberFormat="1" applyAlignment="1">
      <alignment horizontal="right"/>
    </xf>
    <xf numFmtId="3" fontId="1" fillId="0" borderId="0" xfId="0" applyNumberFormat="1" applyFont="1"/>
    <xf numFmtId="3" fontId="1" fillId="0" borderId="0" xfId="0" applyNumberFormat="1" applyFont="1" applyAlignment="1">
      <alignment horizontal="right"/>
    </xf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9" fontId="0" fillId="0" borderId="0" xfId="0" applyNumberFormat="1" applyAlignment="1">
      <alignment horizontal="right"/>
    </xf>
    <xf numFmtId="9" fontId="0" fillId="0" borderId="0" xfId="0" applyNumberFormat="1"/>
    <xf numFmtId="0" fontId="2" fillId="0" borderId="0" xfId="1"/>
    <xf numFmtId="0" fontId="2" fillId="0" borderId="1" xfId="1" applyBorder="1"/>
    <xf numFmtId="0" fontId="3" fillId="0" borderId="1" xfId="1" applyFont="1" applyBorder="1"/>
    <xf numFmtId="0" fontId="4" fillId="0" borderId="0" xfId="0" applyFont="1"/>
    <xf numFmtId="0" fontId="1" fillId="0" borderId="0" xfId="0" applyFont="1"/>
    <xf numFmtId="0" fontId="0" fillId="0" borderId="0" xfId="0" quotePrefix="1"/>
    <xf numFmtId="0" fontId="0" fillId="0" borderId="7" xfId="0" applyBorder="1" applyAlignment="1">
      <alignment horizontal="center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0" fillId="0" borderId="4" xfId="0" applyBorder="1" applyAlignment="1">
      <alignment horizontal="center"/>
    </xf>
    <xf numFmtId="0" fontId="2" fillId="2" borderId="1" xfId="1" applyFill="1" applyBorder="1"/>
    <xf numFmtId="0" fontId="0" fillId="2" borderId="1" xfId="0" applyFill="1" applyBorder="1"/>
    <xf numFmtId="9" fontId="0" fillId="0" borderId="0" xfId="0" applyNumberFormat="1" applyAlignment="1">
      <alignment horizontal="left"/>
    </xf>
    <xf numFmtId="0" fontId="0" fillId="2" borderId="3" xfId="0" applyFill="1" applyBorder="1"/>
  </cellXfs>
  <cellStyles count="2">
    <cellStyle name="Hyperlink" xfId="1" builtinId="8"/>
    <cellStyle name="Normal" xfId="0" builtinId="0"/>
  </cellStyles>
  <dxfs count="0"/>
  <tableStyles count="1" defaultTableStyle="TableStyleMedium2" defaultPivotStyle="PivotStyleLight16">
    <tableStyle name="Invisible" pivot="0" table="0" count="0" xr9:uid="{A950530C-830D-4EC2-A396-8EDC8806AA3C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microsoft.com/office/2017/10/relationships/person" Target="persons/perso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23</xdr:col>
      <xdr:colOff>27835</xdr:colOff>
      <xdr:row>0</xdr:row>
      <xdr:rowOff>0</xdr:rowOff>
    </xdr:from>
    <xdr:to>
      <xdr:col>23</xdr:col>
      <xdr:colOff>27835</xdr:colOff>
      <xdr:row>53</xdr:row>
      <xdr:rowOff>90715</xdr:rowOff>
    </xdr:to>
    <xdr:cxnSp macro="">
      <xdr:nvCxnSpPr>
        <xdr:cNvPr id="3" name="Straight Connector 2">
          <a:extLst>
            <a:ext uri="{FF2B5EF4-FFF2-40B4-BE49-F238E27FC236}">
              <a16:creationId xmlns:a16="http://schemas.microsoft.com/office/drawing/2014/main" id="{23A3322E-D197-A03F-2D9F-49C281DED272}"/>
            </a:ext>
          </a:extLst>
        </xdr:cNvPr>
        <xdr:cNvCxnSpPr/>
      </xdr:nvCxnSpPr>
      <xdr:spPr>
        <a:xfrm>
          <a:off x="14785235" y="0"/>
          <a:ext cx="0" cy="8400144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39</xdr:col>
      <xdr:colOff>39102</xdr:colOff>
      <xdr:row>0</xdr:row>
      <xdr:rowOff>12700</xdr:rowOff>
    </xdr:from>
    <xdr:to>
      <xdr:col>39</xdr:col>
      <xdr:colOff>39102</xdr:colOff>
      <xdr:row>74</xdr:row>
      <xdr:rowOff>96345</xdr:rowOff>
    </xdr:to>
    <xdr:cxnSp macro="">
      <xdr:nvCxnSpPr>
        <xdr:cNvPr id="4" name="Straight Connector 3">
          <a:extLst>
            <a:ext uri="{FF2B5EF4-FFF2-40B4-BE49-F238E27FC236}">
              <a16:creationId xmlns:a16="http://schemas.microsoft.com/office/drawing/2014/main" id="{3D7B373B-A381-4163-A44A-2D59B1DF6CAC}"/>
            </a:ext>
          </a:extLst>
        </xdr:cNvPr>
        <xdr:cNvCxnSpPr/>
      </xdr:nvCxnSpPr>
      <xdr:spPr>
        <a:xfrm>
          <a:off x="24475654" y="12700"/>
          <a:ext cx="0" cy="11758886"/>
        </a:xfrm>
        <a:prstGeom prst="line">
          <a:avLst/>
        </a:prstGeom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93201</xdr:colOff>
      <xdr:row>17</xdr:row>
      <xdr:rowOff>114609</xdr:rowOff>
    </xdr:from>
    <xdr:to>
      <xdr:col>2</xdr:col>
      <xdr:colOff>472915</xdr:colOff>
      <xdr:row>27</xdr:row>
      <xdr:rowOff>52496</xdr:rowOff>
    </xdr:to>
    <xdr:pic>
      <xdr:nvPicPr>
        <xdr:cNvPr id="3" name="Picture 2" descr="undefined">
          <a:extLst>
            <a:ext uri="{FF2B5EF4-FFF2-40B4-BE49-F238E27FC236}">
              <a16:creationId xmlns:a16="http://schemas.microsoft.com/office/drawing/2014/main" id="{A9403657-E6FF-55E1-A6D4-216B3A356212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443225" y="1858536"/>
          <a:ext cx="1231544" cy="1517644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507174</xdr:colOff>
      <xdr:row>11</xdr:row>
      <xdr:rowOff>144036</xdr:rowOff>
    </xdr:from>
    <xdr:to>
      <xdr:col>10</xdr:col>
      <xdr:colOff>543622</xdr:colOff>
      <xdr:row>30</xdr:row>
      <xdr:rowOff>18713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CF1416C-AC32-BC3D-D25F-A1C4A2A5314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94772" y="1932877"/>
          <a:ext cx="3079801" cy="2964495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Martin Shkreli" id="{45E69EB5-F007-4D3F-81A1-66A29F1E36ED}" userId="9ffda80931a57275" providerId="Windows Live"/>
</personList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AK4" dT="2023-01-04T02:46:47.21" personId="{45E69EB5-F007-4D3F-81A1-66A29F1E36ED}" id="{3069B2B6-6AE1-4411-A9B6-C363B5550C85}">
    <text>Q3 guidance: 1400-1425</text>
  </threadedComment>
  <threadedComment ref="AM4" dT="2024-09-03T12:13:42.48" personId="{45E69EB5-F007-4D3F-81A1-66A29F1E36ED}" id="{E76A3321-30D1-474A-816C-3601963F366F}">
    <text>Raised guidance to 2.25-2.30B</text>
  </threadedComment>
  <threadedComment ref="AN4" dT="2025-02-18T16:20:24.22" personId="{45E69EB5-F007-4D3F-81A1-66A29F1E36ED}" id="{7FBC2ADF-FD82-44A5-A73B-E95A5D513C1A}">
    <text>Q4 guidance: 2.5-2.6B</text>
  </threadedComment>
  <threadedComment ref="BA4" dT="2024-09-03T12:31:23.19" personId="{45E69EB5-F007-4D3F-81A1-66A29F1E36ED}" id="{98D11F55-839D-450A-B2B9-0C3B07A81771}">
    <text>Settlement with generics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32A1F6-F911-40A6-8644-267FAD055F12}">
  <dimension ref="B2:M27"/>
  <sheetViews>
    <sheetView tabSelected="1" zoomScaleNormal="100" workbookViewId="0">
      <selection activeCell="L4" sqref="L4"/>
    </sheetView>
  </sheetViews>
  <sheetFormatPr defaultRowHeight="12.5" x14ac:dyDescent="0.25"/>
  <cols>
    <col min="1" max="1" width="3" customWidth="1"/>
    <col min="2" max="2" width="21.453125" customWidth="1"/>
    <col min="3" max="3" width="15.54296875" customWidth="1"/>
    <col min="4" max="4" width="18.7265625" customWidth="1"/>
    <col min="5" max="5" width="15.1796875" customWidth="1"/>
    <col min="6" max="6" width="12.7265625" customWidth="1"/>
  </cols>
  <sheetData>
    <row r="2" spans="2:13" x14ac:dyDescent="0.25">
      <c r="B2" s="12" t="s">
        <v>22</v>
      </c>
      <c r="C2" s="13" t="s">
        <v>24</v>
      </c>
      <c r="D2" s="13" t="s">
        <v>36</v>
      </c>
      <c r="E2" s="23" t="s">
        <v>59</v>
      </c>
      <c r="F2" s="13" t="s">
        <v>32</v>
      </c>
      <c r="G2" s="14" t="s">
        <v>31</v>
      </c>
      <c r="K2" t="s">
        <v>0</v>
      </c>
      <c r="L2" s="1">
        <v>113</v>
      </c>
    </row>
    <row r="3" spans="2:13" x14ac:dyDescent="0.25">
      <c r="B3" s="18" t="s">
        <v>23</v>
      </c>
      <c r="C3" t="s">
        <v>25</v>
      </c>
      <c r="D3" t="s">
        <v>37</v>
      </c>
      <c r="E3" s="24">
        <v>42836</v>
      </c>
      <c r="F3" t="s">
        <v>33</v>
      </c>
      <c r="G3" s="9"/>
      <c r="K3" t="s">
        <v>1</v>
      </c>
      <c r="L3" s="3">
        <v>103</v>
      </c>
      <c r="M3" s="2" t="s">
        <v>91</v>
      </c>
    </row>
    <row r="4" spans="2:13" x14ac:dyDescent="0.25">
      <c r="B4" s="19" t="s">
        <v>109</v>
      </c>
      <c r="C4" t="s">
        <v>110</v>
      </c>
      <c r="E4" s="24"/>
      <c r="G4" s="9"/>
      <c r="K4" t="s">
        <v>2</v>
      </c>
      <c r="L4" s="3">
        <f>+L2*L3</f>
        <v>11639</v>
      </c>
    </row>
    <row r="5" spans="2:13" x14ac:dyDescent="0.25">
      <c r="B5" s="18" t="s">
        <v>140</v>
      </c>
      <c r="C5" t="s">
        <v>58</v>
      </c>
      <c r="D5" t="s">
        <v>57</v>
      </c>
      <c r="E5" s="25" t="s">
        <v>117</v>
      </c>
      <c r="G5" s="9"/>
      <c r="K5" t="s">
        <v>3</v>
      </c>
      <c r="L5" s="3">
        <v>1940</v>
      </c>
      <c r="M5" s="2" t="s">
        <v>91</v>
      </c>
    </row>
    <row r="6" spans="2:13" x14ac:dyDescent="0.25">
      <c r="B6" s="8" t="s">
        <v>26</v>
      </c>
      <c r="C6" t="s">
        <v>27</v>
      </c>
      <c r="E6" s="25"/>
      <c r="G6" s="9"/>
      <c r="K6" t="s">
        <v>4</v>
      </c>
      <c r="L6" s="3">
        <v>0</v>
      </c>
      <c r="M6" s="2" t="s">
        <v>91</v>
      </c>
    </row>
    <row r="7" spans="2:13" x14ac:dyDescent="0.25">
      <c r="B7" s="12"/>
      <c r="C7" s="13"/>
      <c r="D7" s="13"/>
      <c r="E7" s="23" t="s">
        <v>60</v>
      </c>
      <c r="F7" s="13"/>
      <c r="G7" s="14"/>
      <c r="K7" t="s">
        <v>5</v>
      </c>
      <c r="L7" s="3">
        <f>+L4-L5+L6</f>
        <v>9699</v>
      </c>
    </row>
    <row r="8" spans="2:13" x14ac:dyDescent="0.25">
      <c r="B8" s="27" t="s">
        <v>142</v>
      </c>
      <c r="C8" t="s">
        <v>65</v>
      </c>
      <c r="D8" t="s">
        <v>66</v>
      </c>
      <c r="E8" s="25" t="s">
        <v>135</v>
      </c>
      <c r="F8" t="s">
        <v>67</v>
      </c>
      <c r="G8" s="9"/>
    </row>
    <row r="9" spans="2:13" x14ac:dyDescent="0.25">
      <c r="B9" s="27" t="s">
        <v>34</v>
      </c>
      <c r="C9" t="s">
        <v>35</v>
      </c>
      <c r="D9" t="s">
        <v>53</v>
      </c>
      <c r="E9" s="25" t="s">
        <v>135</v>
      </c>
      <c r="F9" t="s">
        <v>54</v>
      </c>
      <c r="G9" s="9"/>
      <c r="K9" t="s">
        <v>29</v>
      </c>
      <c r="L9" t="s">
        <v>111</v>
      </c>
    </row>
    <row r="10" spans="2:13" x14ac:dyDescent="0.25">
      <c r="B10" s="28" t="s">
        <v>55</v>
      </c>
      <c r="C10" t="s">
        <v>65</v>
      </c>
      <c r="D10" t="s">
        <v>114</v>
      </c>
      <c r="E10" s="25"/>
      <c r="F10" t="s">
        <v>67</v>
      </c>
      <c r="G10" s="9"/>
    </row>
    <row r="11" spans="2:13" x14ac:dyDescent="0.25">
      <c r="B11" s="28" t="s">
        <v>121</v>
      </c>
      <c r="C11" t="s">
        <v>172</v>
      </c>
      <c r="D11" t="s">
        <v>115</v>
      </c>
      <c r="E11" s="25" t="s">
        <v>61</v>
      </c>
      <c r="F11" s="29">
        <v>1</v>
      </c>
      <c r="G11" s="9"/>
    </row>
    <row r="12" spans="2:13" x14ac:dyDescent="0.25">
      <c r="B12" s="28" t="s">
        <v>120</v>
      </c>
      <c r="C12" t="s">
        <v>25</v>
      </c>
      <c r="D12" t="s">
        <v>76</v>
      </c>
      <c r="E12" s="25" t="s">
        <v>61</v>
      </c>
      <c r="G12" s="9"/>
    </row>
    <row r="13" spans="2:13" x14ac:dyDescent="0.25">
      <c r="B13" s="28" t="s">
        <v>121</v>
      </c>
      <c r="D13" t="s">
        <v>115</v>
      </c>
      <c r="E13" s="25"/>
      <c r="G13" s="9"/>
    </row>
    <row r="14" spans="2:13" x14ac:dyDescent="0.25">
      <c r="B14" s="28" t="s">
        <v>165</v>
      </c>
      <c r="C14" t="s">
        <v>35</v>
      </c>
      <c r="D14" t="s">
        <v>168</v>
      </c>
      <c r="E14" s="25" t="s">
        <v>61</v>
      </c>
      <c r="G14" s="9"/>
    </row>
    <row r="15" spans="2:13" x14ac:dyDescent="0.25">
      <c r="B15" s="28" t="s">
        <v>166</v>
      </c>
      <c r="C15" t="s">
        <v>35</v>
      </c>
      <c r="D15" t="s">
        <v>169</v>
      </c>
      <c r="E15" s="25" t="s">
        <v>61</v>
      </c>
      <c r="G15" s="9"/>
    </row>
    <row r="16" spans="2:13" x14ac:dyDescent="0.25">
      <c r="B16" s="28" t="s">
        <v>167</v>
      </c>
      <c r="C16" t="s">
        <v>35</v>
      </c>
      <c r="D16" t="s">
        <v>170</v>
      </c>
      <c r="E16" s="25" t="s">
        <v>61</v>
      </c>
      <c r="G16" s="9"/>
    </row>
    <row r="17" spans="2:10" x14ac:dyDescent="0.25">
      <c r="B17" s="8"/>
      <c r="C17" t="s">
        <v>27</v>
      </c>
      <c r="D17" t="s">
        <v>175</v>
      </c>
      <c r="E17" s="25" t="s">
        <v>174</v>
      </c>
      <c r="F17" t="s">
        <v>122</v>
      </c>
      <c r="G17" s="9"/>
    </row>
    <row r="18" spans="2:10" x14ac:dyDescent="0.25">
      <c r="B18" s="8" t="s">
        <v>176</v>
      </c>
      <c r="C18" t="s">
        <v>51</v>
      </c>
      <c r="D18" t="s">
        <v>177</v>
      </c>
      <c r="E18" s="25" t="s">
        <v>61</v>
      </c>
      <c r="G18" s="9"/>
    </row>
    <row r="19" spans="2:10" x14ac:dyDescent="0.25">
      <c r="B19" s="30" t="s">
        <v>68</v>
      </c>
      <c r="C19" s="10" t="s">
        <v>51</v>
      </c>
      <c r="D19" s="10" t="s">
        <v>69</v>
      </c>
      <c r="E19" s="26" t="s">
        <v>62</v>
      </c>
      <c r="F19" s="10" t="s">
        <v>70</v>
      </c>
      <c r="G19" s="11"/>
    </row>
    <row r="22" spans="2:10" x14ac:dyDescent="0.25">
      <c r="F22" t="s">
        <v>83</v>
      </c>
    </row>
    <row r="23" spans="2:10" x14ac:dyDescent="0.25">
      <c r="F23" t="s">
        <v>171</v>
      </c>
    </row>
    <row r="24" spans="2:10" x14ac:dyDescent="0.25">
      <c r="F24" t="s">
        <v>173</v>
      </c>
    </row>
    <row r="25" spans="2:10" x14ac:dyDescent="0.25">
      <c r="F25" s="8" t="s">
        <v>63</v>
      </c>
      <c r="G25" t="s">
        <v>65</v>
      </c>
      <c r="H25" t="s">
        <v>64</v>
      </c>
      <c r="I25" s="25" t="s">
        <v>62</v>
      </c>
      <c r="J25" t="s">
        <v>67</v>
      </c>
    </row>
    <row r="26" spans="2:10" x14ac:dyDescent="0.25">
      <c r="F26" s="8" t="s">
        <v>49</v>
      </c>
      <c r="G26" t="s">
        <v>51</v>
      </c>
      <c r="H26" t="s">
        <v>52</v>
      </c>
      <c r="I26" s="25" t="s">
        <v>62</v>
      </c>
      <c r="J26" t="s">
        <v>50</v>
      </c>
    </row>
    <row r="27" spans="2:10" x14ac:dyDescent="0.25">
      <c r="F27" s="8" t="s">
        <v>116</v>
      </c>
      <c r="H27" t="s">
        <v>119</v>
      </c>
    </row>
  </sheetData>
  <hyperlinks>
    <hyperlink ref="B3" location="Ingrezza!A1" display="Ingrezza (valbenazine)" xr:uid="{A3DCB05F-467A-49D9-BDFF-0F9C96F16A9F}"/>
    <hyperlink ref="B5" location="crinecerfont!A1" display="crinecerfont" xr:uid="{7A8087B6-C265-401A-978F-A93E99DCCDEE}"/>
    <hyperlink ref="B8" location="osavampator!A1" display="osavampator" xr:uid="{6C6A8A42-AED5-4204-B4CB-F292C8E12385}"/>
    <hyperlink ref="B9" location="'1117568'!A1" display="NBI-1117568" xr:uid="{EB14CADC-5E3F-40B1-A298-788FF9E76F3C}"/>
  </hyperlinks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62B0C7-1B6F-4C96-9B91-E9D8930F8C52}">
  <dimension ref="A1:BC69"/>
  <sheetViews>
    <sheetView zoomScale="115" zoomScaleNormal="115" workbookViewId="0">
      <pane xSplit="2" ySplit="2" topLeftCell="AE3" activePane="bottomRight" state="frozen"/>
      <selection pane="topRight" activeCell="C1" sqref="C1"/>
      <selection pane="bottomLeft" activeCell="A3" sqref="A3"/>
      <selection pane="bottomRight" activeCell="AM14" sqref="AM14"/>
    </sheetView>
  </sheetViews>
  <sheetFormatPr defaultRowHeight="12.5" x14ac:dyDescent="0.25"/>
  <cols>
    <col min="1" max="1" width="5" bestFit="1" customWidth="1"/>
    <col min="2" max="2" width="13.1796875" customWidth="1"/>
    <col min="3" max="23" width="9.1796875" style="2"/>
    <col min="24" max="27" width="8.7265625" style="2"/>
    <col min="53" max="53" width="11" bestFit="1" customWidth="1"/>
  </cols>
  <sheetData>
    <row r="1" spans="1:55" x14ac:dyDescent="0.25">
      <c r="A1" s="17" t="s">
        <v>7</v>
      </c>
    </row>
    <row r="2" spans="1:55" x14ac:dyDescent="0.25">
      <c r="C2" s="2" t="s">
        <v>73</v>
      </c>
      <c r="D2" s="2" t="s">
        <v>9</v>
      </c>
      <c r="E2" s="2" t="s">
        <v>10</v>
      </c>
      <c r="F2" s="2" t="s">
        <v>11</v>
      </c>
      <c r="G2" s="2" t="s">
        <v>12</v>
      </c>
      <c r="H2" s="2" t="s">
        <v>13</v>
      </c>
      <c r="I2" s="2" t="s">
        <v>14</v>
      </c>
      <c r="J2" s="2" t="s">
        <v>15</v>
      </c>
      <c r="K2" s="2" t="s">
        <v>16</v>
      </c>
      <c r="L2" s="2" t="s">
        <v>17</v>
      </c>
      <c r="M2" s="2" t="s">
        <v>6</v>
      </c>
      <c r="N2" s="2" t="s">
        <v>18</v>
      </c>
      <c r="O2" s="2" t="s">
        <v>19</v>
      </c>
      <c r="P2" s="2" t="s">
        <v>84</v>
      </c>
      <c r="Q2" s="2" t="s">
        <v>85</v>
      </c>
      <c r="R2" s="2" t="s">
        <v>86</v>
      </c>
      <c r="S2" s="2" t="s">
        <v>87</v>
      </c>
      <c r="T2" s="2" t="s">
        <v>88</v>
      </c>
      <c r="U2" s="2" t="s">
        <v>89</v>
      </c>
      <c r="V2" s="2" t="s">
        <v>90</v>
      </c>
      <c r="W2" s="2" t="s">
        <v>91</v>
      </c>
      <c r="X2" s="2" t="s">
        <v>136</v>
      </c>
      <c r="Y2" s="2" t="s">
        <v>137</v>
      </c>
      <c r="Z2" s="2" t="s">
        <v>138</v>
      </c>
      <c r="AA2" s="2" t="s">
        <v>139</v>
      </c>
      <c r="AD2">
        <v>2015</v>
      </c>
      <c r="AE2">
        <f>+AD2+1</f>
        <v>2016</v>
      </c>
      <c r="AF2">
        <f t="shared" ref="AF2:BC2" si="0">+AE2+1</f>
        <v>2017</v>
      </c>
      <c r="AG2">
        <f t="shared" si="0"/>
        <v>2018</v>
      </c>
      <c r="AH2">
        <f t="shared" si="0"/>
        <v>2019</v>
      </c>
      <c r="AI2">
        <f t="shared" si="0"/>
        <v>2020</v>
      </c>
      <c r="AJ2">
        <f t="shared" si="0"/>
        <v>2021</v>
      </c>
      <c r="AK2">
        <f t="shared" si="0"/>
        <v>2022</v>
      </c>
      <c r="AL2">
        <f t="shared" si="0"/>
        <v>2023</v>
      </c>
      <c r="AM2">
        <f t="shared" si="0"/>
        <v>2024</v>
      </c>
      <c r="AN2">
        <f t="shared" si="0"/>
        <v>2025</v>
      </c>
      <c r="AO2">
        <f t="shared" si="0"/>
        <v>2026</v>
      </c>
      <c r="AP2">
        <f t="shared" si="0"/>
        <v>2027</v>
      </c>
      <c r="AQ2">
        <f t="shared" si="0"/>
        <v>2028</v>
      </c>
      <c r="AR2">
        <f t="shared" si="0"/>
        <v>2029</v>
      </c>
      <c r="AS2">
        <f t="shared" si="0"/>
        <v>2030</v>
      </c>
      <c r="AT2">
        <f t="shared" si="0"/>
        <v>2031</v>
      </c>
      <c r="AU2">
        <f t="shared" si="0"/>
        <v>2032</v>
      </c>
      <c r="AV2">
        <f t="shared" si="0"/>
        <v>2033</v>
      </c>
      <c r="AW2">
        <f t="shared" si="0"/>
        <v>2034</v>
      </c>
      <c r="AX2">
        <f t="shared" si="0"/>
        <v>2035</v>
      </c>
      <c r="AY2">
        <f t="shared" si="0"/>
        <v>2036</v>
      </c>
      <c r="AZ2">
        <f t="shared" si="0"/>
        <v>2037</v>
      </c>
      <c r="BA2">
        <f t="shared" si="0"/>
        <v>2038</v>
      </c>
      <c r="BB2">
        <f t="shared" si="0"/>
        <v>2039</v>
      </c>
      <c r="BC2">
        <f t="shared" si="0"/>
        <v>2040</v>
      </c>
    </row>
    <row r="3" spans="1:55" x14ac:dyDescent="0.25">
      <c r="B3" t="s">
        <v>30</v>
      </c>
      <c r="N3" s="2">
        <v>68600</v>
      </c>
    </row>
    <row r="4" spans="1:55" x14ac:dyDescent="0.25">
      <c r="B4" t="s">
        <v>28</v>
      </c>
      <c r="C4" s="2">
        <v>238</v>
      </c>
      <c r="D4" s="2">
        <v>231</v>
      </c>
      <c r="E4" s="2">
        <v>268</v>
      </c>
      <c r="F4" s="2">
        <v>254</v>
      </c>
      <c r="G4" s="2">
        <v>241</v>
      </c>
      <c r="H4" s="2">
        <v>231</v>
      </c>
      <c r="I4" s="2">
        <v>267</v>
      </c>
      <c r="J4" s="5">
        <v>289</v>
      </c>
      <c r="K4" s="5">
        <v>304</v>
      </c>
      <c r="L4" s="2">
        <v>303</v>
      </c>
      <c r="M4" s="2">
        <v>350</v>
      </c>
      <c r="N4" s="2">
        <v>376</v>
      </c>
      <c r="O4" s="2">
        <v>405</v>
      </c>
      <c r="P4" s="2">
        <v>415</v>
      </c>
      <c r="Q4" s="5">
        <v>439.7</v>
      </c>
      <c r="R4" s="5">
        <v>486</v>
      </c>
      <c r="S4" s="5">
        <v>500</v>
      </c>
      <c r="T4" s="5">
        <v>506</v>
      </c>
      <c r="U4" s="5">
        <v>579.5</v>
      </c>
      <c r="V4" s="2">
        <v>613</v>
      </c>
      <c r="W4" s="2">
        <v>615</v>
      </c>
      <c r="X4" s="2">
        <f>+W4+5</f>
        <v>620</v>
      </c>
      <c r="Y4" s="2">
        <f>+X4+5</f>
        <v>625</v>
      </c>
      <c r="Z4" s="2">
        <f>+Y4+5</f>
        <v>630</v>
      </c>
      <c r="AA4" s="2">
        <f>+Z4+5</f>
        <v>635</v>
      </c>
      <c r="AG4" s="3">
        <v>409.6</v>
      </c>
      <c r="AH4" s="3">
        <v>752.9</v>
      </c>
      <c r="AI4" s="3">
        <v>993.1</v>
      </c>
      <c r="AJ4" s="3">
        <v>1081.9000000000001</v>
      </c>
      <c r="AK4" s="3">
        <v>1427.8</v>
      </c>
      <c r="AL4" s="3">
        <v>1836</v>
      </c>
      <c r="AM4" s="3">
        <v>2313.5</v>
      </c>
      <c r="AN4" s="3">
        <f t="shared" ref="AN4:AT4" si="1">+AM4*1.05</f>
        <v>2429.1750000000002</v>
      </c>
      <c r="AO4" s="3">
        <f t="shared" si="1"/>
        <v>2550.6337500000004</v>
      </c>
      <c r="AP4" s="3">
        <f t="shared" si="1"/>
        <v>2678.1654375000007</v>
      </c>
      <c r="AQ4" s="3">
        <f t="shared" si="1"/>
        <v>2812.0737093750008</v>
      </c>
      <c r="AR4" s="3">
        <f t="shared" si="1"/>
        <v>2952.6773948437508</v>
      </c>
      <c r="AS4" s="3">
        <f t="shared" si="1"/>
        <v>3100.3112645859383</v>
      </c>
      <c r="AT4" s="3">
        <f t="shared" si="1"/>
        <v>3255.3268278152354</v>
      </c>
    </row>
    <row r="5" spans="1:55" x14ac:dyDescent="0.25">
      <c r="B5" t="s">
        <v>127</v>
      </c>
      <c r="J5" s="5"/>
      <c r="K5" s="5"/>
      <c r="Q5" s="5"/>
      <c r="R5" s="5"/>
      <c r="S5" s="5"/>
      <c r="T5" s="5"/>
      <c r="U5" s="5"/>
      <c r="AG5">
        <v>0</v>
      </c>
      <c r="AH5">
        <v>0</v>
      </c>
      <c r="AI5" s="3">
        <v>1</v>
      </c>
      <c r="AJ5" s="3">
        <v>8.1999999999999993</v>
      </c>
    </row>
    <row r="6" spans="1:55" x14ac:dyDescent="0.25">
      <c r="B6" t="s">
        <v>141</v>
      </c>
      <c r="J6" s="5"/>
      <c r="K6" s="5"/>
      <c r="Q6" s="5"/>
      <c r="R6" s="5"/>
      <c r="S6" s="5"/>
      <c r="T6" s="5"/>
      <c r="U6" s="5"/>
      <c r="W6" s="2">
        <v>2</v>
      </c>
      <c r="AI6" s="3"/>
      <c r="AJ6" s="3"/>
      <c r="AN6">
        <v>10</v>
      </c>
      <c r="AO6">
        <v>20</v>
      </c>
      <c r="AP6">
        <v>30</v>
      </c>
      <c r="AQ6">
        <v>40</v>
      </c>
      <c r="AR6">
        <v>50</v>
      </c>
      <c r="AS6">
        <v>60</v>
      </c>
      <c r="AT6">
        <v>70</v>
      </c>
    </row>
    <row r="7" spans="1:55" s="3" customFormat="1" x14ac:dyDescent="0.25">
      <c r="B7" s="3" t="s">
        <v>20</v>
      </c>
      <c r="C7" s="5">
        <v>237.9</v>
      </c>
      <c r="D7" s="5">
        <v>231.1</v>
      </c>
      <c r="E7" s="5">
        <v>267.60000000000002</v>
      </c>
      <c r="F7" s="5">
        <v>254.1</v>
      </c>
      <c r="G7" s="5">
        <v>241.3</v>
      </c>
      <c r="H7" s="5">
        <v>231</v>
      </c>
      <c r="I7" s="5">
        <v>266.8</v>
      </c>
      <c r="J7" s="5">
        <v>288.8</v>
      </c>
      <c r="K7" s="5">
        <v>303.5</v>
      </c>
      <c r="L7" s="5">
        <v>305</v>
      </c>
      <c r="M7" s="5">
        <v>352</v>
      </c>
      <c r="N7" s="5">
        <v>379.3</v>
      </c>
      <c r="O7" s="5">
        <v>404.6</v>
      </c>
      <c r="P7" s="5">
        <v>415.3</v>
      </c>
      <c r="Q7" s="5">
        <v>446.3</v>
      </c>
      <c r="R7" s="5">
        <v>491.8</v>
      </c>
      <c r="S7" s="5">
        <v>507.2</v>
      </c>
      <c r="T7" s="5">
        <v>509</v>
      </c>
      <c r="U7" s="5">
        <v>583.79999999999995</v>
      </c>
      <c r="V7" s="5">
        <v>616.6</v>
      </c>
      <c r="W7" s="5">
        <v>621.20000000000005</v>
      </c>
      <c r="X7" s="5"/>
      <c r="Y7" s="5"/>
      <c r="Z7" s="5"/>
      <c r="AA7" s="5"/>
      <c r="AE7" s="3">
        <v>0</v>
      </c>
      <c r="AF7" s="3">
        <v>116.6</v>
      </c>
      <c r="AG7" s="3">
        <f>+AG4+AG5</f>
        <v>409.6</v>
      </c>
      <c r="AH7" s="3">
        <f>+AH4+AH5</f>
        <v>752.9</v>
      </c>
      <c r="AI7" s="3">
        <f>+AI4+AI5</f>
        <v>994.1</v>
      </c>
      <c r="AJ7" s="3">
        <f>+AJ4+AJ5</f>
        <v>1090.1000000000001</v>
      </c>
      <c r="AK7" s="3">
        <f>SUM(L7:O7)</f>
        <v>1440.9</v>
      </c>
      <c r="AL7" s="3">
        <f>SUM(P7:S7)</f>
        <v>1860.6000000000001</v>
      </c>
      <c r="AM7" s="3">
        <f>SUM(T7:W7)</f>
        <v>2330.6000000000004</v>
      </c>
      <c r="AN7" s="3">
        <f>+AN6+AN5+AN4</f>
        <v>2439.1750000000002</v>
      </c>
      <c r="AO7" s="3">
        <f t="shared" ref="AO7:AT7" si="2">+AO6+AO4</f>
        <v>2570.6337500000004</v>
      </c>
      <c r="AP7" s="3">
        <f t="shared" si="2"/>
        <v>2708.1654375000007</v>
      </c>
      <c r="AQ7" s="3">
        <f t="shared" si="2"/>
        <v>2852.0737093750008</v>
      </c>
      <c r="AR7" s="3">
        <f t="shared" si="2"/>
        <v>3002.6773948437508</v>
      </c>
      <c r="AS7" s="3">
        <f t="shared" si="2"/>
        <v>3160.3112645859383</v>
      </c>
      <c r="AT7" s="3">
        <f t="shared" si="2"/>
        <v>3325.3268278152354</v>
      </c>
    </row>
    <row r="8" spans="1:55" s="3" customFormat="1" x14ac:dyDescent="0.25">
      <c r="B8" s="3" t="s">
        <v>128</v>
      </c>
      <c r="C8" s="5"/>
      <c r="D8" s="5"/>
      <c r="E8" s="5"/>
      <c r="F8" s="5"/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5"/>
      <c r="U8" s="5"/>
      <c r="V8" s="5"/>
      <c r="W8" s="5"/>
      <c r="X8" s="5"/>
      <c r="Y8" s="5"/>
      <c r="Z8" s="5"/>
      <c r="AA8" s="5"/>
      <c r="AH8" s="3">
        <v>14.3</v>
      </c>
      <c r="AI8" s="3">
        <v>19.2</v>
      </c>
      <c r="AJ8" s="3">
        <v>22.3</v>
      </c>
    </row>
    <row r="9" spans="1:55" s="3" customFormat="1" x14ac:dyDescent="0.25">
      <c r="B9" s="3" t="s">
        <v>146</v>
      </c>
      <c r="C9" s="5"/>
      <c r="D9" s="5"/>
      <c r="E9" s="5"/>
      <c r="F9" s="5"/>
      <c r="G9" s="5"/>
      <c r="H9" s="5"/>
      <c r="I9" s="5"/>
      <c r="J9" s="5"/>
      <c r="K9" s="5"/>
      <c r="L9" s="5"/>
      <c r="M9" s="5"/>
      <c r="N9" s="5"/>
      <c r="O9" s="5"/>
      <c r="P9" s="5"/>
      <c r="Q9" s="5"/>
      <c r="R9" s="5"/>
      <c r="S9" s="5"/>
      <c r="T9" s="5"/>
      <c r="U9" s="5"/>
      <c r="V9" s="5"/>
      <c r="W9" s="5"/>
      <c r="X9" s="5"/>
      <c r="Y9" s="5"/>
      <c r="Z9" s="5"/>
      <c r="AA9" s="5"/>
      <c r="AK9" s="3">
        <v>22.3</v>
      </c>
      <c r="AL9" s="3">
        <v>21.2</v>
      </c>
      <c r="AM9" s="3">
        <v>18.600000000000001</v>
      </c>
      <c r="AN9" s="3">
        <f>+AM9*1.05</f>
        <v>19.53</v>
      </c>
    </row>
    <row r="10" spans="1:55" s="3" customFormat="1" x14ac:dyDescent="0.25">
      <c r="B10" s="3" t="s">
        <v>129</v>
      </c>
      <c r="C10" s="5"/>
      <c r="D10" s="5"/>
      <c r="E10" s="5"/>
      <c r="F10" s="5"/>
      <c r="G10" s="5"/>
      <c r="H10" s="5"/>
      <c r="I10" s="5"/>
      <c r="J10" s="5"/>
      <c r="K10" s="5"/>
      <c r="L10" s="5"/>
      <c r="M10" s="5"/>
      <c r="N10" s="5"/>
      <c r="O10" s="5"/>
      <c r="P10" s="5"/>
      <c r="Q10" s="5"/>
      <c r="R10" s="5"/>
      <c r="S10" s="5"/>
      <c r="T10" s="5"/>
      <c r="U10" s="5"/>
      <c r="V10" s="5"/>
      <c r="W10" s="5"/>
      <c r="X10" s="5"/>
      <c r="Y10" s="5"/>
      <c r="Z10" s="5"/>
      <c r="AA10" s="5"/>
      <c r="AH10" s="3">
        <v>20.9</v>
      </c>
      <c r="AI10" s="3">
        <v>32.6</v>
      </c>
      <c r="AJ10" s="3">
        <v>21.1</v>
      </c>
      <c r="AK10" s="3">
        <v>13.1</v>
      </c>
      <c r="AL10" s="3">
        <v>24.6</v>
      </c>
      <c r="AM10" s="3">
        <v>17.100000000000001</v>
      </c>
    </row>
    <row r="11" spans="1:55" s="3" customFormat="1" x14ac:dyDescent="0.25">
      <c r="B11" s="3" t="s">
        <v>21</v>
      </c>
      <c r="C11" s="5">
        <v>6.2</v>
      </c>
      <c r="D11" s="5">
        <v>6</v>
      </c>
      <c r="E11" s="5">
        <v>34.799999999999997</v>
      </c>
      <c r="F11" s="5">
        <v>4.4000000000000004</v>
      </c>
      <c r="G11" s="5">
        <v>6.6</v>
      </c>
      <c r="H11" s="5">
        <v>5.6</v>
      </c>
      <c r="I11" s="5">
        <v>22.1</v>
      </c>
      <c r="J11" s="5">
        <v>7.2</v>
      </c>
      <c r="K11" s="5">
        <v>8.5</v>
      </c>
      <c r="L11" s="5">
        <v>5.6</v>
      </c>
      <c r="M11" s="5">
        <v>26.2</v>
      </c>
      <c r="N11" s="5">
        <v>8.6</v>
      </c>
      <c r="O11" s="5">
        <v>7.4</v>
      </c>
      <c r="P11" s="5">
        <v>5.0999999999999996</v>
      </c>
      <c r="Q11" s="5">
        <v>6.4</v>
      </c>
      <c r="R11" s="5">
        <v>7</v>
      </c>
      <c r="S11" s="5">
        <v>7.4</v>
      </c>
      <c r="T11" s="5">
        <v>6.3</v>
      </c>
      <c r="U11" s="5">
        <v>6.4</v>
      </c>
      <c r="V11" s="5">
        <v>5.5</v>
      </c>
      <c r="W11" s="5">
        <v>6.5</v>
      </c>
      <c r="X11" s="5"/>
      <c r="Y11" s="5"/>
      <c r="Z11" s="5"/>
      <c r="AA11" s="5"/>
      <c r="AG11" s="3">
        <v>41.6</v>
      </c>
      <c r="AH11" s="3">
        <f>+AH8+AH10</f>
        <v>35.200000000000003</v>
      </c>
      <c r="AI11" s="3">
        <f>+AI8+AI10</f>
        <v>51.8</v>
      </c>
      <c r="AJ11" s="3">
        <f>+AJ8+AJ10</f>
        <v>43.400000000000006</v>
      </c>
      <c r="AK11" s="3">
        <v>5.5</v>
      </c>
      <c r="AL11" s="3">
        <v>5.3</v>
      </c>
      <c r="AM11" s="3">
        <v>6.1</v>
      </c>
      <c r="AN11" s="3">
        <f>SUM(O11:AD11)</f>
        <v>57.999999999999993</v>
      </c>
      <c r="AO11" s="3">
        <f t="shared" ref="AO11" si="3">SUM(AB11:AE11)</f>
        <v>0</v>
      </c>
      <c r="AP11" s="3">
        <f t="shared" ref="AP11" si="4">SUM(AC11:AF11)</f>
        <v>0</v>
      </c>
      <c r="AQ11" s="3">
        <f t="shared" ref="AQ11" si="5">SUM(AD11:AG11)</f>
        <v>41.6</v>
      </c>
      <c r="AR11" s="3">
        <f t="shared" ref="AR11" si="6">SUM(AE11:AH11)</f>
        <v>76.800000000000011</v>
      </c>
      <c r="AS11" s="3">
        <f t="shared" ref="AS11" si="7">SUM(AF11:AI11)</f>
        <v>128.60000000000002</v>
      </c>
      <c r="AT11" s="3">
        <f t="shared" ref="AT11" si="8">SUM(AG11:AJ11)</f>
        <v>172.00000000000003</v>
      </c>
    </row>
    <row r="12" spans="1:55" s="6" customFormat="1" ht="13" x14ac:dyDescent="0.3">
      <c r="B12" s="6" t="s">
        <v>8</v>
      </c>
      <c r="C12" s="7">
        <f t="shared" ref="C12" si="9">+C7+C11</f>
        <v>244.1</v>
      </c>
      <c r="D12" s="7">
        <f t="shared" ref="D12" si="10">+D7+D11</f>
        <v>237.1</v>
      </c>
      <c r="E12" s="7">
        <f t="shared" ref="E12" si="11">+E7+E11</f>
        <v>302.40000000000003</v>
      </c>
      <c r="F12" s="7">
        <f>+F7+F11</f>
        <v>258.5</v>
      </c>
      <c r="G12" s="7">
        <f>+G7+G11</f>
        <v>247.9</v>
      </c>
      <c r="H12" s="7">
        <f>+H7+H11</f>
        <v>236.6</v>
      </c>
      <c r="I12" s="7">
        <f>+I7+I11</f>
        <v>288.90000000000003</v>
      </c>
      <c r="J12" s="7">
        <f t="shared" ref="J12" si="12">+J7+J11</f>
        <v>296</v>
      </c>
      <c r="K12" s="7">
        <f>+K7+K11</f>
        <v>312</v>
      </c>
      <c r="L12" s="7">
        <f>+L7+L11</f>
        <v>310.60000000000002</v>
      </c>
      <c r="M12" s="7">
        <f>+M7+M11</f>
        <v>378.2</v>
      </c>
      <c r="N12" s="7">
        <f t="shared" ref="N12:AA12" si="13">+N7+N11</f>
        <v>387.90000000000003</v>
      </c>
      <c r="O12" s="7">
        <f t="shared" si="13"/>
        <v>412</v>
      </c>
      <c r="P12" s="7">
        <f t="shared" si="13"/>
        <v>420.40000000000003</v>
      </c>
      <c r="Q12" s="7">
        <f t="shared" si="13"/>
        <v>452.7</v>
      </c>
      <c r="R12" s="7">
        <f t="shared" si="13"/>
        <v>498.8</v>
      </c>
      <c r="S12" s="7">
        <f t="shared" si="13"/>
        <v>514.6</v>
      </c>
      <c r="T12" s="7">
        <f t="shared" si="13"/>
        <v>515.29999999999995</v>
      </c>
      <c r="U12" s="7">
        <f t="shared" si="13"/>
        <v>590.19999999999993</v>
      </c>
      <c r="V12" s="7">
        <f t="shared" si="13"/>
        <v>622.1</v>
      </c>
      <c r="W12" s="7">
        <f t="shared" si="13"/>
        <v>627.70000000000005</v>
      </c>
      <c r="X12" s="7">
        <f t="shared" si="13"/>
        <v>0</v>
      </c>
      <c r="Y12" s="7">
        <f t="shared" si="13"/>
        <v>0</v>
      </c>
      <c r="Z12" s="7">
        <f t="shared" si="13"/>
        <v>0</v>
      </c>
      <c r="AA12" s="7">
        <f t="shared" si="13"/>
        <v>0</v>
      </c>
      <c r="AE12" s="6">
        <f t="shared" ref="AE12:AJ12" si="14">+AE7+AE11</f>
        <v>0</v>
      </c>
      <c r="AF12" s="6">
        <f t="shared" si="14"/>
        <v>116.6</v>
      </c>
      <c r="AG12" s="6">
        <f t="shared" si="14"/>
        <v>451.20000000000005</v>
      </c>
      <c r="AH12" s="6">
        <f t="shared" si="14"/>
        <v>788.1</v>
      </c>
      <c r="AI12" s="6">
        <f t="shared" si="14"/>
        <v>1045.9000000000001</v>
      </c>
      <c r="AJ12" s="6">
        <f t="shared" si="14"/>
        <v>1133.5000000000002</v>
      </c>
      <c r="AK12" s="6">
        <f>+AK11+AK10+AK9+AK4</f>
        <v>1468.7</v>
      </c>
      <c r="AL12" s="6">
        <f>+AL11+AL10+AL9+AL4</f>
        <v>1887.1</v>
      </c>
      <c r="AM12" s="6">
        <f>+AM11+AM10+AM9+AM4</f>
        <v>2355.3000000000002</v>
      </c>
      <c r="AN12" s="6">
        <f>+AN7+AN11</f>
        <v>2497.1750000000002</v>
      </c>
      <c r="AO12" s="6">
        <f t="shared" ref="AO12" si="15">+AO7+AO11</f>
        <v>2570.6337500000004</v>
      </c>
      <c r="AP12" s="6">
        <f t="shared" ref="AP12" si="16">+AP7+AP11</f>
        <v>2708.1654375000007</v>
      </c>
      <c r="AQ12" s="6">
        <f t="shared" ref="AQ12" si="17">+AQ7+AQ11</f>
        <v>2893.6737093750007</v>
      </c>
      <c r="AR12" s="6">
        <f t="shared" ref="AR12" si="18">+AR7+AR11</f>
        <v>3079.477394843751</v>
      </c>
      <c r="AS12" s="6">
        <f t="shared" ref="AS12" si="19">+AS7+AS11</f>
        <v>3288.9112645859382</v>
      </c>
      <c r="AT12" s="6">
        <f t="shared" ref="AT12" si="20">+AT7+AT11</f>
        <v>3497.3268278152354</v>
      </c>
    </row>
    <row r="13" spans="1:55" s="3" customFormat="1" x14ac:dyDescent="0.25">
      <c r="B13" s="3" t="s">
        <v>38</v>
      </c>
      <c r="C13" s="5">
        <v>2.5</v>
      </c>
      <c r="D13" s="5">
        <v>2.1</v>
      </c>
      <c r="E13" s="5">
        <v>2.4</v>
      </c>
      <c r="F13" s="5">
        <v>2.9</v>
      </c>
      <c r="G13" s="5">
        <v>2.9</v>
      </c>
      <c r="H13" s="5">
        <v>2.9</v>
      </c>
      <c r="I13" s="5">
        <v>3.1</v>
      </c>
      <c r="J13" s="5">
        <v>4.2</v>
      </c>
      <c r="K13" s="5">
        <v>4.0999999999999996</v>
      </c>
      <c r="L13" s="5">
        <v>4.5999999999999996</v>
      </c>
      <c r="M13" s="5">
        <v>4.8</v>
      </c>
      <c r="N13" s="5">
        <v>6.1</v>
      </c>
      <c r="O13" s="5">
        <v>7.7</v>
      </c>
      <c r="P13" s="5">
        <v>8.5</v>
      </c>
      <c r="Q13" s="5">
        <v>11.5</v>
      </c>
      <c r="R13" s="5">
        <v>11.2</v>
      </c>
      <c r="S13" s="5">
        <v>7.7</v>
      </c>
      <c r="T13" s="5">
        <v>7.5</v>
      </c>
      <c r="U13" s="5">
        <v>9.1999999999999993</v>
      </c>
      <c r="V13" s="5">
        <v>8</v>
      </c>
      <c r="W13" s="5">
        <v>8.4</v>
      </c>
      <c r="X13" s="5"/>
      <c r="Y13" s="5"/>
      <c r="Z13" s="5"/>
      <c r="AA13" s="5"/>
      <c r="AG13" s="3">
        <v>4.9000000000000004</v>
      </c>
      <c r="AH13" s="3">
        <v>7.4</v>
      </c>
      <c r="AI13" s="3">
        <v>10.1</v>
      </c>
      <c r="AJ13" s="3">
        <v>14.3</v>
      </c>
      <c r="AK13" s="3">
        <f t="shared" ref="AK13" si="21">SUM(L13:O13)</f>
        <v>23.2</v>
      </c>
      <c r="AL13" s="3">
        <f t="shared" ref="AL13" si="22">SUM(P13:S13)</f>
        <v>38.9</v>
      </c>
      <c r="AM13" s="3">
        <f t="shared" ref="AM13" si="23">SUM(T13:W13)</f>
        <v>33.1</v>
      </c>
      <c r="AN13" s="3">
        <f t="shared" ref="AN13:AO13" si="24">+AN12*0.01</f>
        <v>24.971750000000004</v>
      </c>
      <c r="AO13" s="3">
        <f t="shared" si="24"/>
        <v>25.706337500000004</v>
      </c>
      <c r="AP13" s="3">
        <f t="shared" ref="AP13" si="25">+AP12*0.01</f>
        <v>27.081654375000006</v>
      </c>
      <c r="AQ13" s="3">
        <f t="shared" ref="AQ13" si="26">+AQ12*0.01</f>
        <v>28.936737093750008</v>
      </c>
      <c r="AR13" s="3">
        <f t="shared" ref="AR13" si="27">+AR12*0.01</f>
        <v>30.794773948437509</v>
      </c>
      <c r="AS13" s="3">
        <f t="shared" ref="AS13" si="28">+AS12*0.01</f>
        <v>32.889112645859385</v>
      </c>
      <c r="AT13" s="3">
        <f t="shared" ref="AT13" si="29">+AT12*0.01</f>
        <v>34.973268278152354</v>
      </c>
    </row>
    <row r="14" spans="1:55" s="3" customFormat="1" x14ac:dyDescent="0.25">
      <c r="B14" s="3" t="s">
        <v>39</v>
      </c>
      <c r="C14" s="5">
        <f t="shared" ref="C14" si="30">+C12-C13</f>
        <v>241.6</v>
      </c>
      <c r="D14" s="5">
        <f t="shared" ref="D14" si="31">+D12-D13</f>
        <v>235</v>
      </c>
      <c r="E14" s="5">
        <f t="shared" ref="E14" si="32">+E12-E13</f>
        <v>300.00000000000006</v>
      </c>
      <c r="F14" s="5">
        <f>+F12-F13</f>
        <v>255.6</v>
      </c>
      <c r="G14" s="5">
        <f>+G12-G13</f>
        <v>245</v>
      </c>
      <c r="H14" s="5">
        <f>+H12-H13</f>
        <v>233.7</v>
      </c>
      <c r="I14" s="5">
        <f>+I12-I13</f>
        <v>285.8</v>
      </c>
      <c r="J14" s="5">
        <f t="shared" ref="J14" si="33">+J12-J13</f>
        <v>291.8</v>
      </c>
      <c r="K14" s="5">
        <f t="shared" ref="K14:W14" si="34">+K12-K13</f>
        <v>307.89999999999998</v>
      </c>
      <c r="L14" s="5">
        <f t="shared" si="34"/>
        <v>306</v>
      </c>
      <c r="M14" s="5">
        <f t="shared" si="34"/>
        <v>373.4</v>
      </c>
      <c r="N14" s="5">
        <f t="shared" si="34"/>
        <v>381.8</v>
      </c>
      <c r="O14" s="5">
        <f t="shared" si="34"/>
        <v>404.3</v>
      </c>
      <c r="P14" s="5">
        <f t="shared" si="34"/>
        <v>411.90000000000003</v>
      </c>
      <c r="Q14" s="5">
        <f t="shared" si="34"/>
        <v>441.2</v>
      </c>
      <c r="R14" s="5">
        <f t="shared" si="34"/>
        <v>487.6</v>
      </c>
      <c r="S14" s="5">
        <f t="shared" si="34"/>
        <v>506.90000000000003</v>
      </c>
      <c r="T14" s="5">
        <f t="shared" si="34"/>
        <v>507.79999999999995</v>
      </c>
      <c r="U14" s="5">
        <f t="shared" si="34"/>
        <v>580.99999999999989</v>
      </c>
      <c r="V14" s="5">
        <f t="shared" si="34"/>
        <v>614.1</v>
      </c>
      <c r="W14" s="5">
        <f t="shared" si="34"/>
        <v>619.30000000000007</v>
      </c>
      <c r="X14" s="5"/>
      <c r="Y14" s="5"/>
      <c r="Z14" s="5"/>
      <c r="AA14" s="5"/>
      <c r="AE14" s="3">
        <f t="shared" ref="AE14:AG14" si="35">+AE12-AE13</f>
        <v>0</v>
      </c>
      <c r="AF14" s="3">
        <f t="shared" si="35"/>
        <v>116.6</v>
      </c>
      <c r="AG14" s="3">
        <f t="shared" si="35"/>
        <v>446.30000000000007</v>
      </c>
      <c r="AH14" s="3">
        <f>+AH12-AH13</f>
        <v>780.7</v>
      </c>
      <c r="AI14" s="3">
        <f>+AI12-AI13</f>
        <v>1035.8000000000002</v>
      </c>
      <c r="AJ14" s="3">
        <f>+AJ12-AJ13</f>
        <v>1119.2000000000003</v>
      </c>
      <c r="AK14" s="3">
        <f>+AK12-AK13</f>
        <v>1445.5</v>
      </c>
      <c r="AL14" s="3">
        <f t="shared" ref="AL14:AO14" si="36">+AL12-AL13</f>
        <v>1848.1999999999998</v>
      </c>
      <c r="AM14" s="3">
        <f t="shared" si="36"/>
        <v>2322.2000000000003</v>
      </c>
      <c r="AN14" s="3">
        <f t="shared" si="36"/>
        <v>2472.20325</v>
      </c>
      <c r="AO14" s="3">
        <f t="shared" si="36"/>
        <v>2544.9274125000006</v>
      </c>
      <c r="AP14" s="3">
        <f t="shared" ref="AP14" si="37">+AP12-AP13</f>
        <v>2681.0837831250005</v>
      </c>
      <c r="AQ14" s="3">
        <f t="shared" ref="AQ14" si="38">+AQ12-AQ13</f>
        <v>2864.7369722812509</v>
      </c>
      <c r="AR14" s="3">
        <f t="shared" ref="AR14" si="39">+AR12-AR13</f>
        <v>3048.6826208953134</v>
      </c>
      <c r="AS14" s="3">
        <f t="shared" ref="AS14" si="40">+AS12-AS13</f>
        <v>3256.0221519400789</v>
      </c>
      <c r="AT14" s="3">
        <f t="shared" ref="AT14" si="41">+AT12-AT13</f>
        <v>3462.3535595370831</v>
      </c>
    </row>
    <row r="15" spans="1:55" s="3" customFormat="1" x14ac:dyDescent="0.25">
      <c r="B15" s="3" t="s">
        <v>42</v>
      </c>
      <c r="C15" s="5">
        <v>55.3</v>
      </c>
      <c r="D15" s="5">
        <v>58.3</v>
      </c>
      <c r="E15" s="5">
        <v>80.900000000000006</v>
      </c>
      <c r="F15" s="5">
        <v>69.099999999999994</v>
      </c>
      <c r="G15" s="5">
        <v>66.7</v>
      </c>
      <c r="H15" s="5">
        <v>73.2</v>
      </c>
      <c r="I15" s="5">
        <v>74.8</v>
      </c>
      <c r="J15" s="5">
        <v>92.7</v>
      </c>
      <c r="K15" s="5">
        <v>87.4</v>
      </c>
      <c r="L15" s="5">
        <v>102.2</v>
      </c>
      <c r="M15" s="5">
        <v>135.9</v>
      </c>
      <c r="N15" s="5">
        <v>107.7</v>
      </c>
      <c r="O15" s="5">
        <v>118</v>
      </c>
      <c r="P15" s="5">
        <v>139.5</v>
      </c>
      <c r="Q15" s="5">
        <v>145.80000000000001</v>
      </c>
      <c r="R15" s="5">
        <v>142.19999999999999</v>
      </c>
      <c r="S15" s="5">
        <v>124.3</v>
      </c>
      <c r="T15" s="5">
        <v>159.4</v>
      </c>
      <c r="U15" s="5">
        <v>191.1</v>
      </c>
      <c r="V15" s="5">
        <v>195</v>
      </c>
      <c r="W15" s="5">
        <v>164.4</v>
      </c>
      <c r="X15" s="5"/>
      <c r="Y15" s="5"/>
      <c r="Z15" s="5"/>
      <c r="AA15" s="5"/>
      <c r="AG15" s="3">
        <v>155.80000000000001</v>
      </c>
      <c r="AH15" s="3">
        <v>200</v>
      </c>
      <c r="AI15" s="3">
        <v>275</v>
      </c>
      <c r="AJ15" s="3">
        <v>328.1</v>
      </c>
      <c r="AK15" s="3">
        <f t="shared" ref="AK15:AK16" si="42">SUM(L15:O15)</f>
        <v>463.8</v>
      </c>
      <c r="AL15" s="3">
        <f t="shared" ref="AL15:AL16" si="43">SUM(P15:S15)</f>
        <v>551.79999999999995</v>
      </c>
      <c r="AM15" s="3">
        <f t="shared" ref="AM15:AM16" si="44">SUM(T15:W15)</f>
        <v>709.9</v>
      </c>
    </row>
    <row r="16" spans="1:55" s="3" customFormat="1" x14ac:dyDescent="0.25">
      <c r="B16" s="3" t="s">
        <v>43</v>
      </c>
      <c r="C16" s="5">
        <v>101.3</v>
      </c>
      <c r="D16" s="5">
        <v>117.8</v>
      </c>
      <c r="E16" s="5">
        <v>96.5</v>
      </c>
      <c r="F16" s="5">
        <v>112.5</v>
      </c>
      <c r="G16" s="5">
        <v>106.5</v>
      </c>
      <c r="H16" s="5">
        <v>129</v>
      </c>
      <c r="I16" s="5">
        <v>143.19999999999999</v>
      </c>
      <c r="J16" s="5">
        <v>154.6</v>
      </c>
      <c r="K16" s="5">
        <v>156.5</v>
      </c>
      <c r="L16" s="5">
        <v>200.7</v>
      </c>
      <c r="M16" s="5">
        <v>182.8</v>
      </c>
      <c r="N16" s="5">
        <v>186.3</v>
      </c>
      <c r="O16" s="5">
        <v>182.9</v>
      </c>
      <c r="P16" s="5">
        <v>143.9</v>
      </c>
      <c r="Q16" s="5">
        <v>221.8</v>
      </c>
      <c r="R16" s="5">
        <v>204.2</v>
      </c>
      <c r="S16" s="5">
        <v>194</v>
      </c>
      <c r="T16" s="5">
        <v>243.1</v>
      </c>
      <c r="U16" s="5">
        <v>242</v>
      </c>
      <c r="V16" s="5">
        <v>234.3</v>
      </c>
      <c r="W16" s="5">
        <v>241.6</v>
      </c>
      <c r="X16" s="5"/>
      <c r="Y16" s="5"/>
      <c r="Z16" s="5"/>
      <c r="AA16" s="5"/>
      <c r="AG16" s="3">
        <v>248.9</v>
      </c>
      <c r="AH16" s="3">
        <v>354.1</v>
      </c>
      <c r="AI16" s="3">
        <v>433.3</v>
      </c>
      <c r="AJ16" s="3">
        <v>583.29999999999995</v>
      </c>
      <c r="AK16" s="3">
        <f t="shared" si="42"/>
        <v>752.69999999999993</v>
      </c>
      <c r="AL16" s="3">
        <f t="shared" si="43"/>
        <v>763.90000000000009</v>
      </c>
      <c r="AM16" s="3">
        <f t="shared" si="44"/>
        <v>961.00000000000011</v>
      </c>
      <c r="AN16" s="3">
        <f t="shared" ref="AN16:AT16" si="45">+AN12*0.3</f>
        <v>749.15250000000003</v>
      </c>
      <c r="AO16" s="3">
        <f t="shared" si="45"/>
        <v>771.19012500000008</v>
      </c>
      <c r="AP16" s="3">
        <f t="shared" si="45"/>
        <v>812.44963125000015</v>
      </c>
      <c r="AQ16" s="3">
        <f t="shared" si="45"/>
        <v>868.1021128125002</v>
      </c>
      <c r="AR16" s="3">
        <f t="shared" si="45"/>
        <v>923.84321845312525</v>
      </c>
      <c r="AS16" s="3">
        <f t="shared" si="45"/>
        <v>986.67337937578145</v>
      </c>
      <c r="AT16" s="3">
        <f t="shared" si="45"/>
        <v>1049.1980483445707</v>
      </c>
    </row>
    <row r="17" spans="2:50" s="3" customFormat="1" x14ac:dyDescent="0.25">
      <c r="B17" s="3" t="s">
        <v>40</v>
      </c>
      <c r="C17" s="5">
        <f t="shared" ref="C17" si="46">+C15+C16</f>
        <v>156.6</v>
      </c>
      <c r="D17" s="5">
        <f t="shared" ref="D17" si="47">+D15+D16</f>
        <v>176.1</v>
      </c>
      <c r="E17" s="5">
        <f t="shared" ref="E17" si="48">+E15+E16</f>
        <v>177.4</v>
      </c>
      <c r="F17" s="5">
        <f>+F15+F16</f>
        <v>181.6</v>
      </c>
      <c r="G17" s="5">
        <f>+G15+G16</f>
        <v>173.2</v>
      </c>
      <c r="H17" s="5">
        <f>+H15+H16</f>
        <v>202.2</v>
      </c>
      <c r="I17" s="5">
        <f>+I15+I16</f>
        <v>218</v>
      </c>
      <c r="J17" s="5">
        <f t="shared" ref="J17" si="49">+J15+J16</f>
        <v>247.3</v>
      </c>
      <c r="K17" s="5">
        <f>+K15+K16</f>
        <v>243.9</v>
      </c>
      <c r="L17" s="5">
        <f>+L15+L16</f>
        <v>302.89999999999998</v>
      </c>
      <c r="M17" s="5">
        <f>+M15+M16</f>
        <v>318.70000000000005</v>
      </c>
      <c r="N17" s="5">
        <f>+N15+N16</f>
        <v>294</v>
      </c>
      <c r="O17" s="5">
        <f t="shared" ref="O17:P17" si="50">+O15+O16</f>
        <v>300.89999999999998</v>
      </c>
      <c r="P17" s="5">
        <f t="shared" si="50"/>
        <v>283.39999999999998</v>
      </c>
      <c r="Q17" s="5">
        <f>+Q15+Q16</f>
        <v>367.6</v>
      </c>
      <c r="R17" s="5">
        <f t="shared" ref="R17:W17" si="51">+R15+R16</f>
        <v>346.4</v>
      </c>
      <c r="S17" s="5">
        <f t="shared" si="51"/>
        <v>318.3</v>
      </c>
      <c r="T17" s="5">
        <f t="shared" si="51"/>
        <v>402.5</v>
      </c>
      <c r="U17" s="5">
        <f t="shared" si="51"/>
        <v>433.1</v>
      </c>
      <c r="V17" s="5">
        <f t="shared" si="51"/>
        <v>429.3</v>
      </c>
      <c r="W17" s="5">
        <f t="shared" si="51"/>
        <v>406</v>
      </c>
      <c r="X17" s="5"/>
      <c r="Y17" s="5"/>
      <c r="Z17" s="5"/>
      <c r="AA17" s="5"/>
      <c r="AE17" s="3">
        <f t="shared" ref="AE17:AG17" si="52">+AE15+AE16</f>
        <v>0</v>
      </c>
      <c r="AF17" s="3">
        <f t="shared" si="52"/>
        <v>0</v>
      </c>
      <c r="AG17" s="3">
        <f t="shared" si="52"/>
        <v>404.70000000000005</v>
      </c>
      <c r="AH17" s="3">
        <f>+AH15+AH16</f>
        <v>554.1</v>
      </c>
      <c r="AI17" s="3">
        <f>+AI15+AI16</f>
        <v>708.3</v>
      </c>
      <c r="AJ17" s="3">
        <f>+AJ15+AJ16</f>
        <v>911.4</v>
      </c>
      <c r="AK17" s="3">
        <f>+AK15+AK16</f>
        <v>1216.5</v>
      </c>
      <c r="AL17" s="3">
        <f t="shared" ref="AL17:AO17" si="53">+AL15+AL16</f>
        <v>1315.7</v>
      </c>
      <c r="AM17" s="3">
        <f t="shared" si="53"/>
        <v>1670.9</v>
      </c>
      <c r="AN17" s="3">
        <f t="shared" si="53"/>
        <v>749.15250000000003</v>
      </c>
      <c r="AO17" s="3">
        <f t="shared" si="53"/>
        <v>771.19012500000008</v>
      </c>
      <c r="AP17" s="3">
        <f t="shared" ref="AP17" si="54">+AP15+AP16</f>
        <v>812.44963125000015</v>
      </c>
      <c r="AQ17" s="3">
        <f t="shared" ref="AQ17" si="55">+AQ15+AQ16</f>
        <v>868.1021128125002</v>
      </c>
      <c r="AR17" s="3">
        <f t="shared" ref="AR17" si="56">+AR15+AR16</f>
        <v>923.84321845312525</v>
      </c>
      <c r="AS17" s="3">
        <f t="shared" ref="AS17" si="57">+AS15+AS16</f>
        <v>986.67337937578145</v>
      </c>
      <c r="AT17" s="3">
        <f t="shared" ref="AT17" si="58">+AT15+AT16</f>
        <v>1049.1980483445707</v>
      </c>
    </row>
    <row r="18" spans="2:50" s="3" customFormat="1" x14ac:dyDescent="0.25">
      <c r="B18" s="3" t="s">
        <v>41</v>
      </c>
      <c r="C18" s="5">
        <f t="shared" ref="C18" si="59">+C14-C17</f>
        <v>85</v>
      </c>
      <c r="D18" s="5">
        <f t="shared" ref="D18" si="60">+D14-D17</f>
        <v>58.900000000000006</v>
      </c>
      <c r="E18" s="5">
        <f t="shared" ref="E18" si="61">+E14-E17</f>
        <v>122.60000000000005</v>
      </c>
      <c r="F18" s="5">
        <f>+F14-F17</f>
        <v>74</v>
      </c>
      <c r="G18" s="5">
        <f>+G14-G17</f>
        <v>71.800000000000011</v>
      </c>
      <c r="H18" s="5">
        <f>+H14-H17</f>
        <v>31.5</v>
      </c>
      <c r="I18" s="5">
        <f>+I14-I17</f>
        <v>67.800000000000011</v>
      </c>
      <c r="J18" s="5">
        <f t="shared" ref="J18" si="62">+J14-J17</f>
        <v>44.5</v>
      </c>
      <c r="K18" s="5">
        <f>+K14-K17</f>
        <v>63.999999999999972</v>
      </c>
      <c r="L18" s="5">
        <f>+L14-L17</f>
        <v>3.1000000000000227</v>
      </c>
      <c r="M18" s="5">
        <f>+M14-M17</f>
        <v>54.699999999999932</v>
      </c>
      <c r="N18" s="5">
        <f>+N14-N17</f>
        <v>87.800000000000011</v>
      </c>
      <c r="O18" s="5">
        <f t="shared" ref="O18:P18" si="63">+O14-O17</f>
        <v>103.40000000000003</v>
      </c>
      <c r="P18" s="5">
        <f t="shared" si="63"/>
        <v>128.50000000000006</v>
      </c>
      <c r="Q18" s="5">
        <f>+Q14-Q17</f>
        <v>73.599999999999966</v>
      </c>
      <c r="R18" s="5">
        <f t="shared" ref="R18:W18" si="64">+R14-R17</f>
        <v>141.20000000000005</v>
      </c>
      <c r="S18" s="5">
        <f t="shared" si="64"/>
        <v>188.60000000000002</v>
      </c>
      <c r="T18" s="5">
        <f t="shared" si="64"/>
        <v>105.29999999999995</v>
      </c>
      <c r="U18" s="5">
        <f t="shared" si="64"/>
        <v>147.89999999999986</v>
      </c>
      <c r="V18" s="5">
        <f t="shared" si="64"/>
        <v>184.8</v>
      </c>
      <c r="W18" s="5">
        <f t="shared" si="64"/>
        <v>213.30000000000007</v>
      </c>
      <c r="X18" s="5"/>
      <c r="Y18" s="5"/>
      <c r="Z18" s="5"/>
      <c r="AA18" s="5"/>
      <c r="AE18" s="3">
        <f t="shared" ref="AE18:AG18" si="65">+AE14-AE17</f>
        <v>0</v>
      </c>
      <c r="AF18" s="3">
        <f t="shared" si="65"/>
        <v>116.6</v>
      </c>
      <c r="AG18" s="3">
        <f t="shared" si="65"/>
        <v>41.600000000000023</v>
      </c>
      <c r="AH18" s="3">
        <f>+AH14-AH17</f>
        <v>226.60000000000002</v>
      </c>
      <c r="AI18" s="3">
        <f>+AI14-AI17</f>
        <v>327.50000000000023</v>
      </c>
      <c r="AJ18" s="3">
        <f>+AJ14-AJ17</f>
        <v>207.8000000000003</v>
      </c>
      <c r="AK18" s="3">
        <f>+AK14-AK17</f>
        <v>229</v>
      </c>
      <c r="AL18" s="3">
        <f t="shared" ref="AL18:AO18" si="66">+AL14-AL17</f>
        <v>532.49999999999977</v>
      </c>
      <c r="AM18" s="3">
        <f t="shared" si="66"/>
        <v>651.30000000000018</v>
      </c>
      <c r="AN18" s="3">
        <f t="shared" si="66"/>
        <v>1723.0507499999999</v>
      </c>
      <c r="AO18" s="3">
        <f t="shared" si="66"/>
        <v>1773.7372875000005</v>
      </c>
      <c r="AP18" s="3">
        <f t="shared" ref="AP18" si="67">+AP14-AP17</f>
        <v>1868.6341518750005</v>
      </c>
      <c r="AQ18" s="3">
        <f t="shared" ref="AQ18" si="68">+AQ14-AQ17</f>
        <v>1996.6348594687506</v>
      </c>
      <c r="AR18" s="3">
        <f t="shared" ref="AR18" si="69">+AR14-AR17</f>
        <v>2124.8394024421882</v>
      </c>
      <c r="AS18" s="3">
        <f t="shared" ref="AS18" si="70">+AS14-AS17</f>
        <v>2269.3487725642972</v>
      </c>
      <c r="AT18" s="3">
        <f t="shared" ref="AT18" si="71">+AT14-AT17</f>
        <v>2413.1555111925127</v>
      </c>
    </row>
    <row r="19" spans="2:50" s="3" customFormat="1" x14ac:dyDescent="0.25">
      <c r="B19" s="3" t="s">
        <v>44</v>
      </c>
      <c r="C19" s="5">
        <v>-8.1999999999999993</v>
      </c>
      <c r="D19" s="5">
        <v>-8.1999999999999993</v>
      </c>
      <c r="E19" s="5">
        <v>-8.3000000000000007</v>
      </c>
      <c r="F19" s="5">
        <v>-8.5</v>
      </c>
      <c r="G19" s="5">
        <v>-7.8</v>
      </c>
      <c r="H19" s="5">
        <v>-6.4</v>
      </c>
      <c r="I19" s="5">
        <v>-6.2</v>
      </c>
      <c r="J19" s="5">
        <v>-6.6</v>
      </c>
      <c r="K19" s="5">
        <v>-6.6</v>
      </c>
      <c r="L19" s="5">
        <v>-2.6</v>
      </c>
      <c r="M19" s="5">
        <v>-2.2000000000000002</v>
      </c>
      <c r="N19" s="5">
        <v>-1.2</v>
      </c>
      <c r="O19" s="5">
        <f>-1.1+8.4</f>
        <v>7.3000000000000007</v>
      </c>
      <c r="P19" s="5">
        <f>-1.1+9.8</f>
        <v>8.7000000000000011</v>
      </c>
      <c r="Q19" s="5">
        <v>10.7</v>
      </c>
      <c r="R19" s="5">
        <f>-1.1+15.6</f>
        <v>14.5</v>
      </c>
      <c r="S19" s="5">
        <f>-1.1+20</f>
        <v>18.899999999999999</v>
      </c>
      <c r="T19" s="5">
        <f>23.4-1.1</f>
        <v>22.299999999999997</v>
      </c>
      <c r="U19" s="5">
        <v>22.8</v>
      </c>
      <c r="V19" s="5">
        <v>23.4</v>
      </c>
      <c r="W19" s="5">
        <f>91-V19-U19-T19</f>
        <v>22.5</v>
      </c>
      <c r="X19" s="5"/>
      <c r="Y19" s="5"/>
      <c r="Z19" s="5"/>
      <c r="AA19" s="5"/>
      <c r="AG19" s="3">
        <f>-30.5+15.5</f>
        <v>-15</v>
      </c>
      <c r="AH19" s="3">
        <v>-32</v>
      </c>
      <c r="AI19" s="3">
        <f>-32.8+12.6</f>
        <v>-20.199999999999996</v>
      </c>
      <c r="AJ19" s="3">
        <f>3.8-25.8</f>
        <v>-22</v>
      </c>
      <c r="AK19" s="3">
        <f t="shared" ref="AK19" si="72">SUM(L19:O19)</f>
        <v>1.2999999999999998</v>
      </c>
      <c r="AL19" s="3">
        <f t="shared" ref="AL19" si="73">SUM(P19:S19)</f>
        <v>52.8</v>
      </c>
      <c r="AM19" s="3">
        <f>SUM(T19:W19)</f>
        <v>91</v>
      </c>
      <c r="AN19" s="3">
        <f>+AM30*$AW$33</f>
        <v>58.211999999999996</v>
      </c>
      <c r="AO19" s="3">
        <f t="shared" ref="AO19:AT19" si="74">+AN30*$AW$33</f>
        <v>0</v>
      </c>
      <c r="AP19" s="3">
        <f t="shared" si="74"/>
        <v>0</v>
      </c>
      <c r="AQ19" s="3">
        <f t="shared" si="74"/>
        <v>0</v>
      </c>
      <c r="AR19" s="3">
        <f t="shared" si="74"/>
        <v>0</v>
      </c>
      <c r="AS19" s="3">
        <f t="shared" si="74"/>
        <v>0</v>
      </c>
      <c r="AT19" s="3">
        <f t="shared" si="74"/>
        <v>0</v>
      </c>
    </row>
    <row r="20" spans="2:50" s="3" customFormat="1" x14ac:dyDescent="0.25">
      <c r="B20" s="3" t="s">
        <v>45</v>
      </c>
      <c r="C20" s="5">
        <f t="shared" ref="C20" si="75">+C18+C19</f>
        <v>76.8</v>
      </c>
      <c r="D20" s="5">
        <f t="shared" ref="D20" si="76">+D18+D19</f>
        <v>50.7</v>
      </c>
      <c r="E20" s="5">
        <f t="shared" ref="E20" si="77">+E18+E19</f>
        <v>114.30000000000005</v>
      </c>
      <c r="F20" s="5">
        <f>+F18+F19</f>
        <v>65.5</v>
      </c>
      <c r="G20" s="5">
        <f>+G18+G19</f>
        <v>64.000000000000014</v>
      </c>
      <c r="H20" s="5">
        <f>+H18+H19</f>
        <v>25.1</v>
      </c>
      <c r="I20" s="5">
        <f>+I18+I19</f>
        <v>61.600000000000009</v>
      </c>
      <c r="J20" s="5">
        <f t="shared" ref="J20" si="78">+J18+J19</f>
        <v>37.9</v>
      </c>
      <c r="K20" s="5">
        <f>+K18+K19</f>
        <v>57.39999999999997</v>
      </c>
      <c r="L20" s="5">
        <f>+L18+L19</f>
        <v>0.50000000000002265</v>
      </c>
      <c r="M20" s="5">
        <f>+M18+M19</f>
        <v>52.499999999999929</v>
      </c>
      <c r="N20" s="5">
        <f t="shared" ref="N20:P20" si="79">+N18+N19</f>
        <v>86.600000000000009</v>
      </c>
      <c r="O20" s="5">
        <f t="shared" si="79"/>
        <v>110.70000000000003</v>
      </c>
      <c r="P20" s="5">
        <f t="shared" si="79"/>
        <v>137.20000000000005</v>
      </c>
      <c r="Q20" s="5">
        <f t="shared" ref="Q20:W20" si="80">+Q18+Q19</f>
        <v>84.299999999999969</v>
      </c>
      <c r="R20" s="5">
        <f t="shared" si="80"/>
        <v>155.70000000000005</v>
      </c>
      <c r="S20" s="5">
        <f t="shared" si="80"/>
        <v>207.50000000000003</v>
      </c>
      <c r="T20" s="5">
        <f t="shared" si="80"/>
        <v>127.59999999999995</v>
      </c>
      <c r="U20" s="5">
        <f t="shared" si="80"/>
        <v>170.69999999999987</v>
      </c>
      <c r="V20" s="5">
        <f t="shared" si="80"/>
        <v>208.20000000000002</v>
      </c>
      <c r="W20" s="5">
        <f t="shared" si="80"/>
        <v>235.80000000000007</v>
      </c>
      <c r="X20" s="5"/>
      <c r="Y20" s="5"/>
      <c r="Z20" s="5"/>
      <c r="AA20" s="5"/>
      <c r="AE20" s="3">
        <f t="shared" ref="AE20:AG20" si="81">+AE18+AE19</f>
        <v>0</v>
      </c>
      <c r="AF20" s="3">
        <f t="shared" si="81"/>
        <v>116.6</v>
      </c>
      <c r="AG20" s="3">
        <f t="shared" si="81"/>
        <v>26.600000000000023</v>
      </c>
      <c r="AH20" s="3">
        <f>+AH18+AH19</f>
        <v>194.60000000000002</v>
      </c>
      <c r="AI20" s="3">
        <f>+AI18+AI19</f>
        <v>307.30000000000024</v>
      </c>
      <c r="AJ20" s="3">
        <f>+AJ18+AJ19</f>
        <v>185.8000000000003</v>
      </c>
      <c r="AK20" s="3">
        <f>+AK18+AK19</f>
        <v>230.3</v>
      </c>
      <c r="AL20" s="3">
        <f t="shared" ref="AL20:AT20" si="82">+AL18+AL19</f>
        <v>585.29999999999973</v>
      </c>
      <c r="AM20" s="3">
        <f t="shared" si="82"/>
        <v>742.30000000000018</v>
      </c>
      <c r="AN20" s="3">
        <f t="shared" si="82"/>
        <v>1781.2627499999999</v>
      </c>
      <c r="AO20" s="3">
        <f t="shared" si="82"/>
        <v>1773.7372875000005</v>
      </c>
      <c r="AP20" s="3">
        <f t="shared" si="82"/>
        <v>1868.6341518750005</v>
      </c>
      <c r="AQ20" s="3">
        <f t="shared" si="82"/>
        <v>1996.6348594687506</v>
      </c>
      <c r="AR20" s="3">
        <f t="shared" si="82"/>
        <v>2124.8394024421882</v>
      </c>
      <c r="AS20" s="3">
        <f t="shared" si="82"/>
        <v>2269.3487725642972</v>
      </c>
      <c r="AT20" s="3">
        <f t="shared" si="82"/>
        <v>2413.1555111925127</v>
      </c>
    </row>
    <row r="21" spans="2:50" s="3" customFormat="1" x14ac:dyDescent="0.25">
      <c r="B21" s="3" t="s">
        <v>46</v>
      </c>
      <c r="C21" s="5">
        <v>4.5999999999999996</v>
      </c>
      <c r="D21" s="5">
        <v>1.5</v>
      </c>
      <c r="E21" s="5">
        <v>3.6</v>
      </c>
      <c r="F21" s="5">
        <v>0</v>
      </c>
      <c r="G21" s="5">
        <v>0</v>
      </c>
      <c r="H21" s="5">
        <v>0</v>
      </c>
      <c r="I21" s="5">
        <v>15.2</v>
      </c>
      <c r="J21" s="5">
        <v>0</v>
      </c>
      <c r="K21" s="5">
        <v>0</v>
      </c>
      <c r="L21" s="5">
        <v>7.5</v>
      </c>
      <c r="M21" s="5">
        <v>0</v>
      </c>
      <c r="N21" s="5">
        <v>29.4</v>
      </c>
      <c r="O21" s="5">
        <v>14.5</v>
      </c>
      <c r="P21" s="5">
        <v>-26.7</v>
      </c>
      <c r="Q21" s="5">
        <v>26.1</v>
      </c>
      <c r="R21" s="5">
        <v>32.5</v>
      </c>
      <c r="S21" s="5">
        <v>50.5</v>
      </c>
      <c r="T21" s="5">
        <v>-8.9</v>
      </c>
      <c r="U21" s="5">
        <v>33.6</v>
      </c>
      <c r="V21" s="5">
        <v>60.5</v>
      </c>
      <c r="W21" s="5">
        <f>144.7-V21-U21-T21</f>
        <v>59.499999999999986</v>
      </c>
      <c r="X21" s="5"/>
      <c r="Y21" s="5"/>
      <c r="Z21" s="5"/>
      <c r="AA21" s="5"/>
      <c r="AG21" s="3">
        <v>0.7</v>
      </c>
      <c r="AH21" s="3">
        <v>9.5</v>
      </c>
      <c r="AI21" s="3">
        <v>0</v>
      </c>
      <c r="AJ21" s="3">
        <v>11.8</v>
      </c>
      <c r="AK21" s="3">
        <f t="shared" ref="AK21" si="83">SUM(L21:O21)</f>
        <v>51.4</v>
      </c>
      <c r="AL21" s="3">
        <f t="shared" ref="AL21" si="84">SUM(P21:S21)</f>
        <v>82.4</v>
      </c>
      <c r="AM21" s="3">
        <f t="shared" ref="AM21" si="85">SUM(T21:W21)</f>
        <v>144.69999999999999</v>
      </c>
      <c r="AN21" s="3">
        <f t="shared" ref="AN21:AT21" si="86">+AN20*0.2</f>
        <v>356.25254999999999</v>
      </c>
      <c r="AO21" s="3">
        <f t="shared" si="86"/>
        <v>354.74745750000011</v>
      </c>
      <c r="AP21" s="3">
        <f t="shared" si="86"/>
        <v>373.72683037500013</v>
      </c>
      <c r="AQ21" s="3">
        <f t="shared" si="86"/>
        <v>399.32697189375017</v>
      </c>
      <c r="AR21" s="3">
        <f t="shared" si="86"/>
        <v>424.96788048843769</v>
      </c>
      <c r="AS21" s="3">
        <f t="shared" si="86"/>
        <v>453.86975451285946</v>
      </c>
      <c r="AT21" s="3">
        <f t="shared" si="86"/>
        <v>482.63110223850254</v>
      </c>
    </row>
    <row r="22" spans="2:50" x14ac:dyDescent="0.25">
      <c r="B22" s="3" t="s">
        <v>47</v>
      </c>
      <c r="C22" s="5">
        <f t="shared" ref="C22" si="87">+C20-C21</f>
        <v>72.2</v>
      </c>
      <c r="D22" s="5">
        <f t="shared" ref="D22" si="88">+D20-D21</f>
        <v>49.2</v>
      </c>
      <c r="E22" s="5">
        <f t="shared" ref="E22" si="89">+E20-E21</f>
        <v>110.70000000000006</v>
      </c>
      <c r="F22" s="5">
        <f>+F20-F21</f>
        <v>65.5</v>
      </c>
      <c r="G22" s="5">
        <f>+G20-G21</f>
        <v>64.000000000000014</v>
      </c>
      <c r="H22" s="5">
        <f>+H20-H21</f>
        <v>25.1</v>
      </c>
      <c r="I22" s="5">
        <f>+I20-I21</f>
        <v>46.400000000000006</v>
      </c>
      <c r="J22" s="5">
        <f t="shared" ref="J22" si="90">+J20-J21</f>
        <v>37.9</v>
      </c>
      <c r="K22" s="5">
        <f>+K20-K21</f>
        <v>57.39999999999997</v>
      </c>
      <c r="L22" s="5">
        <f>+L20-L21</f>
        <v>-6.9999999999999769</v>
      </c>
      <c r="M22" s="5">
        <f>+M20-M21</f>
        <v>52.499999999999929</v>
      </c>
      <c r="N22" s="5">
        <f t="shared" ref="N22:P22" si="91">+N20-N21</f>
        <v>57.20000000000001</v>
      </c>
      <c r="O22" s="5">
        <f t="shared" si="91"/>
        <v>96.200000000000031</v>
      </c>
      <c r="P22" s="5">
        <f t="shared" si="91"/>
        <v>163.90000000000003</v>
      </c>
      <c r="Q22" s="5">
        <f t="shared" ref="Q22:W22" si="92">+Q20-Q21</f>
        <v>58.199999999999967</v>
      </c>
      <c r="R22" s="5">
        <f t="shared" si="92"/>
        <v>123.20000000000005</v>
      </c>
      <c r="S22" s="5">
        <f t="shared" si="92"/>
        <v>157.00000000000003</v>
      </c>
      <c r="T22" s="5">
        <f t="shared" si="92"/>
        <v>136.49999999999994</v>
      </c>
      <c r="U22" s="5">
        <f t="shared" si="92"/>
        <v>137.09999999999988</v>
      </c>
      <c r="V22" s="5">
        <f t="shared" si="92"/>
        <v>147.70000000000002</v>
      </c>
      <c r="W22" s="5">
        <f t="shared" si="92"/>
        <v>176.30000000000007</v>
      </c>
      <c r="X22" s="5"/>
      <c r="Y22" s="5"/>
      <c r="Z22" s="5"/>
      <c r="AA22" s="5"/>
      <c r="AE22" s="3">
        <f t="shared" ref="AE22:AG22" si="93">+AE20-AE21</f>
        <v>0</v>
      </c>
      <c r="AF22" s="3">
        <f t="shared" si="93"/>
        <v>116.6</v>
      </c>
      <c r="AG22" s="3">
        <f t="shared" si="93"/>
        <v>25.900000000000023</v>
      </c>
      <c r="AH22" s="3">
        <f>+AH20-AH21</f>
        <v>185.10000000000002</v>
      </c>
      <c r="AI22" s="3">
        <f>+AI20-AI21</f>
        <v>307.30000000000024</v>
      </c>
      <c r="AJ22" s="3">
        <f>+AJ20-AJ21</f>
        <v>174.00000000000028</v>
      </c>
      <c r="AK22" s="3">
        <f>+AK20-AK21</f>
        <v>178.9</v>
      </c>
      <c r="AL22" s="3">
        <f t="shared" ref="AL22:AS22" si="94">+AL20-AL21</f>
        <v>502.89999999999975</v>
      </c>
      <c r="AM22" s="3">
        <f t="shared" si="94"/>
        <v>597.60000000000014</v>
      </c>
      <c r="AN22" s="3">
        <f>+AN20-AN21</f>
        <v>1425.0101999999999</v>
      </c>
      <c r="AO22" s="3">
        <f>+AO20-AO21</f>
        <v>1418.9898300000004</v>
      </c>
      <c r="AP22" s="3">
        <f t="shared" si="94"/>
        <v>1494.9073215000003</v>
      </c>
      <c r="AQ22" s="3">
        <f t="shared" si="94"/>
        <v>1597.3078875750004</v>
      </c>
      <c r="AR22" s="3">
        <f t="shared" si="94"/>
        <v>1699.8715219537505</v>
      </c>
      <c r="AS22" s="3">
        <f t="shared" si="94"/>
        <v>1815.4790180514378</v>
      </c>
      <c r="AT22" s="3">
        <f>+AT20-AT21</f>
        <v>1930.5244089540101</v>
      </c>
      <c r="AU22" s="3"/>
      <c r="AV22" s="3"/>
      <c r="AW22" s="3"/>
      <c r="AX22" s="3"/>
    </row>
    <row r="23" spans="2:50" x14ac:dyDescent="0.25">
      <c r="B23" s="3" t="s">
        <v>48</v>
      </c>
      <c r="C23" s="4">
        <f t="shared" ref="C23" si="95">+C22/C24</f>
        <v>0.74279835390946503</v>
      </c>
      <c r="D23" s="4">
        <f t="shared" ref="D23" si="96">+D22/D24</f>
        <v>0.5072164948453608</v>
      </c>
      <c r="E23" s="4">
        <f t="shared" ref="E23" si="97">+E22/E24</f>
        <v>1.1272912423625261</v>
      </c>
      <c r="F23" s="4">
        <f>+F22/F24</f>
        <v>0.70203644158628087</v>
      </c>
      <c r="G23" s="4">
        <f>+G22/G24</f>
        <v>0.65843621399176966</v>
      </c>
      <c r="H23" s="4">
        <f>+H22/H24</f>
        <v>0.25560081466395113</v>
      </c>
      <c r="I23" s="4">
        <f>+I22/I24</f>
        <v>0.47492323439099288</v>
      </c>
      <c r="J23" s="4">
        <f t="shared" ref="J23" si="98">+J22/J24</f>
        <v>0.38792221084953937</v>
      </c>
      <c r="K23" s="4">
        <f t="shared" ref="K23:W23" si="99">+K22/K24</f>
        <v>0.60484720758693322</v>
      </c>
      <c r="L23" s="4">
        <f t="shared" si="99"/>
        <v>-7.172131147540961E-2</v>
      </c>
      <c r="M23" s="4">
        <f t="shared" si="99"/>
        <v>0.54916317991631725</v>
      </c>
      <c r="N23" s="4">
        <f t="shared" si="99"/>
        <v>0.57777777777777783</v>
      </c>
      <c r="O23" s="4">
        <f t="shared" si="99"/>
        <v>0.95247524752475277</v>
      </c>
      <c r="P23" s="4">
        <f t="shared" si="99"/>
        <v>1.687950566426365</v>
      </c>
      <c r="Q23" s="4">
        <f t="shared" si="99"/>
        <v>0.58083832335329311</v>
      </c>
      <c r="R23" s="4">
        <f t="shared" si="99"/>
        <v>1.2185954500494565</v>
      </c>
      <c r="S23" s="4">
        <f t="shared" si="99"/>
        <v>1.5575396825396828</v>
      </c>
      <c r="T23" s="4">
        <f t="shared" si="99"/>
        <v>1.3175675675675671</v>
      </c>
      <c r="U23" s="4">
        <f t="shared" si="99"/>
        <v>1.3195380173243492</v>
      </c>
      <c r="V23" s="4">
        <f t="shared" si="99"/>
        <v>1.460929772502473</v>
      </c>
      <c r="W23" s="4">
        <f t="shared" si="99"/>
        <v>1.7000964320154297</v>
      </c>
      <c r="X23" s="4"/>
      <c r="Y23" s="4"/>
      <c r="Z23" s="4"/>
      <c r="AA23" s="4"/>
      <c r="AG23" s="1">
        <f t="shared" ref="AG23:AL23" si="100">+AG22/AG24</f>
        <v>0.27148846960167738</v>
      </c>
      <c r="AH23" s="1">
        <f t="shared" si="100"/>
        <v>1.9341692789968654</v>
      </c>
      <c r="AI23" s="1">
        <f t="shared" si="100"/>
        <v>3.1421267893660558</v>
      </c>
      <c r="AJ23" s="1">
        <f t="shared" si="100"/>
        <v>1.7773237997957128</v>
      </c>
      <c r="AK23" s="1">
        <f t="shared" si="100"/>
        <v>1.8199389623601221</v>
      </c>
      <c r="AL23" s="1">
        <f t="shared" si="100"/>
        <v>5.0390781563126232</v>
      </c>
      <c r="AM23" s="1">
        <f t="shared" ref="AM23:AT23" si="101">+AM22/AM24</f>
        <v>5.7977201067184101</v>
      </c>
      <c r="AN23" s="1">
        <f t="shared" si="101"/>
        <v>13.824983749696822</v>
      </c>
      <c r="AO23" s="1">
        <f t="shared" si="101"/>
        <v>13.766576085374732</v>
      </c>
      <c r="AP23" s="1">
        <f t="shared" si="101"/>
        <v>14.503102803783655</v>
      </c>
      <c r="AQ23" s="1">
        <f t="shared" si="101"/>
        <v>15.496559666019893</v>
      </c>
      <c r="AR23" s="1">
        <f t="shared" si="101"/>
        <v>16.491598563703619</v>
      </c>
      <c r="AS23" s="1">
        <f t="shared" si="101"/>
        <v>17.613184749468228</v>
      </c>
      <c r="AT23" s="1">
        <f t="shared" si="101"/>
        <v>18.729317574135436</v>
      </c>
      <c r="AU23" s="1"/>
      <c r="AV23" s="1"/>
      <c r="AW23" s="1"/>
      <c r="AX23" s="1"/>
    </row>
    <row r="24" spans="2:50" s="3" customFormat="1" x14ac:dyDescent="0.25">
      <c r="B24" s="3" t="s">
        <v>1</v>
      </c>
      <c r="C24" s="5">
        <v>97.2</v>
      </c>
      <c r="D24" s="5">
        <v>97</v>
      </c>
      <c r="E24" s="5">
        <v>98.2</v>
      </c>
      <c r="F24" s="5">
        <v>93.3</v>
      </c>
      <c r="G24" s="5">
        <v>97.2</v>
      </c>
      <c r="H24" s="5">
        <v>98.2</v>
      </c>
      <c r="I24" s="5">
        <v>97.7</v>
      </c>
      <c r="J24" s="5">
        <v>97.7</v>
      </c>
      <c r="K24" s="5">
        <v>94.9</v>
      </c>
      <c r="L24" s="5">
        <v>97.6</v>
      </c>
      <c r="M24" s="5">
        <v>95.6</v>
      </c>
      <c r="N24" s="5">
        <v>99</v>
      </c>
      <c r="O24" s="5">
        <v>101</v>
      </c>
      <c r="P24" s="5">
        <v>97.1</v>
      </c>
      <c r="Q24" s="5">
        <v>100.2</v>
      </c>
      <c r="R24" s="5">
        <v>101.1</v>
      </c>
      <c r="S24" s="5">
        <v>100.8</v>
      </c>
      <c r="T24" s="5">
        <v>103.6</v>
      </c>
      <c r="U24" s="5">
        <v>103.9</v>
      </c>
      <c r="V24" s="5">
        <v>101.1</v>
      </c>
      <c r="W24" s="5">
        <v>103.7</v>
      </c>
      <c r="X24" s="5"/>
      <c r="Y24" s="5"/>
      <c r="Z24" s="5"/>
      <c r="AA24" s="5"/>
      <c r="AE24" s="3">
        <v>86.7</v>
      </c>
      <c r="AF24" s="3">
        <v>88.1</v>
      </c>
      <c r="AG24" s="3">
        <v>95.4</v>
      </c>
      <c r="AH24" s="3">
        <v>95.7</v>
      </c>
      <c r="AI24" s="3">
        <v>97.8</v>
      </c>
      <c r="AJ24" s="3">
        <v>97.9</v>
      </c>
      <c r="AK24" s="3">
        <f>AVERAGE(L24:O24)</f>
        <v>98.3</v>
      </c>
      <c r="AL24" s="3">
        <f>AVERAGE(P24:S24)</f>
        <v>99.8</v>
      </c>
      <c r="AM24" s="3">
        <f>AVERAGE(T24:W24)</f>
        <v>103.075</v>
      </c>
      <c r="AN24" s="3">
        <f t="shared" ref="AN24:AT24" si="102">+AM24</f>
        <v>103.075</v>
      </c>
      <c r="AO24" s="3">
        <f t="shared" si="102"/>
        <v>103.075</v>
      </c>
      <c r="AP24" s="3">
        <f t="shared" si="102"/>
        <v>103.075</v>
      </c>
      <c r="AQ24" s="3">
        <f t="shared" si="102"/>
        <v>103.075</v>
      </c>
      <c r="AR24" s="3">
        <f t="shared" si="102"/>
        <v>103.075</v>
      </c>
      <c r="AS24" s="3">
        <f t="shared" si="102"/>
        <v>103.075</v>
      </c>
      <c r="AT24" s="3">
        <f t="shared" si="102"/>
        <v>103.075</v>
      </c>
    </row>
    <row r="26" spans="2:50" x14ac:dyDescent="0.25">
      <c r="B26" s="3" t="s">
        <v>71</v>
      </c>
      <c r="H26" s="15">
        <f t="shared" ref="H26:M26" si="103">+H7/D7-1</f>
        <v>-4.3271311120729461E-4</v>
      </c>
      <c r="I26" s="15">
        <f t="shared" si="103"/>
        <v>-2.989536621823663E-3</v>
      </c>
      <c r="J26" s="15">
        <f t="shared" si="103"/>
        <v>0.13656040928768198</v>
      </c>
      <c r="K26" s="15">
        <f t="shared" si="103"/>
        <v>0.25777041027766256</v>
      </c>
      <c r="L26" s="15">
        <f t="shared" si="103"/>
        <v>0.32034632034632038</v>
      </c>
      <c r="M26" s="15">
        <f t="shared" si="103"/>
        <v>0.31934032983508231</v>
      </c>
      <c r="N26" s="15">
        <f t="shared" ref="N26:S26" si="104">+N7/J7-1</f>
        <v>0.31336565096952906</v>
      </c>
      <c r="O26" s="15">
        <f t="shared" si="104"/>
        <v>0.33311367380560131</v>
      </c>
      <c r="P26" s="15">
        <f t="shared" si="104"/>
        <v>0.36163934426229516</v>
      </c>
      <c r="Q26" s="15">
        <f t="shared" si="104"/>
        <v>0.2678977272727272</v>
      </c>
      <c r="R26" s="15">
        <f t="shared" si="104"/>
        <v>0.2965989981544952</v>
      </c>
      <c r="S26" s="15">
        <f t="shared" si="104"/>
        <v>0.25358378645575863</v>
      </c>
      <c r="T26" s="15">
        <f t="shared" ref="T26:Z26" si="105">+T4/P4-1</f>
        <v>0.21927710843373505</v>
      </c>
      <c r="U26" s="15">
        <f t="shared" si="105"/>
        <v>0.31794405276324778</v>
      </c>
      <c r="V26" s="15">
        <f t="shared" si="105"/>
        <v>0.26131687242798352</v>
      </c>
      <c r="W26" s="15">
        <f t="shared" si="105"/>
        <v>0.22999999999999998</v>
      </c>
      <c r="X26" s="15">
        <f t="shared" si="105"/>
        <v>0.22529644268774707</v>
      </c>
      <c r="Y26" s="15">
        <f t="shared" si="105"/>
        <v>7.8515962036238118E-2</v>
      </c>
      <c r="Z26" s="15">
        <f t="shared" si="105"/>
        <v>2.7732463295269127E-2</v>
      </c>
      <c r="AA26" s="15">
        <f>+AA4/W4-1</f>
        <v>3.2520325203251987E-2</v>
      </c>
      <c r="AF26" s="16"/>
      <c r="AG26" s="16">
        <f t="shared" ref="AG26:AH26" si="106">+AG7/AF7-1</f>
        <v>2.5128644939965699</v>
      </c>
      <c r="AH26" s="16">
        <f t="shared" si="106"/>
        <v>0.83813476562499978</v>
      </c>
      <c r="AI26" s="16">
        <f>+AI7/AH7-1</f>
        <v>0.32036126975693979</v>
      </c>
      <c r="AJ26" s="16">
        <f>+AJ7/AI7-1</f>
        <v>9.6569761593401138E-2</v>
      </c>
      <c r="AK26" s="16">
        <f>+AK7/AJ7-1</f>
        <v>0.3218053389597284</v>
      </c>
      <c r="AL26" s="16">
        <f>+AL7/AK7-1</f>
        <v>0.29127628565479902</v>
      </c>
      <c r="AM26" s="16">
        <f t="shared" ref="AM26:AT26" si="107">+AM7/AL7-1</f>
        <v>0.25260668601526404</v>
      </c>
      <c r="AN26" s="16">
        <f t="shared" si="107"/>
        <v>4.6586715867158679E-2</v>
      </c>
      <c r="AO26" s="16">
        <f t="shared" si="107"/>
        <v>5.3894759498601008E-2</v>
      </c>
      <c r="AP26" s="16">
        <f t="shared" si="107"/>
        <v>5.3501082174775005E-2</v>
      </c>
      <c r="AQ26" s="16">
        <f t="shared" si="107"/>
        <v>5.3138656110996996E-2</v>
      </c>
      <c r="AR26" s="16">
        <f t="shared" si="107"/>
        <v>5.2804976594294617E-2</v>
      </c>
      <c r="AS26" s="16">
        <f t="shared" si="107"/>
        <v>5.2497770827088841E-2</v>
      </c>
      <c r="AT26" s="16">
        <f t="shared" si="107"/>
        <v>5.2214971695491386E-2</v>
      </c>
      <c r="AU26" s="16"/>
      <c r="AV26" s="16"/>
      <c r="AW26" s="16"/>
      <c r="AX26" s="16"/>
    </row>
    <row r="28" spans="2:50" x14ac:dyDescent="0.25">
      <c r="B28" s="3" t="s">
        <v>72</v>
      </c>
      <c r="C28" s="15">
        <f t="shared" ref="C28" si="108">C14/C12</f>
        <v>0.98975829578041785</v>
      </c>
      <c r="D28" s="15">
        <f t="shared" ref="D28" si="109">D14/D12</f>
        <v>0.99114297764656267</v>
      </c>
      <c r="E28" s="15">
        <f t="shared" ref="E28" si="110">E14/E12</f>
        <v>0.99206349206349209</v>
      </c>
      <c r="F28" s="15">
        <f t="shared" ref="F28:M28" si="111">F14/F12</f>
        <v>0.98878143133462282</v>
      </c>
      <c r="G28" s="15">
        <f t="shared" si="111"/>
        <v>0.98830173457039128</v>
      </c>
      <c r="H28" s="15">
        <f t="shared" si="111"/>
        <v>0.98774302620456467</v>
      </c>
      <c r="I28" s="15">
        <f t="shared" si="111"/>
        <v>0.98926964347525093</v>
      </c>
      <c r="J28" s="15">
        <f t="shared" si="111"/>
        <v>0.9858108108108109</v>
      </c>
      <c r="K28" s="15">
        <f t="shared" si="111"/>
        <v>0.98685897435897429</v>
      </c>
      <c r="L28" s="15">
        <f t="shared" si="111"/>
        <v>0.98518995492594974</v>
      </c>
      <c r="M28" s="15">
        <f t="shared" si="111"/>
        <v>0.98730830248545742</v>
      </c>
      <c r="N28" s="15">
        <f t="shared" ref="N28:W28" si="112">N14/N12</f>
        <v>0.98427429749935547</v>
      </c>
      <c r="O28" s="15">
        <f t="shared" si="112"/>
        <v>0.98131067961165053</v>
      </c>
      <c r="P28" s="15">
        <f t="shared" si="112"/>
        <v>0.97978116079923883</v>
      </c>
      <c r="Q28" s="15">
        <f t="shared" si="112"/>
        <v>0.97459686326485528</v>
      </c>
      <c r="R28" s="15">
        <f t="shared" si="112"/>
        <v>0.97754611066559749</v>
      </c>
      <c r="S28" s="15">
        <f t="shared" si="112"/>
        <v>0.98503692188107272</v>
      </c>
      <c r="T28" s="15">
        <f t="shared" si="112"/>
        <v>0.9854453716281778</v>
      </c>
      <c r="U28" s="15">
        <f t="shared" si="112"/>
        <v>0.98441206370721779</v>
      </c>
      <c r="V28" s="15">
        <f t="shared" si="112"/>
        <v>0.98714033113647326</v>
      </c>
      <c r="W28" s="15">
        <f t="shared" si="112"/>
        <v>0.98661781105623714</v>
      </c>
      <c r="X28" s="15"/>
      <c r="Y28" s="15"/>
      <c r="Z28" s="15"/>
      <c r="AA28" s="15"/>
      <c r="AF28" s="15">
        <f t="shared" ref="AF28:AI28" si="113">AF14/AF12</f>
        <v>1</v>
      </c>
      <c r="AG28" s="15">
        <f t="shared" si="113"/>
        <v>0.98914007092198586</v>
      </c>
      <c r="AH28" s="15">
        <f t="shared" si="113"/>
        <v>0.99061032863849763</v>
      </c>
      <c r="AI28" s="15">
        <f t="shared" si="113"/>
        <v>0.99034324505210836</v>
      </c>
      <c r="AJ28" s="15">
        <f t="shared" ref="AJ28:AT28" si="114">AJ14/AJ12</f>
        <v>0.98738420820467587</v>
      </c>
      <c r="AK28" s="15">
        <f t="shared" si="114"/>
        <v>0.98420371757336422</v>
      </c>
      <c r="AL28" s="15">
        <f t="shared" si="114"/>
        <v>0.97938636002331614</v>
      </c>
      <c r="AM28" s="15">
        <f t="shared" si="114"/>
        <v>0.98594658854498374</v>
      </c>
      <c r="AN28" s="15">
        <f t="shared" si="114"/>
        <v>0.99</v>
      </c>
      <c r="AO28" s="15">
        <f t="shared" si="114"/>
        <v>0.9900000000000001</v>
      </c>
      <c r="AP28" s="15">
        <f t="shared" si="114"/>
        <v>0.98999999999999988</v>
      </c>
      <c r="AQ28" s="15">
        <f t="shared" si="114"/>
        <v>0.9900000000000001</v>
      </c>
      <c r="AR28" s="15">
        <f t="shared" si="114"/>
        <v>0.99</v>
      </c>
      <c r="AS28" s="15">
        <f t="shared" si="114"/>
        <v>0.99</v>
      </c>
      <c r="AT28" s="15">
        <f t="shared" si="114"/>
        <v>0.99</v>
      </c>
      <c r="AU28" s="15"/>
      <c r="AV28" s="15"/>
      <c r="AW28" s="15"/>
      <c r="AX28" s="15"/>
    </row>
    <row r="30" spans="2:50" x14ac:dyDescent="0.25">
      <c r="B30" t="s">
        <v>3</v>
      </c>
      <c r="M30" s="2">
        <f>1137-169</f>
        <v>968</v>
      </c>
      <c r="N30" s="5"/>
      <c r="O30" s="5"/>
      <c r="P30" s="5"/>
      <c r="Q30" s="5"/>
      <c r="R30" s="5"/>
      <c r="S30" s="5"/>
      <c r="T30" s="5"/>
      <c r="U30" s="5">
        <f>139.7+899.2+637.8+143.6</f>
        <v>1820.3</v>
      </c>
      <c r="V30" s="5"/>
      <c r="W30" s="5">
        <f>233+843.1+124.8+739.5</f>
        <v>1940.3999999999999</v>
      </c>
      <c r="X30" s="5"/>
      <c r="Y30" s="5"/>
      <c r="Z30" s="5"/>
      <c r="AA30" s="5"/>
      <c r="AK30" s="3"/>
      <c r="AL30" s="3"/>
      <c r="AM30" s="3">
        <f>+W30</f>
        <v>1940.3999999999999</v>
      </c>
      <c r="AN30" s="3"/>
      <c r="AO30" s="3"/>
      <c r="AP30" s="3"/>
      <c r="AQ30" s="3"/>
      <c r="AR30" s="3"/>
      <c r="AS30" s="3"/>
      <c r="AT30" s="3"/>
      <c r="AU30" s="3"/>
      <c r="AV30" t="s">
        <v>79</v>
      </c>
      <c r="AW30" s="16">
        <v>0.08</v>
      </c>
      <c r="AX30" s="3"/>
    </row>
    <row r="31" spans="2:50" x14ac:dyDescent="0.25">
      <c r="B31" t="s">
        <v>92</v>
      </c>
      <c r="U31" s="5">
        <v>468.2</v>
      </c>
      <c r="W31" s="5">
        <v>479.1</v>
      </c>
      <c r="AM31" s="3">
        <f t="shared" ref="AM31:AM46" si="115">+W31</f>
        <v>479.1</v>
      </c>
      <c r="AV31" t="s">
        <v>78</v>
      </c>
      <c r="AW31" s="3">
        <f>NPV(AW30,AN22:AZ22)+Main!L5-Main!L6</f>
        <v>10264.189747201255</v>
      </c>
    </row>
    <row r="32" spans="2:50" x14ac:dyDescent="0.25">
      <c r="B32" t="s">
        <v>93</v>
      </c>
      <c r="U32" s="5">
        <v>42.5</v>
      </c>
      <c r="W32" s="5">
        <v>57.4</v>
      </c>
      <c r="AM32" s="3">
        <f t="shared" si="115"/>
        <v>57.4</v>
      </c>
      <c r="AV32" t="s">
        <v>80</v>
      </c>
      <c r="AW32" s="1">
        <f>AW31/Main!L3</f>
        <v>99.652327642730626</v>
      </c>
    </row>
    <row r="33" spans="2:49" x14ac:dyDescent="0.25">
      <c r="B33" t="s">
        <v>94</v>
      </c>
      <c r="U33" s="5">
        <v>120.2</v>
      </c>
      <c r="W33" s="5">
        <v>112.1</v>
      </c>
      <c r="AM33" s="3">
        <f t="shared" si="115"/>
        <v>112.1</v>
      </c>
      <c r="AV33" t="s">
        <v>81</v>
      </c>
      <c r="AW33" s="16">
        <v>0.03</v>
      </c>
    </row>
    <row r="34" spans="2:49" x14ac:dyDescent="0.25">
      <c r="B34" t="s">
        <v>95</v>
      </c>
      <c r="U34" s="5">
        <v>419.5</v>
      </c>
      <c r="W34" s="5">
        <v>485.7</v>
      </c>
      <c r="AM34" s="3">
        <f t="shared" si="115"/>
        <v>485.7</v>
      </c>
    </row>
    <row r="35" spans="2:49" x14ac:dyDescent="0.25">
      <c r="B35" t="s">
        <v>96</v>
      </c>
      <c r="U35" s="5">
        <v>262.89999999999998</v>
      </c>
      <c r="W35" s="5">
        <v>509.4</v>
      </c>
      <c r="AM35" s="3">
        <f t="shared" si="115"/>
        <v>509.4</v>
      </c>
    </row>
    <row r="36" spans="2:49" x14ac:dyDescent="0.25">
      <c r="B36" t="s">
        <v>97</v>
      </c>
      <c r="U36" s="5">
        <v>80.099999999999994</v>
      </c>
      <c r="W36" s="5">
        <v>82.6</v>
      </c>
      <c r="AM36" s="3">
        <f t="shared" si="115"/>
        <v>82.6</v>
      </c>
    </row>
    <row r="37" spans="2:49" x14ac:dyDescent="0.25">
      <c r="B37" t="s">
        <v>98</v>
      </c>
      <c r="U37" s="5">
        <v>33.5</v>
      </c>
      <c r="W37" s="5">
        <v>36.5</v>
      </c>
      <c r="AM37" s="3">
        <f t="shared" si="115"/>
        <v>36.5</v>
      </c>
    </row>
    <row r="38" spans="2:49" x14ac:dyDescent="0.25">
      <c r="B38" t="s">
        <v>99</v>
      </c>
      <c r="U38" s="5">
        <v>57.8</v>
      </c>
      <c r="W38" s="5">
        <v>15.5</v>
      </c>
      <c r="AM38" s="3">
        <f t="shared" si="115"/>
        <v>15.5</v>
      </c>
    </row>
    <row r="39" spans="2:49" x14ac:dyDescent="0.25">
      <c r="B39" t="s">
        <v>100</v>
      </c>
      <c r="U39" s="5">
        <f>SUM(U30:U38)</f>
        <v>3305</v>
      </c>
      <c r="V39" s="5">
        <f>SUM(V30:V38)</f>
        <v>0</v>
      </c>
      <c r="W39" s="5">
        <f>SUM(W30:W38)</f>
        <v>3718.7</v>
      </c>
      <c r="AM39" s="3">
        <f t="shared" si="115"/>
        <v>3718.7</v>
      </c>
    </row>
    <row r="40" spans="2:49" x14ac:dyDescent="0.25">
      <c r="AM40" s="3"/>
    </row>
    <row r="41" spans="2:49" x14ac:dyDescent="0.25">
      <c r="B41" t="s">
        <v>103</v>
      </c>
      <c r="U41" s="5">
        <v>358.5</v>
      </c>
      <c r="W41" s="5">
        <v>461.6</v>
      </c>
      <c r="AM41" s="3">
        <f t="shared" si="115"/>
        <v>461.6</v>
      </c>
    </row>
    <row r="42" spans="2:49" x14ac:dyDescent="0.25">
      <c r="B42" t="s">
        <v>104</v>
      </c>
      <c r="U42" s="5">
        <v>40</v>
      </c>
      <c r="W42" s="5">
        <v>46.1</v>
      </c>
      <c r="AM42" s="3">
        <f t="shared" si="115"/>
        <v>46.1</v>
      </c>
    </row>
    <row r="43" spans="2:49" x14ac:dyDescent="0.25">
      <c r="B43" t="s">
        <v>105</v>
      </c>
      <c r="U43" s="5">
        <v>256.2</v>
      </c>
      <c r="W43" s="5">
        <v>455.1</v>
      </c>
      <c r="AM43" s="3">
        <f t="shared" si="115"/>
        <v>455.1</v>
      </c>
    </row>
    <row r="44" spans="2:49" x14ac:dyDescent="0.25">
      <c r="B44" t="s">
        <v>106</v>
      </c>
      <c r="U44" s="5">
        <v>141.1</v>
      </c>
      <c r="W44" s="5">
        <v>166.2</v>
      </c>
      <c r="AM44" s="3">
        <f t="shared" si="115"/>
        <v>166.2</v>
      </c>
    </row>
    <row r="45" spans="2:49" x14ac:dyDescent="0.25">
      <c r="B45" t="s">
        <v>102</v>
      </c>
      <c r="U45" s="5">
        <v>2509.1999999999998</v>
      </c>
      <c r="W45" s="5">
        <v>2589.6999999999998</v>
      </c>
      <c r="AM45" s="3">
        <f t="shared" si="115"/>
        <v>2589.6999999999998</v>
      </c>
    </row>
    <row r="46" spans="2:49" x14ac:dyDescent="0.25">
      <c r="B46" t="s">
        <v>101</v>
      </c>
      <c r="U46" s="5">
        <f>SUM(U41:U45)</f>
        <v>3305</v>
      </c>
      <c r="W46" s="5">
        <f>SUM(W41:W45)</f>
        <v>3718.7</v>
      </c>
      <c r="AM46" s="3">
        <f t="shared" si="115"/>
        <v>3718.7</v>
      </c>
    </row>
    <row r="48" spans="2:49" x14ac:dyDescent="0.25">
      <c r="B48" t="s">
        <v>147</v>
      </c>
      <c r="C48" s="5">
        <f t="shared" ref="C48:V48" si="116">C22</f>
        <v>72.2</v>
      </c>
      <c r="D48" s="5">
        <f t="shared" si="116"/>
        <v>49.2</v>
      </c>
      <c r="E48" s="5">
        <f t="shared" si="116"/>
        <v>110.70000000000006</v>
      </c>
      <c r="F48" s="5">
        <f t="shared" si="116"/>
        <v>65.5</v>
      </c>
      <c r="G48" s="5">
        <f t="shared" si="116"/>
        <v>64.000000000000014</v>
      </c>
      <c r="H48" s="5">
        <f t="shared" si="116"/>
        <v>25.1</v>
      </c>
      <c r="I48" s="5">
        <f t="shared" si="116"/>
        <v>46.400000000000006</v>
      </c>
      <c r="J48" s="5">
        <f t="shared" si="116"/>
        <v>37.9</v>
      </c>
      <c r="K48" s="5">
        <f t="shared" si="116"/>
        <v>57.39999999999997</v>
      </c>
      <c r="L48" s="5">
        <f t="shared" si="116"/>
        <v>-6.9999999999999769</v>
      </c>
      <c r="M48" s="5">
        <f t="shared" si="116"/>
        <v>52.499999999999929</v>
      </c>
      <c r="N48" s="5">
        <f t="shared" si="116"/>
        <v>57.20000000000001</v>
      </c>
      <c r="O48" s="5">
        <f t="shared" si="116"/>
        <v>96.200000000000031</v>
      </c>
      <c r="P48" s="5">
        <f t="shared" si="116"/>
        <v>163.90000000000003</v>
      </c>
      <c r="Q48" s="5">
        <f t="shared" si="116"/>
        <v>58.199999999999967</v>
      </c>
      <c r="R48" s="5">
        <f t="shared" si="116"/>
        <v>123.20000000000005</v>
      </c>
      <c r="S48" s="5">
        <f t="shared" si="116"/>
        <v>157.00000000000003</v>
      </c>
      <c r="T48" s="5">
        <f t="shared" si="116"/>
        <v>136.49999999999994</v>
      </c>
      <c r="U48" s="5">
        <f t="shared" si="116"/>
        <v>137.09999999999988</v>
      </c>
      <c r="V48" s="5">
        <f t="shared" si="116"/>
        <v>147.70000000000002</v>
      </c>
      <c r="W48" s="5">
        <f>W22</f>
        <v>176.30000000000007</v>
      </c>
      <c r="AM48" s="5">
        <f>AM22</f>
        <v>597.60000000000014</v>
      </c>
    </row>
    <row r="49" spans="2:39" x14ac:dyDescent="0.25">
      <c r="B49" t="s">
        <v>148</v>
      </c>
      <c r="AM49" s="3">
        <v>341.3</v>
      </c>
    </row>
    <row r="50" spans="2:39" x14ac:dyDescent="0.25">
      <c r="B50" t="s">
        <v>156</v>
      </c>
      <c r="AM50" s="3">
        <v>195.5</v>
      </c>
    </row>
    <row r="51" spans="2:39" x14ac:dyDescent="0.25">
      <c r="B51" t="s">
        <v>155</v>
      </c>
      <c r="AM51" s="3">
        <v>138.4</v>
      </c>
    </row>
    <row r="52" spans="2:39" x14ac:dyDescent="0.25">
      <c r="B52" t="s">
        <v>154</v>
      </c>
      <c r="AM52" s="3">
        <v>23.5</v>
      </c>
    </row>
    <row r="53" spans="2:39" x14ac:dyDescent="0.25">
      <c r="B53" t="s">
        <v>153</v>
      </c>
      <c r="AM53" s="3">
        <v>-26.2</v>
      </c>
    </row>
    <row r="54" spans="2:39" x14ac:dyDescent="0.25">
      <c r="B54" t="s">
        <v>152</v>
      </c>
      <c r="AM54" s="3">
        <v>3.6</v>
      </c>
    </row>
    <row r="55" spans="2:39" x14ac:dyDescent="0.25">
      <c r="B55" t="s">
        <v>151</v>
      </c>
      <c r="AM55" s="3">
        <v>37.1</v>
      </c>
    </row>
    <row r="56" spans="2:39" x14ac:dyDescent="0.25">
      <c r="B56" t="s">
        <v>95</v>
      </c>
      <c r="AM56" s="3">
        <v>-123.1</v>
      </c>
    </row>
    <row r="57" spans="2:39" x14ac:dyDescent="0.25">
      <c r="B57" t="s">
        <v>129</v>
      </c>
      <c r="AM57" s="3">
        <v>24.5</v>
      </c>
    </row>
    <row r="58" spans="2:39" x14ac:dyDescent="0.25">
      <c r="B58" t="s">
        <v>150</v>
      </c>
      <c r="AM58" s="3">
        <f>-39.8-19.1+29+10.7</f>
        <v>-19.2</v>
      </c>
    </row>
    <row r="59" spans="2:39" x14ac:dyDescent="0.25">
      <c r="B59" t="s">
        <v>149</v>
      </c>
      <c r="AM59" s="3">
        <f>SUM(AM49:AM58)</f>
        <v>595.39999999999986</v>
      </c>
    </row>
    <row r="61" spans="2:39" s="3" customFormat="1" x14ac:dyDescent="0.25">
      <c r="B61" s="3" t="s">
        <v>159</v>
      </c>
      <c r="C61" s="5"/>
      <c r="D61" s="5"/>
      <c r="E61" s="5"/>
      <c r="F61" s="5"/>
      <c r="G61" s="5"/>
      <c r="H61" s="5"/>
      <c r="I61" s="5"/>
      <c r="J61" s="5"/>
      <c r="K61" s="5"/>
      <c r="L61" s="5"/>
      <c r="M61" s="5"/>
      <c r="N61" s="5"/>
      <c r="O61" s="5"/>
      <c r="P61" s="5"/>
      <c r="Q61" s="5"/>
      <c r="R61" s="5"/>
      <c r="S61" s="5"/>
      <c r="T61" s="5"/>
      <c r="U61" s="5"/>
      <c r="V61" s="5"/>
      <c r="W61" s="5"/>
      <c r="X61" s="5"/>
      <c r="Y61" s="5"/>
      <c r="Z61" s="5"/>
      <c r="AA61" s="5"/>
      <c r="AM61" s="3">
        <f>-1056.1+967.5</f>
        <v>-88.599999999999909</v>
      </c>
    </row>
    <row r="62" spans="2:39" s="3" customFormat="1" x14ac:dyDescent="0.25">
      <c r="B62" s="3" t="s">
        <v>158</v>
      </c>
      <c r="C62" s="5"/>
      <c r="D62" s="5"/>
      <c r="E62" s="5"/>
      <c r="F62" s="5"/>
      <c r="G62" s="5"/>
      <c r="H62" s="5"/>
      <c r="I62" s="5"/>
      <c r="J62" s="5"/>
      <c r="K62" s="5"/>
      <c r="L62" s="5"/>
      <c r="M62" s="5"/>
      <c r="N62" s="5"/>
      <c r="O62" s="5"/>
      <c r="P62" s="5"/>
      <c r="Q62" s="5"/>
      <c r="R62" s="5"/>
      <c r="S62" s="5"/>
      <c r="T62" s="5"/>
      <c r="U62" s="5"/>
      <c r="V62" s="5"/>
      <c r="W62" s="5"/>
      <c r="X62" s="5"/>
      <c r="Y62" s="5"/>
      <c r="Z62" s="5"/>
      <c r="AA62" s="5"/>
      <c r="AM62" s="3">
        <v>-38.200000000000003</v>
      </c>
    </row>
    <row r="63" spans="2:39" s="3" customFormat="1" x14ac:dyDescent="0.25">
      <c r="B63" s="3" t="s">
        <v>157</v>
      </c>
      <c r="C63" s="5"/>
      <c r="D63" s="5"/>
      <c r="E63" s="5"/>
      <c r="F63" s="5"/>
      <c r="G63" s="5"/>
      <c r="H63" s="5"/>
      <c r="I63" s="5"/>
      <c r="J63" s="5"/>
      <c r="K63" s="5"/>
      <c r="L63" s="5"/>
      <c r="M63" s="5"/>
      <c r="N63" s="5"/>
      <c r="O63" s="5"/>
      <c r="P63" s="5"/>
      <c r="Q63" s="5"/>
      <c r="R63" s="5"/>
      <c r="S63" s="5"/>
      <c r="T63" s="5"/>
      <c r="U63" s="5"/>
      <c r="V63" s="5"/>
      <c r="W63" s="5"/>
      <c r="X63" s="5"/>
      <c r="Y63" s="5"/>
      <c r="Z63" s="5"/>
      <c r="AA63" s="5"/>
      <c r="AM63" s="3">
        <f>+AM61+AM62</f>
        <v>-126.79999999999991</v>
      </c>
    </row>
    <row r="65" spans="2:39" x14ac:dyDescent="0.25">
      <c r="B65" s="3" t="s">
        <v>160</v>
      </c>
      <c r="AM65" s="3">
        <v>122.1</v>
      </c>
    </row>
    <row r="66" spans="2:39" x14ac:dyDescent="0.25">
      <c r="B66" s="3" t="s">
        <v>161</v>
      </c>
      <c r="AM66" s="3">
        <v>-300</v>
      </c>
    </row>
    <row r="67" spans="2:39" x14ac:dyDescent="0.25">
      <c r="B67" s="3" t="s">
        <v>162</v>
      </c>
      <c r="AM67" s="3">
        <v>-308.8</v>
      </c>
    </row>
    <row r="68" spans="2:39" x14ac:dyDescent="0.25">
      <c r="B68" s="3" t="s">
        <v>163</v>
      </c>
      <c r="AM68" s="3">
        <f>SUM(AM65:AM67)</f>
        <v>-486.70000000000005</v>
      </c>
    </row>
    <row r="69" spans="2:39" x14ac:dyDescent="0.25">
      <c r="B69" s="3" t="s">
        <v>164</v>
      </c>
      <c r="AM69" s="3">
        <f>+AM68+AM63+AM59</f>
        <v>-18.100000000000136</v>
      </c>
    </row>
  </sheetData>
  <hyperlinks>
    <hyperlink ref="A1" location="Main!A1" display="Main" xr:uid="{89F616D1-BD7A-4A9B-9583-6922E712F5C1}"/>
  </hyperlinks>
  <pageMargins left="0.7" right="0.7" top="0.75" bottom="0.75" header="0.3" footer="0.3"/>
  <drawing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74248D-D5A5-4F71-9210-08718D86A5A2}">
  <dimension ref="A1:C7"/>
  <sheetViews>
    <sheetView zoomScale="175" zoomScaleNormal="175" workbookViewId="0"/>
  </sheetViews>
  <sheetFormatPr defaultRowHeight="12.5" x14ac:dyDescent="0.25"/>
  <cols>
    <col min="1" max="1" width="5" bestFit="1" customWidth="1"/>
  </cols>
  <sheetData>
    <row r="1" spans="1:3" x14ac:dyDescent="0.25">
      <c r="A1" s="17" t="s">
        <v>7</v>
      </c>
    </row>
    <row r="2" spans="1:3" x14ac:dyDescent="0.25">
      <c r="B2" t="s">
        <v>22</v>
      </c>
      <c r="C2" t="s">
        <v>108</v>
      </c>
    </row>
    <row r="3" spans="1:3" x14ac:dyDescent="0.25">
      <c r="B3" t="s">
        <v>74</v>
      </c>
      <c r="C3" t="s">
        <v>75</v>
      </c>
    </row>
    <row r="4" spans="1:3" x14ac:dyDescent="0.25">
      <c r="B4" t="s">
        <v>24</v>
      </c>
      <c r="C4" t="s">
        <v>107</v>
      </c>
    </row>
    <row r="5" spans="1:3" x14ac:dyDescent="0.25">
      <c r="B5" t="s">
        <v>36</v>
      </c>
      <c r="C5" t="s">
        <v>76</v>
      </c>
    </row>
    <row r="6" spans="1:3" x14ac:dyDescent="0.25">
      <c r="B6" t="s">
        <v>31</v>
      </c>
      <c r="C6" t="s">
        <v>77</v>
      </c>
    </row>
    <row r="7" spans="1:3" x14ac:dyDescent="0.25">
      <c r="C7" t="s">
        <v>82</v>
      </c>
    </row>
  </sheetData>
  <hyperlinks>
    <hyperlink ref="A1" location="Main!A1" display="Main" xr:uid="{738B9C3C-07B1-41C3-84F3-F8473D8F0C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5F8799-2FF4-4EC6-9BEA-095D9A17383B}">
  <dimension ref="A1:C16"/>
  <sheetViews>
    <sheetView zoomScale="145" zoomScaleNormal="145" workbookViewId="0"/>
  </sheetViews>
  <sheetFormatPr defaultRowHeight="12.5" x14ac:dyDescent="0.25"/>
  <cols>
    <col min="1" max="1" width="5" bestFit="1" customWidth="1"/>
    <col min="2" max="2" width="12.1796875" bestFit="1" customWidth="1"/>
  </cols>
  <sheetData>
    <row r="1" spans="1:3" x14ac:dyDescent="0.25">
      <c r="A1" s="17" t="s">
        <v>7</v>
      </c>
    </row>
    <row r="2" spans="1:3" x14ac:dyDescent="0.25">
      <c r="B2" t="s">
        <v>22</v>
      </c>
      <c r="C2" t="s">
        <v>143</v>
      </c>
    </row>
    <row r="3" spans="1:3" x14ac:dyDescent="0.25">
      <c r="B3" t="s">
        <v>74</v>
      </c>
      <c r="C3" s="22" t="s">
        <v>142</v>
      </c>
    </row>
    <row r="4" spans="1:3" x14ac:dyDescent="0.25">
      <c r="B4" t="s">
        <v>24</v>
      </c>
      <c r="C4" t="s">
        <v>65</v>
      </c>
    </row>
    <row r="5" spans="1:3" x14ac:dyDescent="0.25">
      <c r="B5" t="s">
        <v>36</v>
      </c>
      <c r="C5" t="s">
        <v>113</v>
      </c>
    </row>
    <row r="6" spans="1:3" x14ac:dyDescent="0.25">
      <c r="B6" t="s">
        <v>32</v>
      </c>
      <c r="C6" t="s">
        <v>125</v>
      </c>
    </row>
    <row r="7" spans="1:3" x14ac:dyDescent="0.25">
      <c r="B7" t="s">
        <v>112</v>
      </c>
    </row>
    <row r="8" spans="1:3" ht="13" x14ac:dyDescent="0.3">
      <c r="C8" s="20" t="s">
        <v>145</v>
      </c>
    </row>
    <row r="9" spans="1:3" x14ac:dyDescent="0.25">
      <c r="C9" t="s">
        <v>144</v>
      </c>
    </row>
    <row r="14" spans="1:3" ht="13" x14ac:dyDescent="0.3">
      <c r="C14" s="20" t="s">
        <v>126</v>
      </c>
    </row>
    <row r="15" spans="1:3" x14ac:dyDescent="0.25">
      <c r="C15" t="s">
        <v>123</v>
      </c>
    </row>
    <row r="16" spans="1:3" x14ac:dyDescent="0.25">
      <c r="C16" t="s">
        <v>124</v>
      </c>
    </row>
  </sheetData>
  <hyperlinks>
    <hyperlink ref="A1" location="Main!A1" display="Main" xr:uid="{88EB219B-DDE0-46CC-B788-95B6DCB73CE8}"/>
  </hyperlink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0D85D1-9DCE-4499-A8CA-F486173AC1B3}">
  <dimension ref="A1:C7"/>
  <sheetViews>
    <sheetView zoomScale="190" zoomScaleNormal="190" workbookViewId="0"/>
  </sheetViews>
  <sheetFormatPr defaultRowHeight="12.5" x14ac:dyDescent="0.25"/>
  <cols>
    <col min="1" max="1" width="5" bestFit="1" customWidth="1"/>
    <col min="2" max="2" width="12.26953125" bestFit="1" customWidth="1"/>
  </cols>
  <sheetData>
    <row r="1" spans="1:3" x14ac:dyDescent="0.25">
      <c r="A1" s="17" t="s">
        <v>7</v>
      </c>
    </row>
    <row r="2" spans="1:3" x14ac:dyDescent="0.25">
      <c r="B2" t="s">
        <v>22</v>
      </c>
      <c r="C2" t="s">
        <v>141</v>
      </c>
    </row>
    <row r="3" spans="1:3" x14ac:dyDescent="0.25">
      <c r="B3" t="s">
        <v>24</v>
      </c>
      <c r="C3" t="s">
        <v>56</v>
      </c>
    </row>
    <row r="4" spans="1:3" x14ac:dyDescent="0.25">
      <c r="B4" t="s">
        <v>36</v>
      </c>
    </row>
    <row r="5" spans="1:3" x14ac:dyDescent="0.25">
      <c r="B5" t="s">
        <v>24</v>
      </c>
      <c r="C5" t="s">
        <v>58</v>
      </c>
    </row>
    <row r="6" spans="1:3" x14ac:dyDescent="0.25">
      <c r="B6" t="s">
        <v>112</v>
      </c>
    </row>
    <row r="7" spans="1:3" ht="13" x14ac:dyDescent="0.3">
      <c r="C7" s="20" t="s">
        <v>118</v>
      </c>
    </row>
  </sheetData>
  <hyperlinks>
    <hyperlink ref="A1" location="Main!A1" display="Main" xr:uid="{65E08BD3-BBDC-4586-867C-9363D1662C2B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305B59E-805F-48F7-89A8-1725C9FCED24}">
  <dimension ref="A1:D17"/>
  <sheetViews>
    <sheetView zoomScale="130" zoomScaleNormal="130" workbookViewId="0"/>
  </sheetViews>
  <sheetFormatPr defaultRowHeight="12.5" x14ac:dyDescent="0.25"/>
  <cols>
    <col min="1" max="1" width="5" bestFit="1" customWidth="1"/>
    <col min="2" max="2" width="12.453125" customWidth="1"/>
  </cols>
  <sheetData>
    <row r="1" spans="1:4" x14ac:dyDescent="0.25">
      <c r="A1" s="17" t="s">
        <v>7</v>
      </c>
    </row>
    <row r="2" spans="1:4" x14ac:dyDescent="0.25">
      <c r="B2" t="s">
        <v>22</v>
      </c>
      <c r="C2" t="s">
        <v>34</v>
      </c>
    </row>
    <row r="3" spans="1:4" x14ac:dyDescent="0.25">
      <c r="B3" t="s">
        <v>74</v>
      </c>
    </row>
    <row r="4" spans="1:4" x14ac:dyDescent="0.25">
      <c r="B4" t="s">
        <v>24</v>
      </c>
      <c r="C4" t="s">
        <v>35</v>
      </c>
    </row>
    <row r="5" spans="1:4" x14ac:dyDescent="0.25">
      <c r="B5" t="s">
        <v>36</v>
      </c>
      <c r="C5" t="s">
        <v>53</v>
      </c>
    </row>
    <row r="6" spans="1:4" x14ac:dyDescent="0.25">
      <c r="B6" t="s">
        <v>112</v>
      </c>
    </row>
    <row r="7" spans="1:4" ht="13" x14ac:dyDescent="0.3">
      <c r="C7" s="20" t="s">
        <v>131</v>
      </c>
    </row>
    <row r="8" spans="1:4" ht="13" x14ac:dyDescent="0.3">
      <c r="C8" s="21" t="s">
        <v>133</v>
      </c>
    </row>
    <row r="9" spans="1:4" x14ac:dyDescent="0.25">
      <c r="C9" t="s">
        <v>132</v>
      </c>
    </row>
    <row r="10" spans="1:4" x14ac:dyDescent="0.25">
      <c r="D10" t="s">
        <v>134</v>
      </c>
    </row>
    <row r="17" spans="3:3" ht="13" x14ac:dyDescent="0.3">
      <c r="C17" s="20" t="s">
        <v>130</v>
      </c>
    </row>
  </sheetData>
  <hyperlinks>
    <hyperlink ref="A1" location="Main!A1" display="Main" xr:uid="{E379B3D9-3955-4650-8191-49A7A7DDFD2D}"/>
  </hyperlink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Main</vt:lpstr>
      <vt:lpstr>Model</vt:lpstr>
      <vt:lpstr>Ingrezza</vt:lpstr>
      <vt:lpstr>osavampator</vt:lpstr>
      <vt:lpstr>crinecerfont</vt:lpstr>
      <vt:lpstr>1117568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2022-10-14T17:50:27Z</dcterms:created>
  <dcterms:modified xsi:type="dcterms:W3CDTF">2025-02-19T17:13:48Z</dcterms:modified>
</cp:coreProperties>
</file>