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1CFBF05-84DE-4C4C-A4ED-8E3C58CF7C6B}" xr6:coauthVersionLast="47" xr6:coauthVersionMax="47" xr10:uidLastSave="{00000000-0000-0000-0000-000000000000}"/>
  <bookViews>
    <workbookView xWindow="-24240" yWindow="1890" windowWidth="22410" windowHeight="14220" activeTab="1" xr2:uid="{488F4950-B07E-407E-9962-CB6E6645565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2" l="1"/>
  <c r="R31" i="2"/>
  <c r="Q31" i="2"/>
  <c r="R27" i="2"/>
  <c r="Q27" i="2"/>
  <c r="S25" i="2"/>
  <c r="R25" i="2"/>
  <c r="Q18" i="2"/>
  <c r="R18" i="2"/>
  <c r="R19" i="2" s="1"/>
  <c r="R21" i="2" s="1"/>
  <c r="R22" i="2" s="1"/>
  <c r="S18" i="2"/>
  <c r="Q21" i="2"/>
  <c r="Q22" i="2" s="1"/>
  <c r="S19" i="2"/>
  <c r="S21" i="2" s="1"/>
  <c r="S22" i="2" s="1"/>
  <c r="Q19" i="2"/>
  <c r="S17" i="2"/>
  <c r="S16" i="2"/>
  <c r="R16" i="2"/>
  <c r="R17" i="2" s="1"/>
  <c r="Q16" i="2"/>
  <c r="Q17" i="2" s="1"/>
  <c r="S13" i="2"/>
  <c r="R13" i="2"/>
  <c r="Q13" i="2"/>
  <c r="Y3" i="2"/>
  <c r="Z3" i="2" s="1"/>
  <c r="AA3" i="2" s="1"/>
  <c r="AB3" i="2" s="1"/>
  <c r="AC3" i="2" s="1"/>
  <c r="AD3" i="2" s="1"/>
  <c r="AE3" i="2" s="1"/>
  <c r="S27" i="2"/>
  <c r="K27" i="2"/>
  <c r="J27" i="2"/>
  <c r="G27" i="2"/>
  <c r="F27" i="2"/>
  <c r="E27" i="2"/>
  <c r="D27" i="2"/>
  <c r="C27" i="2"/>
  <c r="W31" i="2"/>
  <c r="N11" i="2"/>
  <c r="N25" i="2" s="1"/>
  <c r="M11" i="2"/>
  <c r="M25" i="2" s="1"/>
  <c r="G25" i="2"/>
  <c r="C18" i="2"/>
  <c r="C16" i="2"/>
  <c r="C13" i="2"/>
  <c r="D18" i="2"/>
  <c r="D16" i="2"/>
  <c r="D13" i="2"/>
  <c r="E18" i="2"/>
  <c r="E13" i="2"/>
  <c r="E16" i="2"/>
  <c r="E17" i="2" s="1"/>
  <c r="E19" i="2" s="1"/>
  <c r="E21" i="2" s="1"/>
  <c r="E22" i="2" s="1"/>
  <c r="I18" i="2"/>
  <c r="I25" i="2"/>
  <c r="I16" i="2"/>
  <c r="I13" i="2"/>
  <c r="I27" i="2" s="1"/>
  <c r="F18" i="2"/>
  <c r="F16" i="2"/>
  <c r="F13" i="2"/>
  <c r="J18" i="2"/>
  <c r="J25" i="2"/>
  <c r="J16" i="2"/>
  <c r="J13" i="2"/>
  <c r="J17" i="2" s="1"/>
  <c r="G18" i="2"/>
  <c r="G16" i="2"/>
  <c r="G13" i="2"/>
  <c r="K18" i="2"/>
  <c r="K16" i="2"/>
  <c r="K13" i="2"/>
  <c r="H10" i="2"/>
  <c r="H11" i="2" s="1"/>
  <c r="L10" i="2"/>
  <c r="L11" i="2" s="1"/>
  <c r="H18" i="2"/>
  <c r="H16" i="2"/>
  <c r="L18" i="2"/>
  <c r="L16" i="2"/>
  <c r="S10" i="2"/>
  <c r="S11" i="2" s="1"/>
  <c r="U31" i="2"/>
  <c r="T31" i="2"/>
  <c r="V31" i="2"/>
  <c r="T18" i="2"/>
  <c r="U18" i="2"/>
  <c r="U16" i="2"/>
  <c r="T16" i="2"/>
  <c r="V16" i="2"/>
  <c r="L6" i="1"/>
  <c r="L5" i="1"/>
  <c r="L4" i="1"/>
  <c r="L7" i="1" s="1"/>
  <c r="X11" i="2" l="1"/>
  <c r="L13" i="2"/>
  <c r="L25" i="2"/>
  <c r="W11" i="2"/>
  <c r="H25" i="2"/>
  <c r="H13" i="2"/>
  <c r="H27" i="2" s="1"/>
  <c r="C17" i="2"/>
  <c r="C19" i="2" s="1"/>
  <c r="C21" i="2" s="1"/>
  <c r="C22" i="2" s="1"/>
  <c r="D17" i="2"/>
  <c r="D19" i="2" s="1"/>
  <c r="D21" i="2" s="1"/>
  <c r="D22" i="2" s="1"/>
  <c r="I17" i="2"/>
  <c r="I19" i="2" s="1"/>
  <c r="I21" i="2" s="1"/>
  <c r="I22" i="2" s="1"/>
  <c r="F17" i="2"/>
  <c r="F19" i="2" s="1"/>
  <c r="F21" i="2" s="1"/>
  <c r="F22" i="2" s="1"/>
  <c r="J19" i="2"/>
  <c r="J21" i="2" s="1"/>
  <c r="J22" i="2" s="1"/>
  <c r="G17" i="2"/>
  <c r="G19" i="2" s="1"/>
  <c r="G21" i="2" s="1"/>
  <c r="G22" i="2" s="1"/>
  <c r="K25" i="2"/>
  <c r="K17" i="2"/>
  <c r="K19" i="2" s="1"/>
  <c r="K21" i="2" s="1"/>
  <c r="K22" i="2" s="1"/>
  <c r="H17" i="2"/>
  <c r="H19" i="2" s="1"/>
  <c r="H21" i="2" s="1"/>
  <c r="H22" i="2" s="1"/>
  <c r="T10" i="2"/>
  <c r="T11" i="2" s="1"/>
  <c r="U10" i="2"/>
  <c r="U11" i="2" s="1"/>
  <c r="V10" i="2"/>
  <c r="V11" i="2" s="1"/>
  <c r="T13" i="2" l="1"/>
  <c r="T25" i="2"/>
  <c r="W25" i="2"/>
  <c r="W27" i="2"/>
  <c r="L17" i="2"/>
  <c r="L19" i="2" s="1"/>
  <c r="L21" i="2" s="1"/>
  <c r="L22" i="2" s="1"/>
  <c r="L27" i="2"/>
  <c r="X25" i="2"/>
  <c r="X27" i="2"/>
  <c r="V25" i="2"/>
  <c r="V13" i="2"/>
  <c r="U13" i="2"/>
  <c r="U25" i="2"/>
  <c r="V17" i="2" l="1"/>
  <c r="V19" i="2" s="1"/>
  <c r="V21" i="2" s="1"/>
  <c r="V22" i="2" s="1"/>
  <c r="V27" i="2"/>
  <c r="U17" i="2"/>
  <c r="U19" i="2" s="1"/>
  <c r="U21" i="2" s="1"/>
  <c r="U22" i="2" s="1"/>
  <c r="U27" i="2"/>
  <c r="T17" i="2"/>
  <c r="T19" i="2" s="1"/>
  <c r="T21" i="2" s="1"/>
  <c r="T22" i="2" s="1"/>
  <c r="T27" i="2"/>
</calcChain>
</file>

<file path=xl/sharedStrings.xml><?xml version="1.0" encoding="utf-8"?>
<sst xmlns="http://schemas.openxmlformats.org/spreadsheetml/2006/main" count="46" uniqueCount="42">
  <si>
    <t>Price</t>
  </si>
  <si>
    <t>Shares</t>
  </si>
  <si>
    <t>MC</t>
  </si>
  <si>
    <t>Cash</t>
  </si>
  <si>
    <t>Debt</t>
  </si>
  <si>
    <t>EV</t>
  </si>
  <si>
    <t>Main</t>
  </si>
  <si>
    <t>Footwear</t>
  </si>
  <si>
    <t>Apparel</t>
  </si>
  <si>
    <t>Equipment</t>
  </si>
  <si>
    <t>Converse</t>
  </si>
  <si>
    <t>Other</t>
  </si>
  <si>
    <t>Revenue</t>
  </si>
  <si>
    <t>Q224</t>
  </si>
  <si>
    <t>Revenue y/y</t>
  </si>
  <si>
    <t>Gross Profit</t>
  </si>
  <si>
    <t>COGS</t>
  </si>
  <si>
    <t>S&amp;M</t>
  </si>
  <si>
    <t>G&amp;A</t>
  </si>
  <si>
    <t>Operating Expenses</t>
  </si>
  <si>
    <t>Operating Income</t>
  </si>
  <si>
    <t>Pretax Income</t>
  </si>
  <si>
    <t>Interest Income</t>
  </si>
  <si>
    <t>Taxes</t>
  </si>
  <si>
    <t>Net Income</t>
  </si>
  <si>
    <t>EPS</t>
  </si>
  <si>
    <t>CFFO</t>
  </si>
  <si>
    <t>FCF</t>
  </si>
  <si>
    <t>CapEx</t>
  </si>
  <si>
    <t>North America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</si>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</sst>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2" fillId="0" borderId="0" xfId="1"/>
    <xf numFmtId="0" fontId="0" fillId="0" borderId="0" xfId="0" applyAlignment="1">
      <alignment horizontal="right"/>
    </xf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E1E2C14-1620-4648-A106-08DE7F6955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59940</xdr:colOff>
      <xdr:row>0</xdr:row>
      <xdr:rowOff>0</xdr:rowOff>
    </xdr:from>
    <xdr:to>
      <xdr:col>23</xdr:col>
      <xdr:colOff>59940</xdr:colOff>
      <xdr:row>45</xdr:row>
      <xdr:rowOff>110290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7E21CA-DC87-2D52-9E51-598C1CF4A807}"/>
            </a:ext>
          </a:extLst>
        </xdr:cNvPr>
        <xdr:cNvCxnSpPr/>
      </xdr:nvCxnSpPr>
      <xdr:spPr>
        <a:xfrm>
          <a:off x="15175701" y="0"/>
          <a:ext cx="0" cy="756463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40323</xdr:colOff>
      <xdr:row>0</xdr:row>
      <xdr:rowOff>0</xdr:rowOff>
    </xdr:from>
    <xdr:to>
      <xdr:col>12</xdr:col>
      <xdr:colOff>40323</xdr:colOff>
      <xdr:row>45</xdr:row>
      <xdr:rowOff>110290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B07F153-2A37-4BFA-98F1-141B61F7841E}"/>
            </a:ext>
          </a:extLst>
        </xdr:cNvPr>
        <xdr:cNvCxnSpPr/>
      </xdr:nvCxnSpPr>
      <xdr:spPr>
        <a:xfrm>
          <a:off x="7888923" y="0"/>
          <a:ext cx="0" cy="7396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EDFB-DE49-4F83-B96D-408158D5FA45}">
  <dimension ref="K2:M7"/>
  <sheetViews>
    <sheetView zoomScale="145" zoomScaleNormal="145" workbookViewId="0"/>
  </sheetViews>
  <sheetFormatPr defaultRowHeight="12.75" x14ac:dyDescent="0.2"/>
  <sheetData>
    <row r="2" spans="11:13" x14ac:dyDescent="0.2">
      <c r="K2" t="s">
        <v>0</v>
      </c>
      <c r="L2" s="6">
        <v>70</v>
      </c>
    </row>
    <row r="3" spans="11:13" x14ac:dyDescent="0.2">
      <c r="K3" t="s">
        <v>1</v>
      </c>
      <c r="L3" s="1">
        <v>1529.9716080000001</v>
      </c>
      <c r="M3" s="4" t="s">
        <v>13</v>
      </c>
    </row>
    <row r="4" spans="11:13" x14ac:dyDescent="0.2">
      <c r="K4" t="s">
        <v>2</v>
      </c>
      <c r="L4" s="1">
        <f>+L2*L3</f>
        <v>107098.01256</v>
      </c>
    </row>
    <row r="5" spans="11:13" x14ac:dyDescent="0.2">
      <c r="K5" t="s">
        <v>3</v>
      </c>
      <c r="L5" s="1">
        <f>7441+3234</f>
        <v>10675</v>
      </c>
      <c r="M5" s="4" t="s">
        <v>13</v>
      </c>
    </row>
    <row r="6" spans="11:13" x14ac:dyDescent="0.2">
      <c r="K6" t="s">
        <v>4</v>
      </c>
      <c r="L6" s="1">
        <f>8927+6</f>
        <v>8933</v>
      </c>
      <c r="M6" s="4" t="s">
        <v>13</v>
      </c>
    </row>
    <row r="7" spans="11:13" x14ac:dyDescent="0.2">
      <c r="K7" t="s">
        <v>5</v>
      </c>
      <c r="L7" s="1">
        <f>+L4-L5+L6</f>
        <v>105356.01256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60DB-F226-4B5E-A482-9F33E7119C26}">
  <dimension ref="A1:AE31"/>
  <sheetViews>
    <sheetView tabSelected="1" zoomScale="115" zoomScaleNormal="115" workbookViewId="0">
      <pane xSplit="2" ySplit="3" topLeftCell="N4" activePane="bottomRight" state="frozen"/>
      <selection pane="topRight" activeCell="C1" sqref="C1"/>
      <selection pane="bottomLeft" activeCell="A3" sqref="A3"/>
      <selection pane="bottomRight" activeCell="W1" sqref="W1"/>
    </sheetView>
  </sheetViews>
  <sheetFormatPr defaultRowHeight="12.75" x14ac:dyDescent="0.2"/>
  <cols>
    <col min="1" max="1" width="5" bestFit="1" customWidth="1"/>
    <col min="2" max="2" width="19.28515625" customWidth="1"/>
    <col min="3" max="12" width="10.5703125" style="4" customWidth="1"/>
    <col min="13" max="14" width="9.140625" style="4"/>
    <col min="15" max="15" width="7.28515625" style="4" customWidth="1"/>
    <col min="16" max="16" width="7.28515625" customWidth="1"/>
    <col min="17" max="17" width="8.7109375" customWidth="1"/>
  </cols>
  <sheetData>
    <row r="1" spans="1:31" x14ac:dyDescent="0.2">
      <c r="A1" s="3" t="s">
        <v>6</v>
      </c>
    </row>
    <row r="2" spans="1:31" x14ac:dyDescent="0.2">
      <c r="A2" s="3"/>
      <c r="G2" s="11">
        <v>45169</v>
      </c>
      <c r="H2" s="11">
        <v>45260</v>
      </c>
      <c r="K2" s="11">
        <v>45535</v>
      </c>
      <c r="L2" s="11">
        <v>45626</v>
      </c>
      <c r="Q2" s="12">
        <v>43251</v>
      </c>
      <c r="R2" s="12">
        <v>43616</v>
      </c>
      <c r="S2" s="12">
        <v>43982</v>
      </c>
      <c r="T2" s="12">
        <v>44347</v>
      </c>
      <c r="U2" s="12">
        <v>44712</v>
      </c>
      <c r="V2" s="12">
        <v>45077</v>
      </c>
      <c r="W2" s="12">
        <v>45443</v>
      </c>
    </row>
    <row r="3" spans="1:31" x14ac:dyDescent="0.2"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13</v>
      </c>
      <c r="M3" s="4" t="s">
        <v>39</v>
      </c>
      <c r="N3" s="4" t="s">
        <v>40</v>
      </c>
      <c r="Q3">
        <v>2018</v>
      </c>
      <c r="R3">
        <v>2019</v>
      </c>
      <c r="S3">
        <v>2020</v>
      </c>
      <c r="T3">
        <v>2021</v>
      </c>
      <c r="U3">
        <v>2022</v>
      </c>
      <c r="V3">
        <v>2023</v>
      </c>
      <c r="W3">
        <v>2024</v>
      </c>
      <c r="X3">
        <v>2025</v>
      </c>
      <c r="Y3">
        <f>+X3+1</f>
        <v>2026</v>
      </c>
      <c r="Z3">
        <f>+Y3+1</f>
        <v>2027</v>
      </c>
      <c r="AA3">
        <f>+Z3+1</f>
        <v>2028</v>
      </c>
      <c r="AB3">
        <f>+AA3+1</f>
        <v>2029</v>
      </c>
      <c r="AC3">
        <f>+AB3+1</f>
        <v>2030</v>
      </c>
      <c r="AD3">
        <f>+AC3+1</f>
        <v>2031</v>
      </c>
      <c r="AE3">
        <f>+AD3+1</f>
        <v>2032</v>
      </c>
    </row>
    <row r="4" spans="1:31" s="1" customFormat="1" x14ac:dyDescent="0.2">
      <c r="B4" s="1" t="s">
        <v>29</v>
      </c>
      <c r="C4" s="7"/>
      <c r="D4" s="7"/>
      <c r="E4" s="7"/>
      <c r="F4" s="7"/>
      <c r="G4" s="7"/>
      <c r="H4" s="7">
        <v>5625</v>
      </c>
      <c r="I4" s="7"/>
      <c r="J4" s="7"/>
      <c r="K4" s="7"/>
      <c r="L4" s="7">
        <v>5179</v>
      </c>
      <c r="M4" s="7"/>
      <c r="N4" s="7"/>
      <c r="O4" s="7"/>
      <c r="S4" s="1">
        <v>14484</v>
      </c>
      <c r="T4" s="1">
        <v>17179</v>
      </c>
      <c r="U4" s="1">
        <v>18353</v>
      </c>
    </row>
    <row r="6" spans="1:31" s="1" customFormat="1" x14ac:dyDescent="0.2">
      <c r="B6" s="1" t="s">
        <v>7</v>
      </c>
      <c r="C6" s="7"/>
      <c r="D6" s="7"/>
      <c r="E6" s="7"/>
      <c r="F6" s="7"/>
      <c r="G6" s="7"/>
      <c r="H6" s="7">
        <v>8607</v>
      </c>
      <c r="I6" s="7"/>
      <c r="J6" s="7"/>
      <c r="K6" s="7"/>
      <c r="L6" s="7">
        <v>7655</v>
      </c>
      <c r="M6" s="7"/>
      <c r="N6" s="7"/>
      <c r="O6" s="7"/>
      <c r="S6" s="1">
        <v>23305</v>
      </c>
      <c r="T6" s="1">
        <v>28021</v>
      </c>
      <c r="U6" s="1">
        <v>29143</v>
      </c>
      <c r="V6" s="1">
        <v>33135</v>
      </c>
    </row>
    <row r="7" spans="1:31" s="1" customFormat="1" x14ac:dyDescent="0.2">
      <c r="B7" s="1" t="s">
        <v>8</v>
      </c>
      <c r="C7" s="7"/>
      <c r="D7" s="7"/>
      <c r="E7" s="7"/>
      <c r="F7" s="7"/>
      <c r="G7" s="7"/>
      <c r="H7" s="7">
        <v>3774</v>
      </c>
      <c r="I7" s="7"/>
      <c r="J7" s="7"/>
      <c r="K7" s="7"/>
      <c r="L7" s="7">
        <v>3738</v>
      </c>
      <c r="M7" s="7"/>
      <c r="N7" s="7"/>
      <c r="O7" s="7"/>
      <c r="S7" s="1">
        <v>10953</v>
      </c>
      <c r="T7" s="1">
        <v>12865</v>
      </c>
      <c r="U7" s="1">
        <v>13567</v>
      </c>
      <c r="V7" s="1">
        <v>13843</v>
      </c>
    </row>
    <row r="8" spans="1:31" s="1" customFormat="1" x14ac:dyDescent="0.2">
      <c r="B8" s="1" t="s">
        <v>9</v>
      </c>
      <c r="C8" s="7"/>
      <c r="D8" s="7"/>
      <c r="E8" s="7"/>
      <c r="F8" s="7"/>
      <c r="G8" s="7"/>
      <c r="H8" s="7">
        <v>479</v>
      </c>
      <c r="I8" s="7"/>
      <c r="J8" s="7"/>
      <c r="K8" s="7"/>
      <c r="L8" s="7">
        <v>544</v>
      </c>
      <c r="M8" s="7"/>
      <c r="N8" s="7"/>
      <c r="O8" s="7"/>
      <c r="S8" s="1">
        <v>1280</v>
      </c>
      <c r="T8" s="1">
        <v>1382</v>
      </c>
      <c r="U8" s="1">
        <v>1624</v>
      </c>
      <c r="V8" s="1">
        <v>1727</v>
      </c>
    </row>
    <row r="9" spans="1:31" s="1" customFormat="1" x14ac:dyDescent="0.2">
      <c r="B9" s="1" t="s">
        <v>10</v>
      </c>
      <c r="C9" s="7"/>
      <c r="D9" s="7"/>
      <c r="E9" s="7"/>
      <c r="F9" s="7"/>
      <c r="G9" s="7"/>
      <c r="H9" s="7">
        <v>519</v>
      </c>
      <c r="I9" s="7"/>
      <c r="J9" s="7"/>
      <c r="K9" s="7"/>
      <c r="L9" s="7">
        <v>429</v>
      </c>
      <c r="M9" s="7"/>
      <c r="N9" s="7"/>
      <c r="O9" s="7"/>
      <c r="S9" s="1">
        <v>1846</v>
      </c>
      <c r="T9" s="1">
        <v>2205</v>
      </c>
      <c r="U9" s="1">
        <v>2346</v>
      </c>
      <c r="V9" s="1">
        <v>2427</v>
      </c>
    </row>
    <row r="10" spans="1:31" s="1" customFormat="1" x14ac:dyDescent="0.2">
      <c r="B10" s="1" t="s">
        <v>11</v>
      </c>
      <c r="C10" s="7"/>
      <c r="D10" s="7"/>
      <c r="E10" s="7"/>
      <c r="F10" s="7"/>
      <c r="G10" s="7"/>
      <c r="H10" s="7">
        <f>13-3</f>
        <v>10</v>
      </c>
      <c r="I10" s="7"/>
      <c r="J10" s="7"/>
      <c r="K10" s="7"/>
      <c r="L10" s="7">
        <f>13-25</f>
        <v>-12</v>
      </c>
      <c r="M10" s="7"/>
      <c r="N10" s="7"/>
      <c r="O10" s="7"/>
      <c r="S10" s="1">
        <f>30-11</f>
        <v>19</v>
      </c>
      <c r="T10" s="1">
        <f>40+25</f>
        <v>65</v>
      </c>
      <c r="U10" s="1">
        <f>102-72</f>
        <v>30</v>
      </c>
      <c r="V10" s="1">
        <f>27+58</f>
        <v>85</v>
      </c>
    </row>
    <row r="11" spans="1:31" s="2" customFormat="1" x14ac:dyDescent="0.2">
      <c r="B11" s="2" t="s">
        <v>12</v>
      </c>
      <c r="C11" s="8">
        <v>12687</v>
      </c>
      <c r="D11" s="8">
        <v>13315</v>
      </c>
      <c r="E11" s="8">
        <v>12390</v>
      </c>
      <c r="F11" s="8">
        <v>12825</v>
      </c>
      <c r="G11" s="8">
        <v>12939</v>
      </c>
      <c r="H11" s="8">
        <f>SUM(H6:H10)</f>
        <v>13389</v>
      </c>
      <c r="I11" s="8">
        <v>12429</v>
      </c>
      <c r="J11" s="8">
        <v>12606</v>
      </c>
      <c r="K11" s="8">
        <v>11589</v>
      </c>
      <c r="L11" s="8">
        <f>SUM(L6:L10)</f>
        <v>12354</v>
      </c>
      <c r="M11" s="8">
        <f>+I11*0.95</f>
        <v>11807.55</v>
      </c>
      <c r="N11" s="8">
        <f>+J11*0.95</f>
        <v>11975.699999999999</v>
      </c>
      <c r="O11" s="8"/>
      <c r="Q11" s="2">
        <v>36397</v>
      </c>
      <c r="R11" s="2">
        <v>39117</v>
      </c>
      <c r="S11" s="2">
        <f>SUM(S6:S10)</f>
        <v>37403</v>
      </c>
      <c r="T11" s="2">
        <f>SUM(T6:T10)</f>
        <v>44538</v>
      </c>
      <c r="U11" s="2">
        <f>SUM(U6:U10)</f>
        <v>46710</v>
      </c>
      <c r="V11" s="2">
        <f>SUM(V6:V10)</f>
        <v>51217</v>
      </c>
      <c r="W11" s="2">
        <f>SUM(G11:J11)</f>
        <v>51363</v>
      </c>
      <c r="X11" s="2">
        <f>SUM(K11:N11)</f>
        <v>47726.25</v>
      </c>
    </row>
    <row r="12" spans="1:31" x14ac:dyDescent="0.2">
      <c r="B12" s="1" t="s">
        <v>16</v>
      </c>
      <c r="C12" s="7">
        <v>7072</v>
      </c>
      <c r="D12" s="7">
        <v>7604</v>
      </c>
      <c r="E12" s="7">
        <v>7019</v>
      </c>
      <c r="F12" s="7">
        <v>7230</v>
      </c>
      <c r="G12" s="7">
        <v>7219</v>
      </c>
      <c r="H12" s="7">
        <v>7417</v>
      </c>
      <c r="I12" s="7">
        <v>6867</v>
      </c>
      <c r="J12" s="7">
        <v>6972</v>
      </c>
      <c r="K12" s="7">
        <v>6332</v>
      </c>
      <c r="L12" s="7">
        <v>6965</v>
      </c>
      <c r="M12" s="7"/>
      <c r="N12" s="7"/>
      <c r="O12" s="7"/>
      <c r="P12" s="1"/>
      <c r="Q12" s="1">
        <v>20441</v>
      </c>
      <c r="R12" s="1">
        <v>21643</v>
      </c>
      <c r="S12" s="1">
        <v>21162</v>
      </c>
      <c r="T12" s="1">
        <v>24576</v>
      </c>
      <c r="U12" s="1">
        <v>25231</v>
      </c>
      <c r="V12" s="1">
        <v>28925</v>
      </c>
    </row>
    <row r="13" spans="1:31" x14ac:dyDescent="0.2">
      <c r="B13" s="1" t="s">
        <v>15</v>
      </c>
      <c r="C13" s="7">
        <f>+C11-C12</f>
        <v>5615</v>
      </c>
      <c r="D13" s="7">
        <f>+D11-D12</f>
        <v>5711</v>
      </c>
      <c r="E13" s="7">
        <f>+E11-E12</f>
        <v>5371</v>
      </c>
      <c r="F13" s="7">
        <f>+F11-F12</f>
        <v>5595</v>
      </c>
      <c r="G13" s="7">
        <f>+G11-G12</f>
        <v>5720</v>
      </c>
      <c r="H13" s="7">
        <f>+H11-H12</f>
        <v>5972</v>
      </c>
      <c r="I13" s="7">
        <f>+I11-I12</f>
        <v>5562</v>
      </c>
      <c r="J13" s="7">
        <f>+J11-J12</f>
        <v>5634</v>
      </c>
      <c r="K13" s="7">
        <f>+K11-K12</f>
        <v>5257</v>
      </c>
      <c r="L13" s="7">
        <f>+L11-L12</f>
        <v>5389</v>
      </c>
      <c r="M13" s="7"/>
      <c r="N13" s="7"/>
      <c r="O13" s="7"/>
      <c r="P13" s="1"/>
      <c r="Q13" s="1">
        <f>+Q11-Q12</f>
        <v>15956</v>
      </c>
      <c r="R13" s="1">
        <f>+R11-R12</f>
        <v>17474</v>
      </c>
      <c r="S13" s="1">
        <f>+S11-S12</f>
        <v>16241</v>
      </c>
      <c r="T13" s="1">
        <f>+T11-T12</f>
        <v>19962</v>
      </c>
      <c r="U13" s="1">
        <f>+U11-U12</f>
        <v>21479</v>
      </c>
      <c r="V13" s="1">
        <f>+V11-V12</f>
        <v>22292</v>
      </c>
    </row>
    <row r="14" spans="1:31" s="1" customFormat="1" x14ac:dyDescent="0.2">
      <c r="B14" s="1" t="s">
        <v>17</v>
      </c>
      <c r="C14" s="7">
        <v>943</v>
      </c>
      <c r="D14" s="7">
        <v>1102</v>
      </c>
      <c r="E14" s="7">
        <v>923</v>
      </c>
      <c r="F14" s="7">
        <v>1092</v>
      </c>
      <c r="G14" s="7">
        <v>1069</v>
      </c>
      <c r="H14" s="7">
        <v>1114</v>
      </c>
      <c r="I14" s="7">
        <v>1011</v>
      </c>
      <c r="J14" s="7">
        <v>1091</v>
      </c>
      <c r="K14" s="7">
        <v>1226</v>
      </c>
      <c r="L14" s="7">
        <v>1122</v>
      </c>
      <c r="M14" s="7"/>
      <c r="N14" s="7"/>
      <c r="O14" s="7"/>
      <c r="Q14" s="1">
        <v>3577</v>
      </c>
      <c r="R14" s="1">
        <v>3753</v>
      </c>
      <c r="S14" s="1">
        <v>3592</v>
      </c>
      <c r="T14" s="1">
        <v>3114</v>
      </c>
      <c r="U14" s="1">
        <v>3850</v>
      </c>
      <c r="V14" s="1">
        <v>4060</v>
      </c>
    </row>
    <row r="15" spans="1:31" s="1" customFormat="1" x14ac:dyDescent="0.2">
      <c r="B15" s="1" t="s">
        <v>18</v>
      </c>
      <c r="C15" s="7">
        <v>2977</v>
      </c>
      <c r="D15" s="7">
        <v>3022</v>
      </c>
      <c r="E15" s="7">
        <v>3036</v>
      </c>
      <c r="F15" s="7">
        <v>3282</v>
      </c>
      <c r="G15" s="7">
        <v>3047</v>
      </c>
      <c r="H15" s="7">
        <v>3032</v>
      </c>
      <c r="I15" s="7">
        <v>3215</v>
      </c>
      <c r="J15" s="7">
        <v>2997</v>
      </c>
      <c r="K15" s="7">
        <v>2822</v>
      </c>
      <c r="L15" s="7">
        <v>2883</v>
      </c>
      <c r="M15" s="7"/>
      <c r="N15" s="7"/>
      <c r="O15" s="7"/>
      <c r="Q15" s="1">
        <v>7934</v>
      </c>
      <c r="R15" s="1">
        <v>8949</v>
      </c>
      <c r="S15" s="1">
        <v>9534</v>
      </c>
      <c r="T15" s="1">
        <v>9911</v>
      </c>
      <c r="U15" s="1">
        <v>10954</v>
      </c>
      <c r="V15" s="1">
        <v>12314</v>
      </c>
    </row>
    <row r="16" spans="1:31" s="1" customFormat="1" x14ac:dyDescent="0.2">
      <c r="B16" s="1" t="s">
        <v>19</v>
      </c>
      <c r="C16" s="7">
        <f>+C15+C14</f>
        <v>3920</v>
      </c>
      <c r="D16" s="7">
        <f>+D15+D14</f>
        <v>4124</v>
      </c>
      <c r="E16" s="7">
        <f>+E15+E14</f>
        <v>3959</v>
      </c>
      <c r="F16" s="7">
        <f>+F15+F14</f>
        <v>4374</v>
      </c>
      <c r="G16" s="7">
        <f>+G15+G14</f>
        <v>4116</v>
      </c>
      <c r="H16" s="7">
        <f>+H15+H14</f>
        <v>4146</v>
      </c>
      <c r="I16" s="7">
        <f>+I15+I14</f>
        <v>4226</v>
      </c>
      <c r="J16" s="7">
        <f>+J15+J14</f>
        <v>4088</v>
      </c>
      <c r="K16" s="7">
        <f>+K15+K14</f>
        <v>4048</v>
      </c>
      <c r="L16" s="7">
        <f>+L15+L14</f>
        <v>4005</v>
      </c>
      <c r="M16" s="7"/>
      <c r="N16" s="7"/>
      <c r="O16" s="7"/>
      <c r="Q16" s="1">
        <f t="shared" ref="Q16:T16" si="0">+Q14+Q15</f>
        <v>11511</v>
      </c>
      <c r="R16" s="1">
        <f t="shared" si="0"/>
        <v>12702</v>
      </c>
      <c r="S16" s="1">
        <f t="shared" si="0"/>
        <v>13126</v>
      </c>
      <c r="T16" s="1">
        <f t="shared" ref="T16:U16" si="1">+T14+T15</f>
        <v>13025</v>
      </c>
      <c r="U16" s="1">
        <f t="shared" si="1"/>
        <v>14804</v>
      </c>
      <c r="V16" s="1">
        <f>+V14+V15</f>
        <v>16374</v>
      </c>
    </row>
    <row r="17" spans="2:24" s="1" customFormat="1" x14ac:dyDescent="0.2">
      <c r="B17" s="1" t="s">
        <v>20</v>
      </c>
      <c r="C17" s="7">
        <f>+C13-C16</f>
        <v>1695</v>
      </c>
      <c r="D17" s="7">
        <f>+D13-D16</f>
        <v>1587</v>
      </c>
      <c r="E17" s="7">
        <f>+E13-E16</f>
        <v>1412</v>
      </c>
      <c r="F17" s="7">
        <f>+F13-F16</f>
        <v>1221</v>
      </c>
      <c r="G17" s="7">
        <f>+G13-G16</f>
        <v>1604</v>
      </c>
      <c r="H17" s="7">
        <f>+H13-H16</f>
        <v>1826</v>
      </c>
      <c r="I17" s="7">
        <f>+I13-I16</f>
        <v>1336</v>
      </c>
      <c r="J17" s="7">
        <f>+J13-J16</f>
        <v>1546</v>
      </c>
      <c r="K17" s="7">
        <f>+K13-K16</f>
        <v>1209</v>
      </c>
      <c r="L17" s="7">
        <f>+L13-L16</f>
        <v>1384</v>
      </c>
      <c r="M17" s="7"/>
      <c r="N17" s="7"/>
      <c r="O17" s="7"/>
      <c r="Q17" s="1">
        <f t="shared" ref="Q17:S17" si="2">+Q13-Q16</f>
        <v>4445</v>
      </c>
      <c r="R17" s="1">
        <f t="shared" si="2"/>
        <v>4772</v>
      </c>
      <c r="S17" s="1">
        <f t="shared" si="2"/>
        <v>3115</v>
      </c>
      <c r="T17" s="1">
        <f>+T13-T16</f>
        <v>6937</v>
      </c>
      <c r="U17" s="1">
        <f>+U13-U16</f>
        <v>6675</v>
      </c>
      <c r="V17" s="1">
        <f>+V13-V16</f>
        <v>5918</v>
      </c>
    </row>
    <row r="18" spans="2:24" s="1" customFormat="1" x14ac:dyDescent="0.2">
      <c r="B18" s="1" t="s">
        <v>22</v>
      </c>
      <c r="C18" s="7">
        <f>146-13</f>
        <v>133</v>
      </c>
      <c r="D18" s="7">
        <f>79-16</f>
        <v>63</v>
      </c>
      <c r="E18" s="7">
        <f>7+58</f>
        <v>65</v>
      </c>
      <c r="F18" s="7">
        <f>28-3</f>
        <v>25</v>
      </c>
      <c r="G18" s="7">
        <f>34+10</f>
        <v>44</v>
      </c>
      <c r="H18" s="7">
        <f>22+75</f>
        <v>97</v>
      </c>
      <c r="I18" s="7">
        <f>52+16</f>
        <v>68</v>
      </c>
      <c r="J18" s="7">
        <f>53+127</f>
        <v>180</v>
      </c>
      <c r="K18" s="7">
        <f>43+55</f>
        <v>98</v>
      </c>
      <c r="L18" s="7">
        <f>24+8</f>
        <v>32</v>
      </c>
      <c r="M18" s="7"/>
      <c r="N18" s="7"/>
      <c r="O18" s="7"/>
      <c r="Q18" s="1">
        <f>-54-66</f>
        <v>-120</v>
      </c>
      <c r="R18" s="1">
        <f>-49+78</f>
        <v>29</v>
      </c>
      <c r="S18" s="1">
        <f>-89-139</f>
        <v>-228</v>
      </c>
      <c r="T18" s="1">
        <f>-262-14</f>
        <v>-276</v>
      </c>
      <c r="U18" s="1">
        <f>181-205</f>
        <v>-24</v>
      </c>
      <c r="V18" s="1">
        <v>286</v>
      </c>
    </row>
    <row r="19" spans="2:24" s="1" customFormat="1" x14ac:dyDescent="0.2">
      <c r="B19" s="1" t="s">
        <v>21</v>
      </c>
      <c r="C19" s="7">
        <f>+C17+C18</f>
        <v>1828</v>
      </c>
      <c r="D19" s="7">
        <f>+D17+D18</f>
        <v>1650</v>
      </c>
      <c r="E19" s="7">
        <f>+E17+E18</f>
        <v>1477</v>
      </c>
      <c r="F19" s="7">
        <f>+F17+F18</f>
        <v>1246</v>
      </c>
      <c r="G19" s="7">
        <f>+G17+G18</f>
        <v>1648</v>
      </c>
      <c r="H19" s="7">
        <f>+H17+H18</f>
        <v>1923</v>
      </c>
      <c r="I19" s="7">
        <f>+I17+I18</f>
        <v>1404</v>
      </c>
      <c r="J19" s="7">
        <f>+J17+J18</f>
        <v>1726</v>
      </c>
      <c r="K19" s="7">
        <f>+K17+K18</f>
        <v>1307</v>
      </c>
      <c r="L19" s="7">
        <f>+L17+L18</f>
        <v>1416</v>
      </c>
      <c r="M19" s="7"/>
      <c r="N19" s="7"/>
      <c r="O19" s="7"/>
      <c r="Q19" s="1">
        <f t="shared" ref="Q19:S19" si="3">+Q17+Q18</f>
        <v>4325</v>
      </c>
      <c r="R19" s="1">
        <f t="shared" si="3"/>
        <v>4801</v>
      </c>
      <c r="S19" s="1">
        <f t="shared" si="3"/>
        <v>2887</v>
      </c>
      <c r="T19" s="1">
        <f>+T17+T18</f>
        <v>6661</v>
      </c>
      <c r="U19" s="1">
        <f>+U17+U18</f>
        <v>6651</v>
      </c>
      <c r="V19" s="1">
        <f>+V17+V18</f>
        <v>6204</v>
      </c>
    </row>
    <row r="20" spans="2:24" s="1" customFormat="1" x14ac:dyDescent="0.2">
      <c r="B20" s="1" t="s">
        <v>23</v>
      </c>
      <c r="C20" s="7">
        <v>360</v>
      </c>
      <c r="D20" s="7">
        <v>319</v>
      </c>
      <c r="E20" s="7">
        <v>237</v>
      </c>
      <c r="F20" s="7">
        <v>215</v>
      </c>
      <c r="G20" s="7">
        <v>198</v>
      </c>
      <c r="H20" s="7">
        <v>344</v>
      </c>
      <c r="I20" s="7">
        <v>232</v>
      </c>
      <c r="J20" s="7">
        <v>226</v>
      </c>
      <c r="K20" s="7">
        <v>256</v>
      </c>
      <c r="L20" s="7">
        <v>253</v>
      </c>
      <c r="M20" s="7"/>
      <c r="N20" s="7"/>
      <c r="O20" s="7"/>
      <c r="Q20" s="1">
        <v>2392</v>
      </c>
      <c r="R20" s="1">
        <v>772</v>
      </c>
      <c r="S20" s="1">
        <v>348</v>
      </c>
      <c r="T20" s="1">
        <v>934</v>
      </c>
      <c r="U20" s="1">
        <v>605</v>
      </c>
      <c r="V20" s="1">
        <v>1131</v>
      </c>
    </row>
    <row r="21" spans="2:24" s="1" customFormat="1" x14ac:dyDescent="0.2">
      <c r="B21" s="1" t="s">
        <v>24</v>
      </c>
      <c r="C21" s="7">
        <f>+C19-C20</f>
        <v>1468</v>
      </c>
      <c r="D21" s="7">
        <f>+D19-D20</f>
        <v>1331</v>
      </c>
      <c r="E21" s="7">
        <f>+E19-E20</f>
        <v>1240</v>
      </c>
      <c r="F21" s="7">
        <f>+F19-F20</f>
        <v>1031</v>
      </c>
      <c r="G21" s="7">
        <f>+G19-G20</f>
        <v>1450</v>
      </c>
      <c r="H21" s="7">
        <f>+H19-H20</f>
        <v>1579</v>
      </c>
      <c r="I21" s="7">
        <f>+I19-I20</f>
        <v>1172</v>
      </c>
      <c r="J21" s="7">
        <f>+J19-J20</f>
        <v>1500</v>
      </c>
      <c r="K21" s="7">
        <f>+K19-K20</f>
        <v>1051</v>
      </c>
      <c r="L21" s="7">
        <f>+L19-L20</f>
        <v>1163</v>
      </c>
      <c r="M21" s="7"/>
      <c r="N21" s="7"/>
      <c r="O21" s="7"/>
      <c r="Q21" s="1">
        <f t="shared" ref="Q21:S21" si="4">+Q19-Q20</f>
        <v>1933</v>
      </c>
      <c r="R21" s="1">
        <f t="shared" si="4"/>
        <v>4029</v>
      </c>
      <c r="S21" s="1">
        <f t="shared" si="4"/>
        <v>2539</v>
      </c>
      <c r="T21" s="1">
        <f>+T19-T20</f>
        <v>5727</v>
      </c>
      <c r="U21" s="1">
        <f>+U19-U20</f>
        <v>6046</v>
      </c>
      <c r="V21" s="1">
        <f>+V19-V20</f>
        <v>5073</v>
      </c>
    </row>
    <row r="22" spans="2:24" s="1" customFormat="1" x14ac:dyDescent="0.2">
      <c r="B22" s="1" t="s">
        <v>25</v>
      </c>
      <c r="C22" s="9">
        <f>+C21/C23</f>
        <v>0.92571572707781569</v>
      </c>
      <c r="D22" s="9">
        <f>+D21/D23</f>
        <v>0.84647672348003045</v>
      </c>
      <c r="E22" s="9">
        <f>+E21/E23</f>
        <v>0.79243353783231085</v>
      </c>
      <c r="F22" s="9">
        <f>+F21/F23</f>
        <v>0.6624686757051983</v>
      </c>
      <c r="G22" s="9">
        <f>+G21/G23</f>
        <v>0.93954513056437505</v>
      </c>
      <c r="H22" s="9">
        <f>+H21/H23</f>
        <v>1.0306115788786634</v>
      </c>
      <c r="I22" s="9">
        <f>+I21/I23</f>
        <v>0.76776940714051756</v>
      </c>
      <c r="J22" s="9">
        <f>+J21/J23</f>
        <v>0.98898925298345086</v>
      </c>
      <c r="K22" s="9">
        <f>+K21/K23</f>
        <v>0.69973368841544603</v>
      </c>
      <c r="L22" s="9">
        <f>+L21/L23</f>
        <v>0.7805369127516778</v>
      </c>
      <c r="M22" s="9"/>
      <c r="N22" s="9"/>
      <c r="O22" s="9"/>
      <c r="Q22" s="6">
        <f t="shared" ref="Q22:T22" si="5">+Q21/Q23</f>
        <v>1.1650895063588693</v>
      </c>
      <c r="R22" s="6">
        <f t="shared" si="5"/>
        <v>2.4894957983193278</v>
      </c>
      <c r="S22" s="6">
        <f t="shared" si="5"/>
        <v>1.5952500628298569</v>
      </c>
      <c r="T22" s="6">
        <f t="shared" ref="T22:U22" si="6">+T21/T23</f>
        <v>3.5584689946563937</v>
      </c>
      <c r="U22" s="6">
        <f t="shared" si="6"/>
        <v>3.7534144524459898</v>
      </c>
      <c r="V22" s="6">
        <f>+V21/V23</f>
        <v>3.2316218626576636</v>
      </c>
    </row>
    <row r="23" spans="2:24" s="1" customFormat="1" x14ac:dyDescent="0.2">
      <c r="B23" s="1" t="s">
        <v>1</v>
      </c>
      <c r="C23" s="7">
        <v>1585.8</v>
      </c>
      <c r="D23" s="7">
        <v>1572.4</v>
      </c>
      <c r="E23" s="7">
        <v>1564.8</v>
      </c>
      <c r="F23" s="7">
        <v>1556.3</v>
      </c>
      <c r="G23" s="7">
        <v>1543.3</v>
      </c>
      <c r="H23" s="7">
        <v>1532.1</v>
      </c>
      <c r="I23" s="7">
        <v>1526.5</v>
      </c>
      <c r="J23" s="7">
        <v>1516.7</v>
      </c>
      <c r="K23" s="7">
        <v>1502</v>
      </c>
      <c r="L23" s="7">
        <v>1490</v>
      </c>
      <c r="M23" s="7"/>
      <c r="N23" s="7"/>
      <c r="O23" s="7"/>
      <c r="Q23" s="1">
        <v>1659.1</v>
      </c>
      <c r="R23" s="1">
        <v>1618.4</v>
      </c>
      <c r="S23" s="1">
        <v>1591.6</v>
      </c>
      <c r="T23" s="1">
        <v>1609.4</v>
      </c>
      <c r="U23" s="1">
        <v>1610.8</v>
      </c>
      <c r="V23" s="1">
        <v>1569.8</v>
      </c>
    </row>
    <row r="25" spans="2:24" x14ac:dyDescent="0.2">
      <c r="B25" t="s">
        <v>14</v>
      </c>
      <c r="C25" s="10"/>
      <c r="D25" s="10"/>
      <c r="E25" s="10"/>
      <c r="F25" s="10"/>
      <c r="G25" s="10">
        <f>+G11/C11-1</f>
        <v>1.986285173799951E-2</v>
      </c>
      <c r="H25" s="10">
        <f>+H11/D11-1</f>
        <v>5.5576417574163539E-3</v>
      </c>
      <c r="I25" s="10">
        <f>+I11/E11-1</f>
        <v>3.1476997578692156E-3</v>
      </c>
      <c r="J25" s="10">
        <f>+J11/F11-1</f>
        <v>-1.7076023391812911E-2</v>
      </c>
      <c r="K25" s="10">
        <f>+K11/G11-1</f>
        <v>-0.10433572919081846</v>
      </c>
      <c r="L25" s="10">
        <f>+L11/H11-1</f>
        <v>-7.7302263051758913E-2</v>
      </c>
      <c r="M25" s="10">
        <f>+M11/I11-1</f>
        <v>-5.0000000000000044E-2</v>
      </c>
      <c r="N25" s="10">
        <f>+N11/J11-1</f>
        <v>-5.0000000000000044E-2</v>
      </c>
      <c r="O25" s="10"/>
      <c r="R25" s="5">
        <f t="shared" ref="R25:T25" si="7">+R11/Q11-1</f>
        <v>7.4731433909388079E-2</v>
      </c>
      <c r="S25" s="5">
        <f t="shared" si="7"/>
        <v>-4.3817266150267153E-2</v>
      </c>
      <c r="T25" s="5">
        <f>+T11/S11-1</f>
        <v>0.19076009945726269</v>
      </c>
      <c r="U25" s="5">
        <f>+U11/T11-1</f>
        <v>4.8767344739323759E-2</v>
      </c>
      <c r="V25" s="5">
        <f>+V11/U11-1</f>
        <v>9.6488974523656568E-2</v>
      </c>
      <c r="W25" s="5">
        <f>+W11/V11-1</f>
        <v>2.8506160064041275E-3</v>
      </c>
      <c r="X25" s="5">
        <f>+X11/W11-1</f>
        <v>-7.08048595292331E-2</v>
      </c>
    </row>
    <row r="27" spans="2:24" x14ac:dyDescent="0.2">
      <c r="B27" t="s">
        <v>41</v>
      </c>
      <c r="C27" s="10">
        <f>+C13/C11</f>
        <v>0.44257901789233073</v>
      </c>
      <c r="D27" s="10">
        <f t="shared" ref="D27:L27" si="8">+D13/D11</f>
        <v>0.42891475779196397</v>
      </c>
      <c r="E27" s="10">
        <f t="shared" si="8"/>
        <v>0.43349475383373687</v>
      </c>
      <c r="F27" s="10">
        <f t="shared" si="8"/>
        <v>0.43625730994152045</v>
      </c>
      <c r="G27" s="10">
        <f t="shared" si="8"/>
        <v>0.44207434886776414</v>
      </c>
      <c r="H27" s="10">
        <f t="shared" si="8"/>
        <v>0.44603779221749196</v>
      </c>
      <c r="I27" s="10">
        <f t="shared" si="8"/>
        <v>0.44750181028240404</v>
      </c>
      <c r="J27" s="10">
        <f t="shared" si="8"/>
        <v>0.44693003331746789</v>
      </c>
      <c r="K27" s="10">
        <f t="shared" si="8"/>
        <v>0.45361981189058592</v>
      </c>
      <c r="L27" s="10">
        <f t="shared" si="8"/>
        <v>0.43621499109600131</v>
      </c>
      <c r="Q27" s="10">
        <f t="shared" ref="Q27:X27" si="9">+Q13/Q11</f>
        <v>0.43838777921257244</v>
      </c>
      <c r="R27" s="10">
        <f t="shared" si="9"/>
        <v>0.44671114860546568</v>
      </c>
      <c r="S27" s="10">
        <f t="shared" si="9"/>
        <v>0.43421650669732376</v>
      </c>
      <c r="T27" s="10">
        <f t="shared" si="9"/>
        <v>0.44820153576721</v>
      </c>
      <c r="U27" s="10">
        <f t="shared" si="9"/>
        <v>0.45983729394134021</v>
      </c>
      <c r="V27" s="10">
        <f t="shared" si="9"/>
        <v>0.43524610969014194</v>
      </c>
      <c r="W27" s="10">
        <f t="shared" si="9"/>
        <v>0</v>
      </c>
      <c r="X27" s="10">
        <f t="shared" si="9"/>
        <v>0</v>
      </c>
    </row>
    <row r="29" spans="2:24" x14ac:dyDescent="0.2">
      <c r="B29" t="s">
        <v>26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Q29" s="1">
        <v>4955</v>
      </c>
      <c r="R29" s="1">
        <v>5903</v>
      </c>
      <c r="S29" s="1">
        <v>2485</v>
      </c>
      <c r="T29" s="1">
        <v>6657</v>
      </c>
      <c r="U29" s="1">
        <v>5188</v>
      </c>
      <c r="V29" s="1">
        <v>5841</v>
      </c>
      <c r="W29" s="1">
        <v>7429</v>
      </c>
    </row>
    <row r="30" spans="2:24" x14ac:dyDescent="0.2">
      <c r="B30" t="s">
        <v>28</v>
      </c>
      <c r="Q30" s="1">
        <v>1028</v>
      </c>
      <c r="R30" s="1">
        <v>1119</v>
      </c>
      <c r="S30" s="1">
        <v>1086</v>
      </c>
      <c r="T30" s="1">
        <v>695</v>
      </c>
      <c r="U30" s="1">
        <v>758</v>
      </c>
      <c r="V30" s="1">
        <v>969</v>
      </c>
      <c r="W30" s="1">
        <v>812</v>
      </c>
    </row>
    <row r="31" spans="2:24" x14ac:dyDescent="0.2">
      <c r="B31" t="s">
        <v>27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Q31" s="1">
        <f t="shared" ref="Q31:T31" si="10">+Q29-Q30</f>
        <v>3927</v>
      </c>
      <c r="R31" s="1">
        <f t="shared" si="10"/>
        <v>4784</v>
      </c>
      <c r="S31" s="1">
        <f t="shared" si="10"/>
        <v>1399</v>
      </c>
      <c r="T31" s="1">
        <f t="shared" ref="T31:U31" si="11">+T29-T30</f>
        <v>5962</v>
      </c>
      <c r="U31" s="1">
        <f t="shared" si="11"/>
        <v>4430</v>
      </c>
      <c r="V31" s="1">
        <f>+V29-V30</f>
        <v>4872</v>
      </c>
      <c r="W31" s="1">
        <f>+W29-W30</f>
        <v>6617</v>
      </c>
    </row>
  </sheetData>
  <hyperlinks>
    <hyperlink ref="A1" location="Main!A1" display="Main" xr:uid="{2B74F19C-BDDC-47D0-BCDC-CDE2FBA48C8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2024-10-22T19:00:48Z</dcterms:created>
  <dcterms:modified xsi:type="dcterms:W3CDTF">2025-02-10T18:38:23Z</dcterms:modified>
</cp:coreProperties>
</file>